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autoCompressPictures="0"/>
  <mc:AlternateContent xmlns:mc="http://schemas.openxmlformats.org/markup-compatibility/2006">
    <mc:Choice Requires="x15">
      <x15ac:absPath xmlns:x15ac="http://schemas.microsoft.com/office/spreadsheetml/2010/11/ac" url="E:\copies\neosys\projekte_in_arbeit\k_7070_ BFE_Energieeffiziente Pumpen\.004 Projektpakete 2 bis 4\Paket 2 - Tool Grobanalyse\Berechnungen Tool\"/>
    </mc:Choice>
  </mc:AlternateContent>
  <workbookProtection lockStructure="1"/>
  <bookViews>
    <workbookView xWindow="0" yWindow="0" windowWidth="28800" windowHeight="14250" tabRatio="728"/>
  </bookViews>
  <sheets>
    <sheet name="Introduction" sheetId="12" r:id="rId1"/>
    <sheet name="Etape 1" sheetId="1" r:id="rId2"/>
    <sheet name="Etape 2" sheetId="6" r:id="rId3"/>
    <sheet name="Résultats" sheetId="8" r:id="rId4"/>
    <sheet name="Résumé" sheetId="11" r:id="rId5"/>
    <sheet name="Notes personnelles" sheetId="10" r:id="rId6"/>
    <sheet name="Berechnungen 1" sheetId="5" state="hidden" r:id="rId7"/>
    <sheet name="Berechnungen 2" sheetId="7" state="hidden" r:id="rId8"/>
    <sheet name="Parameter" sheetId="2" state="hidden" r:id="rId9"/>
    <sheet name="Sprachen" sheetId="13" state="hidden" r:id="rId10"/>
    <sheet name="Anleitung_de" sheetId="14" state="hidden" r:id="rId11"/>
    <sheet name="Anleitung_fr" sheetId="15" state="hidden" r:id="rId12"/>
    <sheet name="Infos_Tool-Programmierung" sheetId="4" state="hidden" r:id="rId13"/>
  </sheets>
  <definedNames>
    <definedName name="_xlnm.Print_Area" localSheetId="1">'Etape 1'!$A$1:$I$307</definedName>
    <definedName name="_xlnm.Print_Area" localSheetId="2">'Etape 2'!$A$1:$AI$312</definedName>
    <definedName name="_xlnm.Print_Area" localSheetId="0">Introduction!$A$1:$B$90</definedName>
    <definedName name="_xlnm.Print_Area" localSheetId="3">Résultats!$A:$S</definedName>
    <definedName name="_xlnm.Print_Titles" localSheetId="1">'Etape 1'!$1:$7</definedName>
    <definedName name="_xlnm.Print_Titles" localSheetId="2">'Etape 2'!$A:$I,'Etape 2'!$1:$12</definedName>
    <definedName name="_xlnm.Print_Titles" localSheetId="5">'Notes personnelles'!$1:$3</definedName>
    <definedName name="_xlnm.Print_Titles" localSheetId="3">Résultats!$A:$I,Résultats!$1:$12</definedName>
    <definedName name="Liste.Dropdown_Bedarf.variabel.kst">Parameter!$B$228:$B$229</definedName>
    <definedName name="Liste.Dropdown_Kreislauf.offen.geschlossen">Parameter!$A$228:$A$229</definedName>
    <definedName name="Liste.Dropdown_Motor.Effizienzklassen">Parameter!$G$228:$G$234</definedName>
    <definedName name="Liste.Dropdown_Regulierungsart">Parameter!$C$228:$C$231</definedName>
    <definedName name="Liste.Dropdown_Sortiervariante">Parameter!$H$228:$H$231</definedName>
    <definedName name="Liste.Dropdown_Sortiervariante.Resultate">Parameter!$J$228:$J$231</definedName>
    <definedName name="Liste.Dropdown_Sprachen">Sprachen!$B$6:$B$7</definedName>
    <definedName name="Liste.Sprachen_Blattnamen">Sprachen!$C$157:$C$162</definedName>
    <definedName name="Liste.Sprachen_Kommentare">Sprachen!$C$163:$C$181</definedName>
    <definedName name="Liste.Sprachen_Kommentare.Blatt.Spalte.Zeile">Sprachen!$H$163:$K$181</definedName>
    <definedName name="Matrix_1.2.3.Test.Alter.Punkte">Parameter!$A$242:$C$248</definedName>
    <definedName name="Matrix_1.2.3.Test.Betriebszeit.Punkte">Parameter!$A$260:$C$266</definedName>
    <definedName name="Matrix_1.2.3.Test.ID.Punkte.Beurteilung">Parameter!$A$274:$F$281</definedName>
    <definedName name="Matrix_1.2.3.Test.Leistung.Punkte">Parameter!$A$251:$C$257</definedName>
    <definedName name="Matrix_1.2.3.Test.Punkte.ID.Beurteilung">Parameter!$B$274:$F$280</definedName>
    <definedName name="Matrix_Anlage.AlterID.Einsparpotential.und.EnergieAnteil">Parameter!$A$148:$G$152</definedName>
    <definedName name="Matrix_Berechnungen1.Rang.Pumpendaten.Zwischenresultate">'Berechnungen 1'!$A$12:$AU$311</definedName>
    <definedName name="Matrix_Berechnungen2.Rang.Pumpendaten.Endresultate">'Berechnungen 2'!$E$16:$BU$315</definedName>
    <definedName name="Matrix_Berechnungen2.Rang1.Rang2.Pumpendaten.Endresultate">'Berechnungen 2'!$C$16:$BU$315</definedName>
    <definedName name="Matrix_Empfehlung.ID.Potential.DetailanalyseText">Parameter!$A$288:$G$294</definedName>
    <definedName name="Matrix_Empfehlung.ID.Stromkosten.BOText">Parameter!$A$299:$G$305</definedName>
    <definedName name="Matrix_Empfehlung.Potential.ID.DetailanalyseText">Parameter!$B$288:$G$293</definedName>
    <definedName name="Matrix_Empfehlung.Stromkosten.ID.BOText">Parameter!$B$299:$G$304</definedName>
    <definedName name="Matrix_ID.Sprache">Sprachen!$A$6:$B$7</definedName>
    <definedName name="Matrix_Kreislauf.Zahl">Parameter!$D$179:$E$183</definedName>
    <definedName name="Matrix_Motor.EffKl.IEID">Parameter!$C$38:$E$45</definedName>
    <definedName name="Matrix_Motor.ID.LeistungsKl">Parameter!$A$65:$D$68</definedName>
    <definedName name="Matrix_Motor.IEID.EffKl">Parameter!$B$38:$E$45</definedName>
    <definedName name="Matrix_Motor.Jahr.EffKl">Parameter!$A$38:$E$45</definedName>
    <definedName name="Matrix_Motor.KombiKl.EffParameter">Parameter!$F$73:$L$136</definedName>
    <definedName name="Matrix_Motor.LeistungsKl.ID">Parameter!$B$65:$D$68</definedName>
    <definedName name="Matrix_Netztyp.Kreislauf.Spalte">Parameter!$A$179:$G$183</definedName>
    <definedName name="Matrix_Netztyp.Zahl">Parameter!$B$179:$C$183</definedName>
    <definedName name="Matrix_Pumpe.ID.EffKl">Parameter!$B$53:$D$57</definedName>
    <definedName name="Matrix_Pumpe.Jahr.EffKl">Parameter!$A$53:$D$57</definedName>
    <definedName name="Matrix_Redim.ID.Teilvolumenstrom.Einsparpotential">Parameter!$A$170:$E$174</definedName>
    <definedName name="Matrix_Redim.Teilvolumenstrom.Einsparpotential.ID">Parameter!$B$170:$E$174</definedName>
    <definedName name="Matrix_Regelung.ID.Teilvolumenstrom.Einsparpotential">Parameter!$A$158:$H$164</definedName>
    <definedName name="Matrix_Regelung.Teilvolumenstrom.Einsparpotential.ID">Parameter!$B$158:$H$164</definedName>
    <definedName name="Matrix_Regulierungsart.Einsparfaktor">Parameter!$C$228:$F$231</definedName>
    <definedName name="Matrix_Sortierung.ID.Schritt2.Multiplikator.ID.BewertungSchritt1">Parameter!$A$312:$G$318</definedName>
    <definedName name="Matrix_Sortierung.Schritt2.Multiplikator.ID.BewertungSchritt1">Parameter!$B$312:$G$317</definedName>
    <definedName name="Matrix_Sortiervariante.Resultate.Spaltennummer">Parameter!$J$228:$K$232</definedName>
    <definedName name="Matrix_Sortiervariante.Spaltennummer">Parameter!$H$228:$I$232</definedName>
    <definedName name="Matrix_Sprache.ID.Anleitungsblatt">Sprachen!$B$6:$D$7</definedName>
    <definedName name="Matrix_Texte.Sprachen">Sprachen!$D$15:$G$184</definedName>
    <definedName name="Matrix_Uebersetzung">Sprachen!$N$15:$O$75</definedName>
    <definedName name="Matrix_Warnung.ID.WarnNr.Text.ID">Parameter!$A$325:$E$335</definedName>
    <definedName name="Matrix_Warnung.WarnNr.Text.ID">Parameter!$B$325:$E$334</definedName>
    <definedName name="Matrix_Wirtschaftlichkeit.ID.Payback.Txt">Parameter!$A$209:$H$214</definedName>
    <definedName name="Matrix_Wirtschaftlichkeit.Payback.ID.Txt">Parameter!$B$209:$H$214</definedName>
    <definedName name="Para_para">'Infos_Tool-Programmierung'!$B$4:$B$6</definedName>
    <definedName name="Parameter_Sprache">'Infos_Tool-Programmierung'!$A$2</definedName>
    <definedName name="Parameter_Sprache.ID">Sprachen!$C$9</definedName>
    <definedName name="Preis_FU.a">Parameter!$B$197</definedName>
    <definedName name="Preis_FU.b">Parameter!$B$198</definedName>
    <definedName name="Preis_FU.Planung">Parameter!$B$199</definedName>
    <definedName name="Preis_Motor.a">Parameter!$B$194</definedName>
    <definedName name="Preis_Motor.b">Parameter!$B$195</definedName>
    <definedName name="Preis_Motor.Planung">Parameter!$B$196</definedName>
    <definedName name="Preis_Redim.a">Parameter!$B$200</definedName>
    <definedName name="Preis_Redim.b">Parameter!$B$201</definedName>
    <definedName name="Preis_Redim.Planung">Parameter!$B$202</definedName>
    <definedName name="Preis_Strom.Schritt1">'Berechnungen 1'!$A$5</definedName>
    <definedName name="Preis_Strom.Schritt2">'Etape 2'!$E$7</definedName>
    <definedName name="St.Wert_1.2.3.Test.PkteMax">Parameter!$B$279</definedName>
    <definedName name="St.Wert_Hacken">Parameter!$B$24</definedName>
    <definedName name="St.Wert_Kreislauf.Txt">Parameter!$G$27</definedName>
    <definedName name="St.Wert_Kreislauf.Zahl">Parameter!$F$27</definedName>
    <definedName name="St.Wert_Lastfaktor">Parameter!$B$223</definedName>
    <definedName name="St.Wert_Motor.IEID.neu">Parameter!$B$21</definedName>
    <definedName name="St.Wert_Motor.Pole.Anzahl">Parameter!$B$20</definedName>
    <definedName name="St.Wert_Netztyp.Kreislauf">Parameter!$B$27</definedName>
    <definedName name="St.Wert_Netztyp.Txt">Parameter!$E$27</definedName>
    <definedName name="St.Wert_Netztyp.Zahl">Parameter!$D$27</definedName>
    <definedName name="St.Wert_Payback.Max">Parameter!$B$26</definedName>
    <definedName name="St.Wert_Platzhalter.Payback">Parameter!$B$25</definedName>
    <definedName name="St.Wert_Preis.Strom">Parameter!$B$19</definedName>
    <definedName name="St.Wert_Regulierungsart">Parameter!$B$222</definedName>
    <definedName name="St.Wert_Schritt2.fehlendeAngaben">Parameter!$B$29</definedName>
    <definedName name="St.Wert_Schritt2.keineAngaben">Parameter!$B$28</definedName>
    <definedName name="St.Wert_Sortiervariante.Resultate">Parameter!$B$224</definedName>
    <definedName name="St.Wert_Sortiervariante.Schritt2">Parameter!$B$225</definedName>
    <definedName name="St.Wert_Wirtschaftlichkeit.EnergieAnteil.Ja.Nein">Parameter!$B$22</definedName>
    <definedName name="Tool.Info_Autor">'Infos_Tool-Programmierung'!$B$6</definedName>
    <definedName name="Tool.Info_Datum">'Infos_Tool-Programmierung'!$B$5</definedName>
    <definedName name="Tool.Info_Version">'Infos_Tool-Programmierung'!$B$4</definedName>
    <definedName name="Txt_Firma.Name.etc">'Etape 1'!$D$2</definedName>
    <definedName name="txt_Resultate.Angaben.Fehler.vorhanden">Parameter!$B$271</definedName>
    <definedName name="txt_Schritt1.Angaben.fehlen">Parameter!$B$268</definedName>
    <definedName name="txt_Schritt2.Angaben.fehlen.in.Schritt1">Parameter!$B$270</definedName>
    <definedName name="txt_Schritt2.Eigaben.Fehler.Betriebszeiten">Parameter!$B$269</definedName>
    <definedName name="Txt_Sortiervariante">'Etape 2'!$F$8</definedName>
    <definedName name="Txt_Sortiervariante.Resultate">Résultats!$F$8</definedName>
    <definedName name="Wert_1.2.3.Test.Faktor.A">Parameter!$B$239</definedName>
    <definedName name="Wert_Kreislauf.Zahl.Schritt2">'Berechnungen 2'!$C$10</definedName>
    <definedName name="Wert_Motor.IEID.neu.Schritt1">'Berechnungen 1'!$A$7</definedName>
    <definedName name="Wert_Motor.IEID.neu.Schritt2">'Berechnungen 2'!$A$8</definedName>
    <definedName name="Wert_Motor.max.Leistung.fuer.Berechnung.Wirkungsgrad">Parameter!$B$70</definedName>
    <definedName name="Wert_Motor.Pole.Anzahl.Schritt1">'Berechnungen 1'!$A$6</definedName>
    <definedName name="Wert_Netztyp.Kreislauf.Schritt2">'Berechnungen 2'!$A$10</definedName>
    <definedName name="Wert_Netztyp.Zahl.Schritt2">'Berechnungen 2'!$B$10</definedName>
    <definedName name="Wert_Sortiervariante.Resultate.SpaltenNr">'Berechnungen 2'!$BU$10</definedName>
    <definedName name="Wert_Sortiervariante.SpaltenNr">'Berechnungen 1'!$W$6</definedName>
    <definedName name="Wert_Wirtschaftlichkeit.EnergieAnteil.Ja.Nein.Schritt1">'Berechnungen 1'!$A$8</definedName>
    <definedName name="Wert_Wirtschaftlichkeit.EnergieAnteil.Ja.Nein.Schritt2">'Berechnungen 2'!$A$9</definedName>
    <definedName name="Zelle_Parameter.1.2.3.Test.fuer.Hyperlink">Parameter!$A$237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32" i="13" l="1"/>
  <c r="C76" i="12" l="1"/>
  <c r="C77" i="12" s="1"/>
  <c r="C78" i="12" s="1"/>
  <c r="C79" i="12" s="1"/>
  <c r="C80" i="12" s="1"/>
  <c r="C81" i="12" s="1"/>
  <c r="C82" i="12" s="1"/>
  <c r="C83" i="12" s="1"/>
  <c r="C84" i="12" s="1"/>
  <c r="B92" i="12"/>
  <c r="B90" i="12"/>
  <c r="B93" i="12"/>
  <c r="F181" i="13" l="1"/>
  <c r="D180" i="13"/>
  <c r="F180" i="13" s="1"/>
  <c r="E180" i="13"/>
  <c r="D181" i="13"/>
  <c r="E181" i="13"/>
  <c r="E179" i="13"/>
  <c r="D179" i="13"/>
  <c r="F179" i="13" s="1"/>
  <c r="B79" i="12"/>
  <c r="B76" i="12"/>
  <c r="B81" i="12"/>
  <c r="B78" i="12"/>
  <c r="B80" i="12"/>
  <c r="B77" i="12"/>
  <c r="F176" i="13" l="1"/>
  <c r="F177" i="13"/>
  <c r="F178" i="13"/>
  <c r="F182" i="13"/>
  <c r="F183" i="13"/>
  <c r="F184" i="13"/>
  <c r="D172" i="13"/>
  <c r="F172" i="13" s="1"/>
  <c r="E172" i="13"/>
  <c r="D173" i="13"/>
  <c r="F173" i="13" s="1"/>
  <c r="E173" i="13"/>
  <c r="E171" i="13"/>
  <c r="D171" i="13"/>
  <c r="F171" i="13" s="1"/>
  <c r="F163" i="13"/>
  <c r="F164" i="13"/>
  <c r="F165" i="13"/>
  <c r="F166" i="13"/>
  <c r="F167" i="13"/>
  <c r="F168" i="13"/>
  <c r="F169" i="13"/>
  <c r="F170" i="13"/>
  <c r="F174" i="13"/>
  <c r="F175" i="13"/>
  <c r="F162" i="13" l="1"/>
  <c r="F161" i="13"/>
  <c r="F160" i="13"/>
  <c r="F159" i="13"/>
  <c r="F158" i="13"/>
  <c r="F157" i="13" l="1"/>
  <c r="P19" i="13" l="1"/>
  <c r="P22" i="13" s="1"/>
  <c r="P25" i="13" s="1"/>
  <c r="P28" i="13" s="1"/>
  <c r="P31" i="13" s="1"/>
  <c r="P35" i="13" s="1"/>
  <c r="P38" i="13" s="1"/>
  <c r="P41" i="13" s="1"/>
  <c r="P44" i="13" s="1"/>
  <c r="P47" i="13" s="1"/>
  <c r="P50" i="13" s="1"/>
  <c r="P53" i="13" s="1"/>
  <c r="P56" i="13" s="1"/>
  <c r="P59" i="13" s="1"/>
  <c r="P62" i="13" s="1"/>
  <c r="P65" i="13" s="1"/>
  <c r="P68" i="13" s="1"/>
  <c r="P71" i="13" s="1"/>
  <c r="P74" i="13" s="1"/>
  <c r="Q19" i="13"/>
  <c r="Q22" i="13" s="1"/>
  <c r="Q25" i="13" s="1"/>
  <c r="Q28" i="13" s="1"/>
  <c r="Q31" i="13" s="1"/>
  <c r="Q35" i="13" s="1"/>
  <c r="Q38" i="13" s="1"/>
  <c r="Q41" i="13" s="1"/>
  <c r="Q44" i="13" s="1"/>
  <c r="Q47" i="13" s="1"/>
  <c r="Q50" i="13" s="1"/>
  <c r="Q53" i="13" s="1"/>
  <c r="Q56" i="13" s="1"/>
  <c r="Q59" i="13" s="1"/>
  <c r="Q62" i="13" s="1"/>
  <c r="Q65" i="13" s="1"/>
  <c r="Q68" i="13" s="1"/>
  <c r="Q71" i="13" s="1"/>
  <c r="Q74" i="13" s="1"/>
  <c r="P20" i="13"/>
  <c r="P23" i="13" s="1"/>
  <c r="P26" i="13" s="1"/>
  <c r="P29" i="13" s="1"/>
  <c r="P33" i="13" s="1"/>
  <c r="P36" i="13" s="1"/>
  <c r="P39" i="13" s="1"/>
  <c r="P42" i="13" s="1"/>
  <c r="P45" i="13" s="1"/>
  <c r="P48" i="13" s="1"/>
  <c r="P51" i="13" s="1"/>
  <c r="P54" i="13" s="1"/>
  <c r="P57" i="13" s="1"/>
  <c r="P60" i="13" s="1"/>
  <c r="P63" i="13" s="1"/>
  <c r="P66" i="13" s="1"/>
  <c r="P69" i="13" s="1"/>
  <c r="P72" i="13" s="1"/>
  <c r="P75" i="13" s="1"/>
  <c r="Q20" i="13"/>
  <c r="Q23" i="13" s="1"/>
  <c r="Q26" i="13" s="1"/>
  <c r="Q29" i="13" s="1"/>
  <c r="Q33" i="13" s="1"/>
  <c r="Q36" i="13" s="1"/>
  <c r="Q39" i="13" s="1"/>
  <c r="Q42" i="13" s="1"/>
  <c r="Q45" i="13" s="1"/>
  <c r="Q48" i="13" s="1"/>
  <c r="Q51" i="13" s="1"/>
  <c r="Q54" i="13" s="1"/>
  <c r="Q57" i="13" s="1"/>
  <c r="Q60" i="13" s="1"/>
  <c r="Q63" i="13" s="1"/>
  <c r="Q66" i="13" s="1"/>
  <c r="Q69" i="13" s="1"/>
  <c r="Q72" i="13" s="1"/>
  <c r="Q75" i="13" s="1"/>
  <c r="Q18" i="13"/>
  <c r="Q21" i="13" s="1"/>
  <c r="Q24" i="13" s="1"/>
  <c r="Q27" i="13" s="1"/>
  <c r="Q30" i="13" s="1"/>
  <c r="Q34" i="13" s="1"/>
  <c r="Q37" i="13" s="1"/>
  <c r="Q40" i="13" s="1"/>
  <c r="Q43" i="13" s="1"/>
  <c r="Q46" i="13" s="1"/>
  <c r="Q49" i="13" s="1"/>
  <c r="Q52" i="13" s="1"/>
  <c r="Q55" i="13" s="1"/>
  <c r="Q58" i="13" s="1"/>
  <c r="Q61" i="13" s="1"/>
  <c r="Q64" i="13" s="1"/>
  <c r="Q67" i="13" s="1"/>
  <c r="Q70" i="13" s="1"/>
  <c r="Q73" i="13" s="1"/>
  <c r="P18" i="13"/>
  <c r="P21" i="13" s="1"/>
  <c r="P24" i="13" s="1"/>
  <c r="P27" i="13" s="1"/>
  <c r="P30" i="13" s="1"/>
  <c r="P34" i="13" s="1"/>
  <c r="P37" i="13" s="1"/>
  <c r="P40" i="13" s="1"/>
  <c r="P43" i="13" s="1"/>
  <c r="P46" i="13" s="1"/>
  <c r="P49" i="13" s="1"/>
  <c r="P52" i="13" s="1"/>
  <c r="P55" i="13" s="1"/>
  <c r="P58" i="13" s="1"/>
  <c r="P61" i="13" s="1"/>
  <c r="P64" i="13" s="1"/>
  <c r="P67" i="13" s="1"/>
  <c r="P70" i="13" s="1"/>
  <c r="P73" i="13" s="1"/>
  <c r="N18" i="13"/>
  <c r="N59" i="13"/>
  <c r="N50" i="13"/>
  <c r="N47" i="13"/>
  <c r="N43" i="13"/>
  <c r="N27" i="13"/>
  <c r="N34" i="13"/>
  <c r="N49" i="13"/>
  <c r="N24" i="13"/>
  <c r="N19" i="13"/>
  <c r="N44" i="13"/>
  <c r="N22" i="13"/>
  <c r="N41" i="13"/>
  <c r="N74" i="13"/>
  <c r="N61" i="13"/>
  <c r="N37" i="13"/>
  <c r="N15" i="13"/>
  <c r="N16" i="13"/>
  <c r="N21" i="13"/>
  <c r="N56" i="13"/>
  <c r="N30" i="13"/>
  <c r="N67" i="13"/>
  <c r="N52" i="13"/>
  <c r="N25" i="13"/>
  <c r="N64" i="13"/>
  <c r="N65" i="13"/>
  <c r="N55" i="13"/>
  <c r="N46" i="13"/>
  <c r="N62" i="13"/>
  <c r="N40" i="13"/>
  <c r="N70" i="13"/>
  <c r="N73" i="13"/>
  <c r="N58" i="13"/>
  <c r="N53" i="13"/>
  <c r="N28" i="13"/>
  <c r="F152" i="13" l="1"/>
  <c r="F153" i="13"/>
  <c r="F154" i="13"/>
  <c r="F155" i="13"/>
  <c r="F156" i="13"/>
  <c r="T18" i="7"/>
  <c r="U18" i="7"/>
  <c r="U19" i="7"/>
  <c r="T20" i="7"/>
  <c r="U20" i="7"/>
  <c r="T21" i="7"/>
  <c r="U21" i="7"/>
  <c r="T23" i="7"/>
  <c r="U23" i="7"/>
  <c r="T24" i="7"/>
  <c r="U24" i="7"/>
  <c r="T25" i="7"/>
  <c r="U25" i="7"/>
  <c r="T26" i="7"/>
  <c r="U26" i="7"/>
  <c r="T27" i="7"/>
  <c r="U27" i="7"/>
  <c r="T28" i="7"/>
  <c r="U28" i="7"/>
  <c r="T29" i="7"/>
  <c r="U29" i="7"/>
  <c r="T30" i="7"/>
  <c r="U30" i="7"/>
  <c r="T31" i="7"/>
  <c r="U31" i="7"/>
  <c r="T32" i="7"/>
  <c r="U32" i="7"/>
  <c r="T33" i="7"/>
  <c r="U33" i="7"/>
  <c r="T34" i="7"/>
  <c r="U34" i="7"/>
  <c r="T35" i="7"/>
  <c r="U35" i="7"/>
  <c r="T36" i="7"/>
  <c r="U36" i="7"/>
  <c r="T37" i="7"/>
  <c r="U37" i="7"/>
  <c r="T38" i="7"/>
  <c r="U38" i="7"/>
  <c r="T39" i="7"/>
  <c r="U39" i="7"/>
  <c r="T40" i="7"/>
  <c r="U40" i="7"/>
  <c r="T41" i="7"/>
  <c r="U41" i="7"/>
  <c r="T42" i="7"/>
  <c r="U42" i="7"/>
  <c r="T43" i="7"/>
  <c r="U43" i="7"/>
  <c r="T44" i="7"/>
  <c r="U44" i="7"/>
  <c r="T45" i="7"/>
  <c r="U45" i="7"/>
  <c r="T46" i="7"/>
  <c r="U46" i="7"/>
  <c r="T47" i="7"/>
  <c r="U47" i="7"/>
  <c r="T48" i="7"/>
  <c r="U48" i="7"/>
  <c r="T49" i="7"/>
  <c r="U49" i="7"/>
  <c r="T50" i="7"/>
  <c r="U50" i="7"/>
  <c r="T51" i="7"/>
  <c r="U51" i="7"/>
  <c r="T52" i="7"/>
  <c r="U52" i="7"/>
  <c r="T53" i="7"/>
  <c r="U53" i="7"/>
  <c r="T54" i="7"/>
  <c r="U54" i="7"/>
  <c r="T55" i="7"/>
  <c r="U55" i="7"/>
  <c r="T56" i="7"/>
  <c r="U56" i="7"/>
  <c r="T57" i="7"/>
  <c r="U57" i="7"/>
  <c r="T58" i="7"/>
  <c r="U58" i="7"/>
  <c r="T59" i="7"/>
  <c r="U59" i="7"/>
  <c r="T60" i="7"/>
  <c r="U60" i="7"/>
  <c r="T61" i="7"/>
  <c r="U61" i="7"/>
  <c r="T62" i="7"/>
  <c r="U62" i="7"/>
  <c r="T63" i="7"/>
  <c r="U63" i="7"/>
  <c r="T64" i="7"/>
  <c r="U64" i="7"/>
  <c r="T65" i="7"/>
  <c r="U65" i="7"/>
  <c r="T66" i="7"/>
  <c r="U66" i="7"/>
  <c r="T67" i="7"/>
  <c r="U67" i="7"/>
  <c r="T68" i="7"/>
  <c r="U68" i="7"/>
  <c r="T69" i="7"/>
  <c r="U69" i="7"/>
  <c r="T70" i="7"/>
  <c r="U70" i="7"/>
  <c r="T71" i="7"/>
  <c r="U71" i="7"/>
  <c r="T72" i="7"/>
  <c r="U72" i="7"/>
  <c r="T73" i="7"/>
  <c r="U73" i="7"/>
  <c r="T74" i="7"/>
  <c r="U74" i="7"/>
  <c r="T75" i="7"/>
  <c r="U75" i="7"/>
  <c r="T76" i="7"/>
  <c r="U76" i="7"/>
  <c r="T77" i="7"/>
  <c r="U77" i="7"/>
  <c r="T78" i="7"/>
  <c r="U78" i="7"/>
  <c r="T79" i="7"/>
  <c r="U79" i="7"/>
  <c r="T80" i="7"/>
  <c r="U80" i="7"/>
  <c r="T81" i="7"/>
  <c r="U81" i="7"/>
  <c r="T82" i="7"/>
  <c r="U82" i="7"/>
  <c r="T83" i="7"/>
  <c r="U83" i="7"/>
  <c r="T84" i="7"/>
  <c r="U84" i="7"/>
  <c r="T85" i="7"/>
  <c r="U85" i="7"/>
  <c r="T86" i="7"/>
  <c r="U86" i="7"/>
  <c r="T87" i="7"/>
  <c r="U87" i="7"/>
  <c r="T88" i="7"/>
  <c r="U88" i="7"/>
  <c r="T89" i="7"/>
  <c r="U89" i="7"/>
  <c r="T90" i="7"/>
  <c r="U90" i="7"/>
  <c r="T91" i="7"/>
  <c r="U91" i="7"/>
  <c r="T92" i="7"/>
  <c r="U92" i="7"/>
  <c r="T93" i="7"/>
  <c r="U93" i="7"/>
  <c r="T94" i="7"/>
  <c r="U94" i="7"/>
  <c r="T95" i="7"/>
  <c r="U95" i="7"/>
  <c r="T96" i="7"/>
  <c r="U96" i="7"/>
  <c r="T97" i="7"/>
  <c r="U97" i="7"/>
  <c r="T98" i="7"/>
  <c r="U98" i="7"/>
  <c r="T99" i="7"/>
  <c r="U99" i="7"/>
  <c r="T100" i="7"/>
  <c r="U100" i="7"/>
  <c r="T101" i="7"/>
  <c r="U101" i="7"/>
  <c r="T102" i="7"/>
  <c r="U102" i="7"/>
  <c r="T103" i="7"/>
  <c r="U103" i="7"/>
  <c r="T104" i="7"/>
  <c r="U104" i="7"/>
  <c r="T105" i="7"/>
  <c r="U105" i="7"/>
  <c r="T106" i="7"/>
  <c r="U106" i="7"/>
  <c r="T107" i="7"/>
  <c r="U107" i="7"/>
  <c r="T108" i="7"/>
  <c r="U108" i="7"/>
  <c r="T109" i="7"/>
  <c r="U109" i="7"/>
  <c r="T110" i="7"/>
  <c r="U110" i="7"/>
  <c r="T111" i="7"/>
  <c r="U111" i="7"/>
  <c r="T112" i="7"/>
  <c r="U112" i="7"/>
  <c r="T113" i="7"/>
  <c r="U113" i="7"/>
  <c r="T114" i="7"/>
  <c r="U114" i="7"/>
  <c r="T115" i="7"/>
  <c r="U115" i="7"/>
  <c r="T116" i="7"/>
  <c r="U116" i="7"/>
  <c r="T117" i="7"/>
  <c r="U117" i="7"/>
  <c r="T118" i="7"/>
  <c r="U118" i="7"/>
  <c r="T119" i="7"/>
  <c r="U119" i="7"/>
  <c r="T120" i="7"/>
  <c r="U120" i="7"/>
  <c r="T121" i="7"/>
  <c r="U121" i="7"/>
  <c r="T122" i="7"/>
  <c r="U122" i="7"/>
  <c r="T123" i="7"/>
  <c r="U123" i="7"/>
  <c r="T124" i="7"/>
  <c r="U124" i="7"/>
  <c r="T125" i="7"/>
  <c r="U125" i="7"/>
  <c r="T126" i="7"/>
  <c r="U126" i="7"/>
  <c r="T127" i="7"/>
  <c r="U127" i="7"/>
  <c r="T128" i="7"/>
  <c r="U128" i="7"/>
  <c r="T129" i="7"/>
  <c r="U129" i="7"/>
  <c r="T130" i="7"/>
  <c r="U130" i="7"/>
  <c r="T131" i="7"/>
  <c r="U131" i="7"/>
  <c r="T132" i="7"/>
  <c r="U132" i="7"/>
  <c r="T133" i="7"/>
  <c r="U133" i="7"/>
  <c r="T134" i="7"/>
  <c r="U134" i="7"/>
  <c r="T135" i="7"/>
  <c r="U135" i="7"/>
  <c r="T136" i="7"/>
  <c r="U136" i="7"/>
  <c r="T137" i="7"/>
  <c r="U137" i="7"/>
  <c r="T138" i="7"/>
  <c r="U138" i="7"/>
  <c r="T139" i="7"/>
  <c r="U139" i="7"/>
  <c r="T140" i="7"/>
  <c r="U140" i="7"/>
  <c r="T141" i="7"/>
  <c r="U141" i="7"/>
  <c r="T142" i="7"/>
  <c r="U142" i="7"/>
  <c r="T143" i="7"/>
  <c r="U143" i="7"/>
  <c r="T144" i="7"/>
  <c r="U144" i="7"/>
  <c r="T145" i="7"/>
  <c r="U145" i="7"/>
  <c r="T146" i="7"/>
  <c r="U146" i="7"/>
  <c r="T147" i="7"/>
  <c r="U147" i="7"/>
  <c r="T148" i="7"/>
  <c r="U148" i="7"/>
  <c r="T149" i="7"/>
  <c r="U149" i="7"/>
  <c r="T150" i="7"/>
  <c r="U150" i="7"/>
  <c r="T151" i="7"/>
  <c r="U151" i="7"/>
  <c r="T152" i="7"/>
  <c r="U152" i="7"/>
  <c r="T153" i="7"/>
  <c r="U153" i="7"/>
  <c r="T154" i="7"/>
  <c r="U154" i="7"/>
  <c r="T155" i="7"/>
  <c r="U155" i="7"/>
  <c r="T156" i="7"/>
  <c r="U156" i="7"/>
  <c r="T157" i="7"/>
  <c r="U157" i="7"/>
  <c r="T158" i="7"/>
  <c r="U158" i="7"/>
  <c r="T159" i="7"/>
  <c r="U159" i="7"/>
  <c r="T160" i="7"/>
  <c r="U160" i="7"/>
  <c r="T161" i="7"/>
  <c r="U161" i="7"/>
  <c r="T162" i="7"/>
  <c r="U162" i="7"/>
  <c r="T163" i="7"/>
  <c r="U163" i="7"/>
  <c r="T164" i="7"/>
  <c r="U164" i="7"/>
  <c r="T165" i="7"/>
  <c r="U165" i="7"/>
  <c r="T166" i="7"/>
  <c r="U166" i="7"/>
  <c r="T167" i="7"/>
  <c r="U167" i="7"/>
  <c r="T168" i="7"/>
  <c r="U168" i="7"/>
  <c r="T169" i="7"/>
  <c r="U169" i="7"/>
  <c r="T170" i="7"/>
  <c r="U170" i="7"/>
  <c r="T171" i="7"/>
  <c r="U171" i="7"/>
  <c r="T172" i="7"/>
  <c r="U172" i="7"/>
  <c r="T173" i="7"/>
  <c r="U173" i="7"/>
  <c r="T174" i="7"/>
  <c r="U174" i="7"/>
  <c r="T175" i="7"/>
  <c r="U175" i="7"/>
  <c r="T176" i="7"/>
  <c r="U176" i="7"/>
  <c r="T177" i="7"/>
  <c r="U177" i="7"/>
  <c r="T178" i="7"/>
  <c r="U178" i="7"/>
  <c r="T179" i="7"/>
  <c r="U179" i="7"/>
  <c r="T180" i="7"/>
  <c r="U180" i="7"/>
  <c r="T181" i="7"/>
  <c r="U181" i="7"/>
  <c r="T182" i="7"/>
  <c r="U182" i="7"/>
  <c r="T183" i="7"/>
  <c r="U183" i="7"/>
  <c r="T184" i="7"/>
  <c r="U184" i="7"/>
  <c r="T185" i="7"/>
  <c r="U185" i="7"/>
  <c r="T186" i="7"/>
  <c r="U186" i="7"/>
  <c r="T187" i="7"/>
  <c r="U187" i="7"/>
  <c r="T188" i="7"/>
  <c r="U188" i="7"/>
  <c r="T189" i="7"/>
  <c r="U189" i="7"/>
  <c r="T190" i="7"/>
  <c r="U190" i="7"/>
  <c r="T191" i="7"/>
  <c r="U191" i="7"/>
  <c r="T192" i="7"/>
  <c r="U192" i="7"/>
  <c r="T193" i="7"/>
  <c r="U193" i="7"/>
  <c r="T194" i="7"/>
  <c r="U194" i="7"/>
  <c r="T195" i="7"/>
  <c r="U195" i="7"/>
  <c r="T196" i="7"/>
  <c r="U196" i="7"/>
  <c r="T197" i="7"/>
  <c r="U197" i="7"/>
  <c r="T198" i="7"/>
  <c r="U198" i="7"/>
  <c r="T199" i="7"/>
  <c r="U199" i="7"/>
  <c r="T200" i="7"/>
  <c r="U200" i="7"/>
  <c r="T201" i="7"/>
  <c r="U201" i="7"/>
  <c r="T202" i="7"/>
  <c r="U202" i="7"/>
  <c r="T203" i="7"/>
  <c r="U203" i="7"/>
  <c r="T204" i="7"/>
  <c r="U204" i="7"/>
  <c r="T205" i="7"/>
  <c r="U205" i="7"/>
  <c r="T206" i="7"/>
  <c r="U206" i="7"/>
  <c r="T207" i="7"/>
  <c r="U207" i="7"/>
  <c r="T208" i="7"/>
  <c r="U208" i="7"/>
  <c r="T209" i="7"/>
  <c r="U209" i="7"/>
  <c r="T210" i="7"/>
  <c r="U210" i="7"/>
  <c r="T211" i="7"/>
  <c r="U211" i="7"/>
  <c r="T212" i="7"/>
  <c r="U212" i="7"/>
  <c r="T213" i="7"/>
  <c r="U213" i="7"/>
  <c r="T214" i="7"/>
  <c r="U214" i="7"/>
  <c r="T215" i="7"/>
  <c r="U215" i="7"/>
  <c r="T216" i="7"/>
  <c r="U216" i="7"/>
  <c r="T217" i="7"/>
  <c r="U217" i="7"/>
  <c r="T218" i="7"/>
  <c r="U218" i="7"/>
  <c r="T219" i="7"/>
  <c r="U219" i="7"/>
  <c r="T220" i="7"/>
  <c r="U220" i="7"/>
  <c r="T221" i="7"/>
  <c r="U221" i="7"/>
  <c r="T222" i="7"/>
  <c r="U222" i="7"/>
  <c r="T223" i="7"/>
  <c r="U223" i="7"/>
  <c r="T224" i="7"/>
  <c r="U224" i="7"/>
  <c r="T225" i="7"/>
  <c r="U225" i="7"/>
  <c r="T226" i="7"/>
  <c r="U226" i="7"/>
  <c r="T227" i="7"/>
  <c r="U227" i="7"/>
  <c r="T228" i="7"/>
  <c r="U228" i="7"/>
  <c r="T229" i="7"/>
  <c r="U229" i="7"/>
  <c r="T230" i="7"/>
  <c r="U230" i="7"/>
  <c r="T231" i="7"/>
  <c r="U231" i="7"/>
  <c r="T232" i="7"/>
  <c r="U232" i="7"/>
  <c r="T233" i="7"/>
  <c r="U233" i="7"/>
  <c r="T234" i="7"/>
  <c r="U234" i="7"/>
  <c r="T235" i="7"/>
  <c r="U235" i="7"/>
  <c r="T236" i="7"/>
  <c r="U236" i="7"/>
  <c r="T237" i="7"/>
  <c r="U237" i="7"/>
  <c r="T238" i="7"/>
  <c r="U238" i="7"/>
  <c r="T239" i="7"/>
  <c r="U239" i="7"/>
  <c r="T240" i="7"/>
  <c r="U240" i="7"/>
  <c r="T241" i="7"/>
  <c r="U241" i="7"/>
  <c r="T242" i="7"/>
  <c r="U242" i="7"/>
  <c r="T243" i="7"/>
  <c r="U243" i="7"/>
  <c r="T244" i="7"/>
  <c r="U244" i="7"/>
  <c r="T245" i="7"/>
  <c r="U245" i="7"/>
  <c r="T246" i="7"/>
  <c r="U246" i="7"/>
  <c r="T247" i="7"/>
  <c r="U247" i="7"/>
  <c r="T248" i="7"/>
  <c r="U248" i="7"/>
  <c r="T249" i="7"/>
  <c r="U249" i="7"/>
  <c r="T250" i="7"/>
  <c r="U250" i="7"/>
  <c r="T251" i="7"/>
  <c r="U251" i="7"/>
  <c r="T252" i="7"/>
  <c r="U252" i="7"/>
  <c r="T253" i="7"/>
  <c r="U253" i="7"/>
  <c r="T254" i="7"/>
  <c r="U254" i="7"/>
  <c r="T255" i="7"/>
  <c r="U255" i="7"/>
  <c r="T256" i="7"/>
  <c r="U256" i="7"/>
  <c r="T257" i="7"/>
  <c r="U257" i="7"/>
  <c r="T258" i="7"/>
  <c r="U258" i="7"/>
  <c r="T259" i="7"/>
  <c r="U259" i="7"/>
  <c r="T260" i="7"/>
  <c r="U260" i="7"/>
  <c r="T261" i="7"/>
  <c r="U261" i="7"/>
  <c r="T262" i="7"/>
  <c r="U262" i="7"/>
  <c r="T263" i="7"/>
  <c r="U263" i="7"/>
  <c r="T264" i="7"/>
  <c r="U264" i="7"/>
  <c r="T265" i="7"/>
  <c r="U265" i="7"/>
  <c r="T266" i="7"/>
  <c r="U266" i="7"/>
  <c r="T267" i="7"/>
  <c r="U267" i="7"/>
  <c r="T268" i="7"/>
  <c r="U268" i="7"/>
  <c r="T269" i="7"/>
  <c r="U269" i="7"/>
  <c r="T270" i="7"/>
  <c r="U270" i="7"/>
  <c r="T271" i="7"/>
  <c r="U271" i="7"/>
  <c r="T272" i="7"/>
  <c r="U272" i="7"/>
  <c r="T273" i="7"/>
  <c r="U273" i="7"/>
  <c r="T274" i="7"/>
  <c r="U274" i="7"/>
  <c r="T275" i="7"/>
  <c r="U275" i="7"/>
  <c r="T276" i="7"/>
  <c r="U276" i="7"/>
  <c r="T277" i="7"/>
  <c r="U277" i="7"/>
  <c r="T278" i="7"/>
  <c r="U278" i="7"/>
  <c r="T279" i="7"/>
  <c r="U279" i="7"/>
  <c r="T280" i="7"/>
  <c r="U280" i="7"/>
  <c r="T281" i="7"/>
  <c r="U281" i="7"/>
  <c r="T282" i="7"/>
  <c r="U282" i="7"/>
  <c r="T283" i="7"/>
  <c r="U283" i="7"/>
  <c r="T284" i="7"/>
  <c r="U284" i="7"/>
  <c r="T285" i="7"/>
  <c r="U285" i="7"/>
  <c r="T286" i="7"/>
  <c r="U286" i="7"/>
  <c r="T287" i="7"/>
  <c r="U287" i="7"/>
  <c r="T288" i="7"/>
  <c r="U288" i="7"/>
  <c r="T289" i="7"/>
  <c r="U289" i="7"/>
  <c r="T290" i="7"/>
  <c r="U290" i="7"/>
  <c r="T291" i="7"/>
  <c r="U291" i="7"/>
  <c r="T292" i="7"/>
  <c r="U292" i="7"/>
  <c r="T293" i="7"/>
  <c r="U293" i="7"/>
  <c r="T294" i="7"/>
  <c r="U294" i="7"/>
  <c r="T295" i="7"/>
  <c r="U295" i="7"/>
  <c r="T296" i="7"/>
  <c r="U296" i="7"/>
  <c r="T297" i="7"/>
  <c r="U297" i="7"/>
  <c r="T298" i="7"/>
  <c r="U298" i="7"/>
  <c r="T299" i="7"/>
  <c r="U299" i="7"/>
  <c r="T300" i="7"/>
  <c r="U300" i="7"/>
  <c r="T301" i="7"/>
  <c r="U301" i="7"/>
  <c r="T302" i="7"/>
  <c r="U302" i="7"/>
  <c r="T303" i="7"/>
  <c r="U303" i="7"/>
  <c r="T304" i="7"/>
  <c r="U304" i="7"/>
  <c r="T305" i="7"/>
  <c r="U305" i="7"/>
  <c r="T306" i="7"/>
  <c r="U306" i="7"/>
  <c r="T307" i="7"/>
  <c r="U307" i="7"/>
  <c r="T308" i="7"/>
  <c r="U308" i="7"/>
  <c r="T309" i="7"/>
  <c r="U309" i="7"/>
  <c r="T310" i="7"/>
  <c r="U310" i="7"/>
  <c r="T311" i="7"/>
  <c r="U311" i="7"/>
  <c r="T312" i="7"/>
  <c r="U312" i="7"/>
  <c r="T313" i="7"/>
  <c r="U313" i="7"/>
  <c r="T314" i="7"/>
  <c r="U314" i="7"/>
  <c r="T315" i="7"/>
  <c r="U315" i="7"/>
  <c r="S21"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17" i="7"/>
  <c r="S18" i="7"/>
  <c r="S16" i="7"/>
  <c r="F17" i="13"/>
  <c r="F18" i="13"/>
  <c r="F19" i="13"/>
  <c r="F20" i="13"/>
  <c r="F21" i="13"/>
  <c r="F22" i="13"/>
  <c r="F23" i="13"/>
  <c r="F24" i="13"/>
  <c r="F25" i="13"/>
  <c r="F26" i="13"/>
  <c r="F27" i="13"/>
  <c r="F28" i="13"/>
  <c r="F29" i="13"/>
  <c r="F30" i="13"/>
  <c r="F31"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6" i="13"/>
  <c r="F15" i="13"/>
  <c r="N26" i="13"/>
  <c r="N33" i="13"/>
  <c r="N63" i="13"/>
  <c r="N48" i="13"/>
  <c r="N69" i="13"/>
  <c r="N60" i="13"/>
  <c r="N66" i="13"/>
  <c r="N36" i="13"/>
  <c r="N72" i="13"/>
  <c r="N45" i="13"/>
  <c r="N23" i="13"/>
  <c r="N75" i="13"/>
  <c r="N42" i="13"/>
  <c r="N29" i="13"/>
  <c r="N57" i="13"/>
  <c r="N54" i="13"/>
  <c r="N20" i="13"/>
  <c r="N39" i="13"/>
  <c r="N17" i="13"/>
  <c r="N51" i="13"/>
  <c r="E129" i="13" l="1"/>
  <c r="E118" i="13"/>
  <c r="E117" i="13"/>
  <c r="E108" i="13"/>
  <c r="E88" i="13"/>
  <c r="E81" i="13"/>
  <c r="E82" i="13"/>
  <c r="E80" i="13"/>
  <c r="E76" i="13"/>
  <c r="E74" i="13"/>
  <c r="E73" i="13"/>
  <c r="E69" i="13"/>
  <c r="E63" i="13"/>
  <c r="E64" i="13"/>
  <c r="E62" i="13"/>
  <c r="E33" i="13"/>
  <c r="N38" i="13"/>
  <c r="N68" i="13"/>
  <c r="N35" i="13"/>
  <c r="N71" i="13"/>
  <c r="N31" i="13"/>
  <c r="B9" i="13" l="1"/>
  <c r="C9" i="13" s="1"/>
  <c r="C32" i="13" s="1"/>
  <c r="B24" i="2" s="1"/>
  <c r="C179" i="13" l="1"/>
  <c r="C180" i="13"/>
  <c r="C181" i="13"/>
  <c r="C182" i="13"/>
  <c r="C178" i="13"/>
  <c r="C177" i="13"/>
  <c r="C176" i="13"/>
  <c r="C167" i="13"/>
  <c r="C171" i="13"/>
  <c r="C175" i="13"/>
  <c r="C168" i="13"/>
  <c r="C172" i="13"/>
  <c r="C169" i="13"/>
  <c r="C173" i="13"/>
  <c r="C183" i="13"/>
  <c r="C166" i="13"/>
  <c r="C170" i="13"/>
  <c r="C174" i="13"/>
  <c r="C184" i="13"/>
  <c r="C140" i="13"/>
  <c r="E278" i="2" s="1"/>
  <c r="C144" i="13"/>
  <c r="D290" i="2" s="1"/>
  <c r="C148" i="13"/>
  <c r="D300" i="2" s="1"/>
  <c r="C152" i="13"/>
  <c r="C325" i="2" s="1"/>
  <c r="C156" i="13"/>
  <c r="C333" i="2" s="1"/>
  <c r="C160" i="13"/>
  <c r="C164" i="13"/>
  <c r="C141" i="13"/>
  <c r="E279" i="2" s="1"/>
  <c r="C145" i="13"/>
  <c r="D291" i="2" s="1"/>
  <c r="C149" i="13"/>
  <c r="D301" i="2" s="1"/>
  <c r="C153" i="13"/>
  <c r="C326" i="2" s="1"/>
  <c r="C157" i="13"/>
  <c r="C161" i="13"/>
  <c r="C165" i="13"/>
  <c r="C142" i="13"/>
  <c r="D288" i="2" s="1"/>
  <c r="C146" i="13"/>
  <c r="D292" i="2" s="1"/>
  <c r="C150" i="13"/>
  <c r="D302" i="2" s="1"/>
  <c r="C154" i="13"/>
  <c r="C327" i="2" s="1"/>
  <c r="C158" i="13"/>
  <c r="C162" i="13"/>
  <c r="C139" i="13"/>
  <c r="E277" i="2" s="1"/>
  <c r="C143" i="13"/>
  <c r="D289" i="2" s="1"/>
  <c r="C147" i="13"/>
  <c r="D299" i="2" s="1"/>
  <c r="C151" i="13"/>
  <c r="D303" i="2" s="1"/>
  <c r="C155" i="13"/>
  <c r="C328" i="2" s="1"/>
  <c r="C159" i="13"/>
  <c r="C163" i="13"/>
  <c r="C117" i="13"/>
  <c r="C121" i="13"/>
  <c r="C125" i="13"/>
  <c r="C129" i="13"/>
  <c r="C133" i="13"/>
  <c r="B269" i="2" s="1"/>
  <c r="C137" i="13"/>
  <c r="E275" i="2" s="1"/>
  <c r="C118" i="13"/>
  <c r="C122" i="13"/>
  <c r="C126" i="13"/>
  <c r="C130" i="13"/>
  <c r="C134" i="13"/>
  <c r="B270" i="2" s="1"/>
  <c r="C138" i="13"/>
  <c r="E276" i="2" s="1"/>
  <c r="C119" i="13"/>
  <c r="C123" i="13"/>
  <c r="C127" i="13"/>
  <c r="C131" i="13"/>
  <c r="C135" i="13"/>
  <c r="B271" i="2" s="1"/>
  <c r="C116" i="13"/>
  <c r="C120" i="13"/>
  <c r="C124" i="13"/>
  <c r="C128" i="13"/>
  <c r="C132" i="13"/>
  <c r="B268" i="2" s="1"/>
  <c r="C136" i="13"/>
  <c r="E274" i="2" s="1"/>
  <c r="C110" i="13"/>
  <c r="A4" i="10" s="1"/>
  <c r="C114" i="13"/>
  <c r="C109" i="13"/>
  <c r="A2" i="10" s="1"/>
  <c r="C113" i="13"/>
  <c r="C111" i="13"/>
  <c r="A5" i="10" s="1"/>
  <c r="C115" i="13"/>
  <c r="C112" i="13"/>
  <c r="C108" i="13"/>
  <c r="A1" i="10" s="1"/>
  <c r="C104" i="13"/>
  <c r="B17" i="11" s="1"/>
  <c r="C105" i="13"/>
  <c r="B21" i="11" s="1"/>
  <c r="C106" i="13"/>
  <c r="B23" i="11" s="1"/>
  <c r="C107" i="13"/>
  <c r="C23" i="11" s="1"/>
  <c r="C97" i="13"/>
  <c r="C101" i="13"/>
  <c r="B11" i="11" s="1"/>
  <c r="C94" i="13"/>
  <c r="F6" i="11" s="1"/>
  <c r="C98" i="13"/>
  <c r="G7" i="11" s="1"/>
  <c r="C102" i="13"/>
  <c r="B12" i="11" s="1"/>
  <c r="C95" i="13"/>
  <c r="C7" i="11" s="1"/>
  <c r="C99" i="13"/>
  <c r="B8" i="11" s="1"/>
  <c r="C103" i="13"/>
  <c r="B13" i="11" s="1"/>
  <c r="C96" i="13"/>
  <c r="D7" i="11" s="1"/>
  <c r="C100" i="13"/>
  <c r="B9" i="11" s="1"/>
  <c r="C81" i="13"/>
  <c r="L11" i="8" s="1"/>
  <c r="C85" i="13"/>
  <c r="P12" i="8" s="1"/>
  <c r="C89" i="13"/>
  <c r="A2" i="11" s="1"/>
  <c r="C93" i="13"/>
  <c r="E6" i="11" s="1"/>
  <c r="C82" i="13"/>
  <c r="N11" i="8" s="1"/>
  <c r="C86" i="13"/>
  <c r="C90" i="13"/>
  <c r="A4" i="11" s="1"/>
  <c r="C83" i="13"/>
  <c r="P11" i="8" s="1"/>
  <c r="C87" i="13"/>
  <c r="C91" i="13"/>
  <c r="C6" i="11" s="1"/>
  <c r="C84" i="13"/>
  <c r="S11" i="8" s="1"/>
  <c r="C88" i="13"/>
  <c r="A1" i="11" s="1"/>
  <c r="C92" i="13"/>
  <c r="D6" i="11" s="1"/>
  <c r="C70" i="13"/>
  <c r="A2" i="8" s="1"/>
  <c r="C74" i="13"/>
  <c r="F7" i="8" s="1"/>
  <c r="C78" i="13"/>
  <c r="S10" i="8" s="1"/>
  <c r="C71" i="13"/>
  <c r="A4" i="8" s="1"/>
  <c r="C75" i="13"/>
  <c r="D8" i="8" s="1"/>
  <c r="C79" i="13"/>
  <c r="T10" i="8" s="1"/>
  <c r="C72" i="13"/>
  <c r="A5" i="8" s="1"/>
  <c r="C76" i="13"/>
  <c r="J10" i="8" s="1"/>
  <c r="C80" i="13"/>
  <c r="J11" i="8" s="1"/>
  <c r="C69" i="13"/>
  <c r="A1" i="8" s="1"/>
  <c r="C73" i="13"/>
  <c r="D7" i="8" s="1"/>
  <c r="C77" i="13"/>
  <c r="P10" i="8" s="1"/>
  <c r="C57" i="13"/>
  <c r="O12" i="6" s="1"/>
  <c r="C61" i="13"/>
  <c r="S12" i="6" s="1"/>
  <c r="C65" i="13"/>
  <c r="C58" i="13"/>
  <c r="P12" i="6" s="1"/>
  <c r="C62" i="13"/>
  <c r="T12" i="6" s="1"/>
  <c r="C66" i="13"/>
  <c r="C59" i="13"/>
  <c r="Q12" i="6" s="1"/>
  <c r="C63" i="13"/>
  <c r="U12" i="6" s="1"/>
  <c r="C67" i="13"/>
  <c r="C56" i="13"/>
  <c r="N12" i="6" s="1"/>
  <c r="C60" i="13"/>
  <c r="R12" i="6" s="1"/>
  <c r="C64" i="13"/>
  <c r="V12" i="6" s="1"/>
  <c r="C68" i="13"/>
  <c r="C44" i="13"/>
  <c r="N11" i="6" s="1"/>
  <c r="C48" i="13"/>
  <c r="T11" i="6" s="1"/>
  <c r="C52" i="13"/>
  <c r="Z11" i="6" s="1"/>
  <c r="C40" i="13"/>
  <c r="N10" i="6" s="1"/>
  <c r="C45" i="13"/>
  <c r="O11" i="6" s="1"/>
  <c r="C49" i="13"/>
  <c r="W11" i="6" s="1"/>
  <c r="C53" i="13"/>
  <c r="AA11" i="6" s="1"/>
  <c r="C41" i="13"/>
  <c r="Q10" i="6" s="1"/>
  <c r="C46" i="13"/>
  <c r="P11" i="6" s="1"/>
  <c r="C50" i="13"/>
  <c r="X11" i="6" s="1"/>
  <c r="C54" i="13"/>
  <c r="AD11" i="6" s="1"/>
  <c r="C42" i="13"/>
  <c r="W10" i="6" s="1"/>
  <c r="C47" i="13"/>
  <c r="Q11" i="6" s="1"/>
  <c r="C51" i="13"/>
  <c r="Y11" i="6" s="1"/>
  <c r="C55" i="13"/>
  <c r="AG11" i="6" s="1"/>
  <c r="C43" i="13"/>
  <c r="AA10" i="6" s="1"/>
  <c r="C16" i="13"/>
  <c r="A2" i="1" s="1"/>
  <c r="C36" i="13"/>
  <c r="D6" i="6" s="1"/>
  <c r="C33" i="13"/>
  <c r="A1" i="6" s="1"/>
  <c r="C37" i="13"/>
  <c r="F6" i="6" s="1"/>
  <c r="C34" i="13"/>
  <c r="A2" i="6" s="1"/>
  <c r="C38" i="13"/>
  <c r="D7" i="6" s="1"/>
  <c r="C35" i="13"/>
  <c r="A4" i="6" s="1"/>
  <c r="C39" i="13"/>
  <c r="F7" i="6" s="1"/>
  <c r="C26" i="13"/>
  <c r="H6" i="1" s="1"/>
  <c r="C18" i="13"/>
  <c r="A4" i="1" s="1"/>
  <c r="C31" i="13"/>
  <c r="H7" i="1" s="1"/>
  <c r="C23" i="13"/>
  <c r="E6" i="1" s="1"/>
  <c r="C30" i="13"/>
  <c r="G7" i="1" s="1"/>
  <c r="C22" i="13"/>
  <c r="D6" i="1" s="1"/>
  <c r="C27" i="13"/>
  <c r="I6" i="1" s="1"/>
  <c r="C19" i="13"/>
  <c r="A6" i="1" s="1"/>
  <c r="C29" i="13"/>
  <c r="F7" i="1" s="1"/>
  <c r="C25" i="13"/>
  <c r="G6" i="1" s="1"/>
  <c r="C21" i="13"/>
  <c r="C6" i="1" s="1"/>
  <c r="C17" i="13"/>
  <c r="C2" i="1" s="1"/>
  <c r="C15" i="13"/>
  <c r="A1" i="1" s="1"/>
  <c r="C28" i="13"/>
  <c r="E7" i="1" s="1"/>
  <c r="C24" i="13"/>
  <c r="F6" i="1" s="1"/>
  <c r="C20" i="13"/>
  <c r="B6" i="1" s="1"/>
  <c r="C8" i="12"/>
  <c r="C9" i="12" s="1"/>
  <c r="C10" i="12" s="1"/>
  <c r="C7" i="12"/>
  <c r="A6" i="12"/>
  <c r="B10" i="12"/>
  <c r="A8" i="12"/>
  <c r="B9" i="12"/>
  <c r="A7" i="12"/>
  <c r="C11" i="12" l="1"/>
  <c r="O19" i="13"/>
  <c r="O20" i="13"/>
  <c r="O18" i="13"/>
  <c r="O15" i="13"/>
  <c r="O17" i="13"/>
  <c r="O16" i="13"/>
  <c r="C230" i="2"/>
  <c r="O49" i="13"/>
  <c r="O51" i="13"/>
  <c r="O50" i="13"/>
  <c r="J230" i="2"/>
  <c r="O72" i="13"/>
  <c r="O70" i="13"/>
  <c r="O71" i="13"/>
  <c r="C228" i="2"/>
  <c r="O44" i="13"/>
  <c r="O43" i="13"/>
  <c r="O45" i="13"/>
  <c r="O25" i="13"/>
  <c r="O26" i="13"/>
  <c r="O24" i="13"/>
  <c r="O23" i="13"/>
  <c r="O21" i="13"/>
  <c r="S19" i="7" s="1"/>
  <c r="O22" i="13"/>
  <c r="H231" i="2"/>
  <c r="O64" i="13"/>
  <c r="O66" i="13"/>
  <c r="O65" i="13"/>
  <c r="B228" i="2"/>
  <c r="O38" i="13"/>
  <c r="O39" i="13"/>
  <c r="O37" i="13"/>
  <c r="H229" i="2"/>
  <c r="O60" i="13"/>
  <c r="O59" i="13"/>
  <c r="O58" i="13"/>
  <c r="A228" i="2"/>
  <c r="O31" i="13"/>
  <c r="O33" i="13"/>
  <c r="O30" i="13"/>
  <c r="B229" i="2"/>
  <c r="O40" i="13"/>
  <c r="O42" i="13"/>
  <c r="O41" i="13"/>
  <c r="H230" i="2"/>
  <c r="O62" i="13"/>
  <c r="O61" i="13"/>
  <c r="O63" i="13"/>
  <c r="A229" i="2"/>
  <c r="O36" i="13"/>
  <c r="O35" i="13"/>
  <c r="O34" i="13"/>
  <c r="C231" i="2"/>
  <c r="O56" i="13"/>
  <c r="O57" i="13"/>
  <c r="O55" i="13"/>
  <c r="O27" i="13"/>
  <c r="O28" i="13"/>
  <c r="O29" i="13"/>
  <c r="O52" i="13"/>
  <c r="O54" i="13"/>
  <c r="O53" i="13"/>
  <c r="J231" i="2"/>
  <c r="O73" i="13"/>
  <c r="O75" i="13"/>
  <c r="O74" i="13"/>
  <c r="C229" i="2"/>
  <c r="B222" i="2" s="1"/>
  <c r="O48" i="13"/>
  <c r="O46" i="13"/>
  <c r="O47" i="13"/>
  <c r="J229" i="2"/>
  <c r="O68" i="13"/>
  <c r="O67" i="13"/>
  <c r="O69" i="13"/>
  <c r="B224" i="2"/>
  <c r="H228" i="2" s="1"/>
  <c r="B225" i="2"/>
  <c r="E8" i="6" s="1"/>
  <c r="B180" i="2"/>
  <c r="E27" i="2" s="1"/>
  <c r="B179" i="2"/>
  <c r="D181" i="2"/>
  <c r="D179" i="2"/>
  <c r="D182" i="2"/>
  <c r="D180" i="2"/>
  <c r="G27" i="2" s="1"/>
  <c r="B182" i="2"/>
  <c r="B181" i="2"/>
  <c r="F7" i="11"/>
  <c r="E7" i="11"/>
  <c r="M12" i="8"/>
  <c r="R12" i="8"/>
  <c r="K12" i="8"/>
  <c r="O12" i="8"/>
  <c r="L12" i="8"/>
  <c r="J12" i="8"/>
  <c r="Q12" i="8"/>
  <c r="N12" i="8"/>
  <c r="G12" i="6"/>
  <c r="G12" i="8"/>
  <c r="H12" i="6"/>
  <c r="H12" i="8"/>
  <c r="I12" i="6"/>
  <c r="I12" i="8"/>
  <c r="AA12" i="6"/>
  <c r="AD12" i="6"/>
  <c r="AG12" i="6"/>
  <c r="AC12" i="6"/>
  <c r="AF12" i="6"/>
  <c r="AI12" i="6"/>
  <c r="AB12" i="6"/>
  <c r="AH12" i="6"/>
  <c r="AE12" i="6"/>
  <c r="Y12" i="6"/>
  <c r="X12" i="6"/>
  <c r="W12" i="6"/>
  <c r="Z12" i="6"/>
  <c r="I228" i="2"/>
  <c r="B12" i="5"/>
  <c r="R12" i="5"/>
  <c r="B13" i="5"/>
  <c r="R13" i="5" s="1"/>
  <c r="B14" i="5"/>
  <c r="R14" i="5"/>
  <c r="B15" i="5"/>
  <c r="R15" i="5" s="1"/>
  <c r="B16" i="5"/>
  <c r="R16" i="5" s="1"/>
  <c r="B17" i="5"/>
  <c r="R17" i="5" s="1"/>
  <c r="B18" i="5"/>
  <c r="R18" i="5" s="1"/>
  <c r="B19" i="5"/>
  <c r="R19" i="5" s="1"/>
  <c r="B20" i="5"/>
  <c r="R20" i="5" s="1"/>
  <c r="B21" i="5"/>
  <c r="R21" i="5" s="1"/>
  <c r="B22" i="5"/>
  <c r="R22" i="5"/>
  <c r="B23" i="5"/>
  <c r="R23" i="5" s="1"/>
  <c r="B24" i="5"/>
  <c r="R24" i="5" s="1"/>
  <c r="B25" i="5"/>
  <c r="R25" i="5" s="1"/>
  <c r="B26" i="5"/>
  <c r="R26" i="5" s="1"/>
  <c r="B27" i="5"/>
  <c r="R27" i="5" s="1"/>
  <c r="B28" i="5"/>
  <c r="R28" i="5"/>
  <c r="B29" i="5"/>
  <c r="R29" i="5" s="1"/>
  <c r="B30" i="5"/>
  <c r="R30" i="5"/>
  <c r="B31" i="5"/>
  <c r="R31" i="5" s="1"/>
  <c r="B32" i="5"/>
  <c r="R32" i="5" s="1"/>
  <c r="B33" i="5"/>
  <c r="R33" i="5" s="1"/>
  <c r="B34" i="5"/>
  <c r="R34" i="5" s="1"/>
  <c r="B35" i="5"/>
  <c r="R35" i="5" s="1"/>
  <c r="B36" i="5"/>
  <c r="R36" i="5" s="1"/>
  <c r="B37" i="5"/>
  <c r="R37" i="5" s="1"/>
  <c r="B38" i="5"/>
  <c r="R38" i="5"/>
  <c r="B39" i="5"/>
  <c r="R39" i="5" s="1"/>
  <c r="B40" i="5"/>
  <c r="R40" i="5" s="1"/>
  <c r="B41" i="5"/>
  <c r="R41" i="5" s="1"/>
  <c r="B42" i="5"/>
  <c r="R42" i="5" s="1"/>
  <c r="B43" i="5"/>
  <c r="R43" i="5" s="1"/>
  <c r="B44" i="5"/>
  <c r="R44" i="5" s="1"/>
  <c r="B45" i="5"/>
  <c r="R45" i="5" s="1"/>
  <c r="B46" i="5"/>
  <c r="R46" i="5"/>
  <c r="B47" i="5"/>
  <c r="R47" i="5" s="1"/>
  <c r="B48" i="5"/>
  <c r="R48" i="5" s="1"/>
  <c r="B49" i="5"/>
  <c r="R49" i="5" s="1"/>
  <c r="B50" i="5"/>
  <c r="R50" i="5" s="1"/>
  <c r="B51" i="5"/>
  <c r="R51" i="5" s="1"/>
  <c r="B52" i="5"/>
  <c r="R52" i="5" s="1"/>
  <c r="B53" i="5"/>
  <c r="R53" i="5" s="1"/>
  <c r="B54" i="5"/>
  <c r="R54" i="5"/>
  <c r="B55" i="5"/>
  <c r="R55" i="5" s="1"/>
  <c r="B56" i="5"/>
  <c r="R56" i="5" s="1"/>
  <c r="B57" i="5"/>
  <c r="R57" i="5" s="1"/>
  <c r="B58" i="5"/>
  <c r="R58" i="5" s="1"/>
  <c r="B59" i="5"/>
  <c r="R59" i="5" s="1"/>
  <c r="B60" i="5"/>
  <c r="R60" i="5" s="1"/>
  <c r="B61" i="5"/>
  <c r="R61" i="5" s="1"/>
  <c r="B62" i="5"/>
  <c r="R62" i="5"/>
  <c r="B63" i="5"/>
  <c r="R63" i="5" s="1"/>
  <c r="B64" i="5"/>
  <c r="R64" i="5" s="1"/>
  <c r="B65" i="5"/>
  <c r="R65" i="5" s="1"/>
  <c r="B66" i="5"/>
  <c r="R66" i="5" s="1"/>
  <c r="B67" i="5"/>
  <c r="R67" i="5" s="1"/>
  <c r="B68" i="5"/>
  <c r="R68" i="5" s="1"/>
  <c r="B69" i="5"/>
  <c r="R69" i="5" s="1"/>
  <c r="B70" i="5"/>
  <c r="R70" i="5"/>
  <c r="B71" i="5"/>
  <c r="R71" i="5" s="1"/>
  <c r="B72" i="5"/>
  <c r="R72" i="5" s="1"/>
  <c r="B73" i="5"/>
  <c r="R73" i="5" s="1"/>
  <c r="B74" i="5"/>
  <c r="R74" i="5" s="1"/>
  <c r="B75" i="5"/>
  <c r="R75" i="5" s="1"/>
  <c r="B76" i="5"/>
  <c r="R76" i="5" s="1"/>
  <c r="B77" i="5"/>
  <c r="R77" i="5" s="1"/>
  <c r="B78" i="5"/>
  <c r="R78" i="5"/>
  <c r="B79" i="5"/>
  <c r="R79" i="5" s="1"/>
  <c r="B80" i="5"/>
  <c r="R80" i="5" s="1"/>
  <c r="B81" i="5"/>
  <c r="R81" i="5" s="1"/>
  <c r="B82" i="5"/>
  <c r="R82" i="5" s="1"/>
  <c r="B83" i="5"/>
  <c r="R83" i="5" s="1"/>
  <c r="B84" i="5"/>
  <c r="R84" i="5" s="1"/>
  <c r="B85" i="5"/>
  <c r="R85" i="5" s="1"/>
  <c r="B86" i="5"/>
  <c r="R86" i="5"/>
  <c r="B87" i="5"/>
  <c r="R87" i="5" s="1"/>
  <c r="B88" i="5"/>
  <c r="R88" i="5" s="1"/>
  <c r="B89" i="5"/>
  <c r="R89" i="5" s="1"/>
  <c r="B90" i="5"/>
  <c r="R90" i="5" s="1"/>
  <c r="B91" i="5"/>
  <c r="R91" i="5" s="1"/>
  <c r="B92" i="5"/>
  <c r="R92" i="5"/>
  <c r="B93" i="5"/>
  <c r="R93" i="5" s="1"/>
  <c r="B94" i="5"/>
  <c r="R94" i="5"/>
  <c r="B95" i="5"/>
  <c r="R95" i="5" s="1"/>
  <c r="B96" i="5"/>
  <c r="R96" i="5" s="1"/>
  <c r="B97" i="5"/>
  <c r="R97" i="5" s="1"/>
  <c r="B98" i="5"/>
  <c r="R98" i="5" s="1"/>
  <c r="B99" i="5"/>
  <c r="R99" i="5" s="1"/>
  <c r="B100" i="5"/>
  <c r="R100" i="5" s="1"/>
  <c r="B101" i="5"/>
  <c r="R101" i="5" s="1"/>
  <c r="B102" i="5"/>
  <c r="R102" i="5"/>
  <c r="B103" i="5"/>
  <c r="R103" i="5" s="1"/>
  <c r="B104" i="5"/>
  <c r="R104" i="5" s="1"/>
  <c r="B105" i="5"/>
  <c r="R105" i="5" s="1"/>
  <c r="B106" i="5"/>
  <c r="R106" i="5" s="1"/>
  <c r="B107" i="5"/>
  <c r="R107" i="5" s="1"/>
  <c r="B108" i="5"/>
  <c r="R108" i="5" s="1"/>
  <c r="B109" i="5"/>
  <c r="R109" i="5" s="1"/>
  <c r="B110" i="5"/>
  <c r="R110" i="5"/>
  <c r="B111" i="5"/>
  <c r="R111" i="5" s="1"/>
  <c r="B112" i="5"/>
  <c r="R112" i="5" s="1"/>
  <c r="B113" i="5"/>
  <c r="R113" i="5" s="1"/>
  <c r="B114" i="5"/>
  <c r="R114" i="5" s="1"/>
  <c r="B115" i="5"/>
  <c r="R115" i="5" s="1"/>
  <c r="B116" i="5"/>
  <c r="R116" i="5" s="1"/>
  <c r="B117" i="5"/>
  <c r="R117" i="5" s="1"/>
  <c r="B118" i="5"/>
  <c r="R118" i="5"/>
  <c r="B119" i="5"/>
  <c r="R119" i="5" s="1"/>
  <c r="B120" i="5"/>
  <c r="R120" i="5" s="1"/>
  <c r="B121" i="5"/>
  <c r="R121" i="5" s="1"/>
  <c r="B122" i="5"/>
  <c r="R122" i="5" s="1"/>
  <c r="B123" i="5"/>
  <c r="R123" i="5" s="1"/>
  <c r="B124" i="5"/>
  <c r="R124" i="5" s="1"/>
  <c r="B125" i="5"/>
  <c r="R125" i="5" s="1"/>
  <c r="B126" i="5"/>
  <c r="R126" i="5"/>
  <c r="B127" i="5"/>
  <c r="R127" i="5" s="1"/>
  <c r="B128" i="5"/>
  <c r="R128" i="5" s="1"/>
  <c r="B129" i="5"/>
  <c r="R129" i="5" s="1"/>
  <c r="B130" i="5"/>
  <c r="R130" i="5" s="1"/>
  <c r="B131" i="5"/>
  <c r="R131" i="5" s="1"/>
  <c r="B132" i="5"/>
  <c r="R132" i="5" s="1"/>
  <c r="B133" i="5"/>
  <c r="R133" i="5" s="1"/>
  <c r="B134" i="5"/>
  <c r="R134" i="5"/>
  <c r="B135" i="5"/>
  <c r="R135" i="5" s="1"/>
  <c r="B136" i="5"/>
  <c r="R136" i="5" s="1"/>
  <c r="B137" i="5"/>
  <c r="R137" i="5" s="1"/>
  <c r="B138" i="5"/>
  <c r="R138" i="5" s="1"/>
  <c r="B139" i="5"/>
  <c r="R139" i="5" s="1"/>
  <c r="B140" i="5"/>
  <c r="R140" i="5"/>
  <c r="B141" i="5"/>
  <c r="R141" i="5" s="1"/>
  <c r="B142" i="5"/>
  <c r="R142" i="5"/>
  <c r="B143" i="5"/>
  <c r="R143" i="5" s="1"/>
  <c r="B144" i="5"/>
  <c r="R144" i="5" s="1"/>
  <c r="B145" i="5"/>
  <c r="R145" i="5" s="1"/>
  <c r="B146" i="5"/>
  <c r="R146" i="5" s="1"/>
  <c r="B147" i="5"/>
  <c r="R147" i="5" s="1"/>
  <c r="B148" i="5"/>
  <c r="R148" i="5" s="1"/>
  <c r="B149" i="5"/>
  <c r="R149" i="5" s="1"/>
  <c r="B150" i="5"/>
  <c r="R150" i="5"/>
  <c r="B151" i="5"/>
  <c r="R151" i="5" s="1"/>
  <c r="B152" i="5"/>
  <c r="R152" i="5" s="1"/>
  <c r="B153" i="5"/>
  <c r="R153" i="5" s="1"/>
  <c r="B154" i="5"/>
  <c r="R154" i="5" s="1"/>
  <c r="B155" i="5"/>
  <c r="R155" i="5" s="1"/>
  <c r="B156" i="5"/>
  <c r="R156" i="5"/>
  <c r="B157" i="5"/>
  <c r="R157" i="5" s="1"/>
  <c r="B158" i="5"/>
  <c r="R158" i="5"/>
  <c r="B159" i="5"/>
  <c r="R159" i="5" s="1"/>
  <c r="B160" i="5"/>
  <c r="R160" i="5" s="1"/>
  <c r="B161" i="5"/>
  <c r="R161" i="5" s="1"/>
  <c r="B162" i="5"/>
  <c r="R162" i="5" s="1"/>
  <c r="B163" i="5"/>
  <c r="R163" i="5" s="1"/>
  <c r="B164" i="5"/>
  <c r="R164" i="5" s="1"/>
  <c r="B165" i="5"/>
  <c r="R165" i="5" s="1"/>
  <c r="B166" i="5"/>
  <c r="R166" i="5"/>
  <c r="B167" i="5"/>
  <c r="R167" i="5" s="1"/>
  <c r="B168" i="5"/>
  <c r="R168" i="5" s="1"/>
  <c r="B169" i="5"/>
  <c r="R169" i="5" s="1"/>
  <c r="B170" i="5"/>
  <c r="R170" i="5" s="1"/>
  <c r="B171" i="5"/>
  <c r="R171" i="5" s="1"/>
  <c r="B172" i="5"/>
  <c r="R172" i="5" s="1"/>
  <c r="B173" i="5"/>
  <c r="R173" i="5" s="1"/>
  <c r="B174" i="5"/>
  <c r="R174" i="5"/>
  <c r="B175" i="5"/>
  <c r="R175" i="5" s="1"/>
  <c r="B176" i="5"/>
  <c r="R176" i="5" s="1"/>
  <c r="B177" i="5"/>
  <c r="R177" i="5" s="1"/>
  <c r="B178" i="5"/>
  <c r="R178" i="5" s="1"/>
  <c r="B179" i="5"/>
  <c r="R179" i="5" s="1"/>
  <c r="B180" i="5"/>
  <c r="R180" i="5" s="1"/>
  <c r="B181" i="5"/>
  <c r="R181" i="5" s="1"/>
  <c r="B182" i="5"/>
  <c r="R182" i="5"/>
  <c r="B183" i="5"/>
  <c r="R183" i="5" s="1"/>
  <c r="B184" i="5"/>
  <c r="R184" i="5"/>
  <c r="B185" i="5"/>
  <c r="R185" i="5" s="1"/>
  <c r="B186" i="5"/>
  <c r="R186" i="5"/>
  <c r="B187" i="5"/>
  <c r="R187" i="5" s="1"/>
  <c r="B188" i="5"/>
  <c r="R188" i="5"/>
  <c r="B189" i="5"/>
  <c r="R189" i="5" s="1"/>
  <c r="B190" i="5"/>
  <c r="R190" i="5"/>
  <c r="B191" i="5"/>
  <c r="R191" i="5" s="1"/>
  <c r="B192" i="5"/>
  <c r="R192" i="5"/>
  <c r="B193" i="5"/>
  <c r="R193" i="5" s="1"/>
  <c r="B194" i="5"/>
  <c r="R194" i="5"/>
  <c r="B195" i="5"/>
  <c r="R195" i="5" s="1"/>
  <c r="B196" i="5"/>
  <c r="R196" i="5"/>
  <c r="B197" i="5"/>
  <c r="R197" i="5" s="1"/>
  <c r="B198" i="5"/>
  <c r="R198" i="5"/>
  <c r="B199" i="5"/>
  <c r="R199" i="5" s="1"/>
  <c r="B200" i="5"/>
  <c r="R200" i="5"/>
  <c r="B201" i="5"/>
  <c r="R201" i="5" s="1"/>
  <c r="B202" i="5"/>
  <c r="R202" i="5"/>
  <c r="B203" i="5"/>
  <c r="R203" i="5" s="1"/>
  <c r="B204" i="5"/>
  <c r="R204" i="5"/>
  <c r="B205" i="5"/>
  <c r="R205" i="5" s="1"/>
  <c r="B206" i="5"/>
  <c r="R206" i="5"/>
  <c r="B207" i="5"/>
  <c r="R207" i="5" s="1"/>
  <c r="B208" i="5"/>
  <c r="R208" i="5"/>
  <c r="B209" i="5"/>
  <c r="R209" i="5" s="1"/>
  <c r="B210" i="5"/>
  <c r="R210" i="5"/>
  <c r="B211" i="5"/>
  <c r="R211" i="5" s="1"/>
  <c r="B212" i="5"/>
  <c r="R212" i="5"/>
  <c r="B213" i="5"/>
  <c r="R213" i="5" s="1"/>
  <c r="B214" i="5"/>
  <c r="R214" i="5"/>
  <c r="B215" i="5"/>
  <c r="R215" i="5" s="1"/>
  <c r="B216" i="5"/>
  <c r="R216" i="5"/>
  <c r="B217" i="5"/>
  <c r="R217" i="5" s="1"/>
  <c r="B218" i="5"/>
  <c r="R218" i="5"/>
  <c r="B219" i="5"/>
  <c r="R219" i="5" s="1"/>
  <c r="B220" i="5"/>
  <c r="R220" i="5"/>
  <c r="B221" i="5"/>
  <c r="R221" i="5" s="1"/>
  <c r="B222" i="5"/>
  <c r="R222" i="5"/>
  <c r="B223" i="5"/>
  <c r="R223" i="5" s="1"/>
  <c r="B224" i="5"/>
  <c r="R224" i="5"/>
  <c r="B225" i="5"/>
  <c r="R225" i="5" s="1"/>
  <c r="B226" i="5"/>
  <c r="R226" i="5"/>
  <c r="B227" i="5"/>
  <c r="R227" i="5" s="1"/>
  <c r="B228" i="5"/>
  <c r="R228" i="5"/>
  <c r="B229" i="5"/>
  <c r="R229" i="5" s="1"/>
  <c r="B230" i="5"/>
  <c r="R230" i="5"/>
  <c r="B231" i="5"/>
  <c r="R231" i="5" s="1"/>
  <c r="B232" i="5"/>
  <c r="R232" i="5"/>
  <c r="B233" i="5"/>
  <c r="R233" i="5" s="1"/>
  <c r="B234" i="5"/>
  <c r="R234" i="5"/>
  <c r="B235" i="5"/>
  <c r="R235" i="5" s="1"/>
  <c r="B236" i="5"/>
  <c r="R236" i="5"/>
  <c r="B237" i="5"/>
  <c r="R237" i="5" s="1"/>
  <c r="B238" i="5"/>
  <c r="R238" i="5"/>
  <c r="B239" i="5"/>
  <c r="R239" i="5" s="1"/>
  <c r="B240" i="5"/>
  <c r="R240" i="5"/>
  <c r="B241" i="5"/>
  <c r="R241" i="5" s="1"/>
  <c r="B242" i="5"/>
  <c r="R242" i="5"/>
  <c r="B243" i="5"/>
  <c r="R243" i="5" s="1"/>
  <c r="B244" i="5"/>
  <c r="R244" i="5"/>
  <c r="B245" i="5"/>
  <c r="R245" i="5" s="1"/>
  <c r="B246" i="5"/>
  <c r="R246" i="5"/>
  <c r="B247" i="5"/>
  <c r="R247" i="5" s="1"/>
  <c r="B248" i="5"/>
  <c r="R248" i="5"/>
  <c r="B249" i="5"/>
  <c r="R249" i="5" s="1"/>
  <c r="B250" i="5"/>
  <c r="R250" i="5"/>
  <c r="B251" i="5"/>
  <c r="R251" i="5" s="1"/>
  <c r="B252" i="5"/>
  <c r="R252" i="5"/>
  <c r="B253" i="5"/>
  <c r="R253" i="5" s="1"/>
  <c r="B254" i="5"/>
  <c r="R254" i="5"/>
  <c r="B255" i="5"/>
  <c r="R255" i="5" s="1"/>
  <c r="B256" i="5"/>
  <c r="R256" i="5"/>
  <c r="B257" i="5"/>
  <c r="R257" i="5" s="1"/>
  <c r="B258" i="5"/>
  <c r="R258" i="5"/>
  <c r="B259" i="5"/>
  <c r="R259" i="5" s="1"/>
  <c r="B260" i="5"/>
  <c r="R260" i="5"/>
  <c r="B261" i="5"/>
  <c r="R261" i="5" s="1"/>
  <c r="B262" i="5"/>
  <c r="R262" i="5"/>
  <c r="B263" i="5"/>
  <c r="R263" i="5" s="1"/>
  <c r="B264" i="5"/>
  <c r="R264" i="5"/>
  <c r="B265" i="5"/>
  <c r="R265" i="5" s="1"/>
  <c r="B266" i="5"/>
  <c r="R266" i="5"/>
  <c r="B267" i="5"/>
  <c r="R267" i="5" s="1"/>
  <c r="B268" i="5"/>
  <c r="R268" i="5"/>
  <c r="B269" i="5"/>
  <c r="R269" i="5" s="1"/>
  <c r="B270" i="5"/>
  <c r="R270" i="5"/>
  <c r="B271" i="5"/>
  <c r="R271" i="5" s="1"/>
  <c r="B272" i="5"/>
  <c r="R272" i="5"/>
  <c r="B273" i="5"/>
  <c r="R273" i="5" s="1"/>
  <c r="B274" i="5"/>
  <c r="R274" i="5"/>
  <c r="B275" i="5"/>
  <c r="R275" i="5" s="1"/>
  <c r="B276" i="5"/>
  <c r="R276" i="5"/>
  <c r="B277" i="5"/>
  <c r="R277" i="5" s="1"/>
  <c r="B278" i="5"/>
  <c r="R278" i="5"/>
  <c r="B279" i="5"/>
  <c r="R279" i="5" s="1"/>
  <c r="B280" i="5"/>
  <c r="R280" i="5"/>
  <c r="B281" i="5"/>
  <c r="R281" i="5" s="1"/>
  <c r="B282" i="5"/>
  <c r="R282" i="5"/>
  <c r="B283" i="5"/>
  <c r="R283" i="5" s="1"/>
  <c r="B284" i="5"/>
  <c r="R284" i="5"/>
  <c r="B285" i="5"/>
  <c r="R285" i="5" s="1"/>
  <c r="B286" i="5"/>
  <c r="R286" i="5"/>
  <c r="B287" i="5"/>
  <c r="R287" i="5" s="1"/>
  <c r="B288" i="5"/>
  <c r="R288" i="5"/>
  <c r="B289" i="5"/>
  <c r="R289" i="5" s="1"/>
  <c r="B290" i="5"/>
  <c r="R290" i="5"/>
  <c r="B291" i="5"/>
  <c r="R291" i="5" s="1"/>
  <c r="B292" i="5"/>
  <c r="R292" i="5"/>
  <c r="B293" i="5"/>
  <c r="R293" i="5" s="1"/>
  <c r="B294" i="5"/>
  <c r="R294" i="5"/>
  <c r="B295" i="5"/>
  <c r="R295" i="5" s="1"/>
  <c r="B296" i="5"/>
  <c r="R296" i="5"/>
  <c r="B297" i="5"/>
  <c r="R297" i="5" s="1"/>
  <c r="B298" i="5"/>
  <c r="R298" i="5"/>
  <c r="B299" i="5"/>
  <c r="R299" i="5" s="1"/>
  <c r="B300" i="5"/>
  <c r="R300" i="5"/>
  <c r="B301" i="5"/>
  <c r="R301" i="5" s="1"/>
  <c r="B302" i="5"/>
  <c r="R302" i="5"/>
  <c r="B303" i="5"/>
  <c r="R303" i="5" s="1"/>
  <c r="B304" i="5"/>
  <c r="R304" i="5"/>
  <c r="B305" i="5"/>
  <c r="R305" i="5" s="1"/>
  <c r="B306" i="5"/>
  <c r="R306" i="5"/>
  <c r="B307" i="5"/>
  <c r="R307" i="5" s="1"/>
  <c r="B308" i="5"/>
  <c r="R308" i="5"/>
  <c r="B309" i="5"/>
  <c r="R309" i="5" s="1"/>
  <c r="B310" i="5"/>
  <c r="R310" i="5"/>
  <c r="B311" i="5"/>
  <c r="R311" i="5"/>
  <c r="B14" i="6"/>
  <c r="B15" i="6"/>
  <c r="H14" i="5"/>
  <c r="M14" i="5" s="1"/>
  <c r="G14" i="5"/>
  <c r="L14" i="5" s="1"/>
  <c r="F14" i="5"/>
  <c r="K14" i="5" s="1"/>
  <c r="AH14" i="5"/>
  <c r="C9" i="6"/>
  <c r="K9" i="6"/>
  <c r="A9" i="6"/>
  <c r="B16" i="6"/>
  <c r="H15" i="5"/>
  <c r="M15" i="5" s="1"/>
  <c r="G15" i="5"/>
  <c r="L15" i="5" s="1"/>
  <c r="F15" i="5"/>
  <c r="AH15" i="5"/>
  <c r="T9" i="6"/>
  <c r="Z14" i="5"/>
  <c r="Z15" i="5"/>
  <c r="K32" i="6"/>
  <c r="M35" i="7" s="1"/>
  <c r="A8" i="7"/>
  <c r="K33" i="6"/>
  <c r="K34" i="6"/>
  <c r="AM37" i="7"/>
  <c r="K35" i="6"/>
  <c r="K36" i="6"/>
  <c r="K37" i="6"/>
  <c r="A37" i="6" s="1"/>
  <c r="E37" i="6" s="1"/>
  <c r="G40" i="7" s="1"/>
  <c r="K38" i="6"/>
  <c r="K39" i="6"/>
  <c r="K40" i="6"/>
  <c r="A40" i="6" s="1"/>
  <c r="E40" i="6" s="1"/>
  <c r="G43" i="7" s="1"/>
  <c r="K41" i="6"/>
  <c r="K42" i="6"/>
  <c r="K43" i="6"/>
  <c r="A43" i="6" s="1"/>
  <c r="Q43" i="6" s="1"/>
  <c r="S43" i="6" s="1"/>
  <c r="X46" i="7" s="1"/>
  <c r="K44" i="6"/>
  <c r="K45" i="6"/>
  <c r="A45" i="6" s="1"/>
  <c r="AG45" i="6" s="1"/>
  <c r="K46" i="6"/>
  <c r="K47" i="6"/>
  <c r="K48" i="6"/>
  <c r="K49" i="6"/>
  <c r="K50" i="6"/>
  <c r="A50" i="6" s="1"/>
  <c r="I50" i="6" s="1"/>
  <c r="K53" i="7" s="1"/>
  <c r="K51" i="6"/>
  <c r="M54" i="7" s="1"/>
  <c r="K52" i="6"/>
  <c r="A52" i="6" s="1"/>
  <c r="E52" i="6" s="1"/>
  <c r="G55" i="7" s="1"/>
  <c r="K53" i="6"/>
  <c r="A53" i="6" s="1"/>
  <c r="F53" i="6" s="1"/>
  <c r="H56" i="7" s="1"/>
  <c r="K54" i="6"/>
  <c r="M57" i="7" s="1"/>
  <c r="K55" i="6"/>
  <c r="K56" i="6"/>
  <c r="A56" i="6" s="1"/>
  <c r="G56" i="6" s="1"/>
  <c r="I59" i="7" s="1"/>
  <c r="AK59" i="7" s="1"/>
  <c r="K57" i="6"/>
  <c r="A57" i="6" s="1"/>
  <c r="D57" i="6" s="1"/>
  <c r="F60" i="7" s="1"/>
  <c r="K58" i="6"/>
  <c r="A58" i="6" s="1"/>
  <c r="K59" i="6"/>
  <c r="K60" i="6"/>
  <c r="A60" i="6" s="1"/>
  <c r="G60" i="6" s="1"/>
  <c r="I63" i="7" s="1"/>
  <c r="K61" i="6"/>
  <c r="A61" i="6" s="1"/>
  <c r="K62" i="6"/>
  <c r="A62" i="6" s="1"/>
  <c r="Q62" i="6" s="1"/>
  <c r="S62" i="6" s="1"/>
  <c r="X65" i="7" s="1"/>
  <c r="K63" i="6"/>
  <c r="K64" i="6"/>
  <c r="A64" i="6" s="1"/>
  <c r="E64" i="6" s="1"/>
  <c r="G67" i="7" s="1"/>
  <c r="K65" i="6"/>
  <c r="K66" i="6"/>
  <c r="K67" i="6"/>
  <c r="A67" i="6" s="1"/>
  <c r="AG67" i="6" s="1"/>
  <c r="K68" i="6"/>
  <c r="A68" i="6" s="1"/>
  <c r="E68" i="6" s="1"/>
  <c r="G71" i="7" s="1"/>
  <c r="K69" i="6"/>
  <c r="A69" i="6" s="1"/>
  <c r="AG69" i="6" s="1"/>
  <c r="K70" i="6"/>
  <c r="A70" i="6" s="1"/>
  <c r="K71" i="6"/>
  <c r="K72" i="6"/>
  <c r="A72" i="6" s="1"/>
  <c r="Z72" i="6" s="1"/>
  <c r="AE75" i="7" s="1"/>
  <c r="AG75" i="7" s="1"/>
  <c r="BD75" i="7" s="1"/>
  <c r="K73" i="6"/>
  <c r="A73" i="6" s="1"/>
  <c r="F73" i="6" s="1"/>
  <c r="H76" i="7" s="1"/>
  <c r="K74" i="6"/>
  <c r="K75" i="6"/>
  <c r="K76" i="6"/>
  <c r="K77" i="6"/>
  <c r="A77" i="6" s="1"/>
  <c r="A80" i="7" s="1"/>
  <c r="K78" i="6"/>
  <c r="K79" i="6"/>
  <c r="A79" i="6" s="1"/>
  <c r="D79" i="6" s="1"/>
  <c r="F82" i="7" s="1"/>
  <c r="K80" i="6"/>
  <c r="K81" i="6"/>
  <c r="A81" i="6" s="1"/>
  <c r="Z81" i="6" s="1"/>
  <c r="AE84" i="7" s="1"/>
  <c r="Q84" i="7" s="1"/>
  <c r="K82" i="6"/>
  <c r="K83" i="6"/>
  <c r="K84" i="6"/>
  <c r="A84" i="6" s="1"/>
  <c r="E84" i="6" s="1"/>
  <c r="G87" i="7" s="1"/>
  <c r="K85" i="6"/>
  <c r="A85" i="6" s="1"/>
  <c r="H85" i="6" s="1"/>
  <c r="J88" i="7" s="1"/>
  <c r="K86" i="6"/>
  <c r="K87" i="6"/>
  <c r="K88" i="6"/>
  <c r="A88" i="6" s="1"/>
  <c r="D88" i="6" s="1"/>
  <c r="F91" i="7" s="1"/>
  <c r="K89" i="6"/>
  <c r="K90" i="6"/>
  <c r="K91" i="6"/>
  <c r="A91" i="6" s="1"/>
  <c r="F91" i="6" s="1"/>
  <c r="H94" i="7" s="1"/>
  <c r="K92" i="6"/>
  <c r="K93" i="6"/>
  <c r="A93" i="6" s="1"/>
  <c r="K94" i="6"/>
  <c r="K95" i="6"/>
  <c r="A95" i="6" s="1"/>
  <c r="F95" i="6" s="1"/>
  <c r="H98" i="7" s="1"/>
  <c r="K96" i="6"/>
  <c r="K97" i="6"/>
  <c r="K98" i="6"/>
  <c r="A98" i="6" s="1"/>
  <c r="D98" i="6" s="1"/>
  <c r="F101" i="7" s="1"/>
  <c r="K99" i="6"/>
  <c r="K100" i="6"/>
  <c r="K101" i="6"/>
  <c r="A101" i="6" s="1"/>
  <c r="K102" i="6"/>
  <c r="K103" i="6"/>
  <c r="A103" i="6" s="1"/>
  <c r="F103" i="6" s="1"/>
  <c r="H106" i="7" s="1"/>
  <c r="K104" i="6"/>
  <c r="K105" i="6"/>
  <c r="K106" i="6"/>
  <c r="K107" i="6"/>
  <c r="K108" i="6"/>
  <c r="K109" i="6"/>
  <c r="K110" i="6"/>
  <c r="A110" i="6" s="1"/>
  <c r="Z110" i="6" s="1"/>
  <c r="AE113" i="7" s="1"/>
  <c r="AG113" i="7" s="1"/>
  <c r="K111" i="6"/>
  <c r="A111" i="6" s="1"/>
  <c r="Z111" i="6" s="1"/>
  <c r="AE114" i="7" s="1"/>
  <c r="K112" i="6"/>
  <c r="K113" i="6"/>
  <c r="A113" i="6" s="1"/>
  <c r="H113" i="6" s="1"/>
  <c r="J116" i="7" s="1"/>
  <c r="K114" i="6"/>
  <c r="K115" i="6"/>
  <c r="K116" i="6"/>
  <c r="K117" i="6"/>
  <c r="K118" i="6"/>
  <c r="A118" i="6" s="1"/>
  <c r="H118" i="6" s="1"/>
  <c r="J121" i="7" s="1"/>
  <c r="K119" i="6"/>
  <c r="K120" i="6"/>
  <c r="K121" i="6"/>
  <c r="K122" i="6"/>
  <c r="K123" i="6"/>
  <c r="K124" i="6"/>
  <c r="A124" i="6" s="1"/>
  <c r="K125" i="6"/>
  <c r="K126" i="6"/>
  <c r="K127" i="6"/>
  <c r="AM130" i="7"/>
  <c r="K128" i="6"/>
  <c r="A128" i="6" s="1"/>
  <c r="K129" i="6"/>
  <c r="K130" i="6"/>
  <c r="K131" i="6"/>
  <c r="A131" i="6" s="1"/>
  <c r="AG131" i="6" s="1"/>
  <c r="K132" i="6"/>
  <c r="K133" i="6"/>
  <c r="K134" i="6"/>
  <c r="K135" i="6"/>
  <c r="K136" i="6"/>
  <c r="K137" i="6"/>
  <c r="K138" i="6"/>
  <c r="A138" i="6" s="1"/>
  <c r="E138" i="6" s="1"/>
  <c r="G141" i="7" s="1"/>
  <c r="K139" i="6"/>
  <c r="K140" i="6"/>
  <c r="A140" i="6" s="1"/>
  <c r="E140" i="6" s="1"/>
  <c r="G143" i="7" s="1"/>
  <c r="K141" i="6"/>
  <c r="K142" i="6"/>
  <c r="A142" i="6" s="1"/>
  <c r="E142" i="6" s="1"/>
  <c r="G145" i="7" s="1"/>
  <c r="K143" i="6"/>
  <c r="K144" i="6"/>
  <c r="A144" i="6" s="1"/>
  <c r="AG144" i="6" s="1"/>
  <c r="K145" i="6"/>
  <c r="K146" i="6"/>
  <c r="K147" i="6"/>
  <c r="K148" i="6"/>
  <c r="A148" i="6" s="1"/>
  <c r="D148" i="6" s="1"/>
  <c r="F151" i="7" s="1"/>
  <c r="K149" i="6"/>
  <c r="K150" i="6"/>
  <c r="K151" i="6"/>
  <c r="K152" i="6"/>
  <c r="K153" i="6"/>
  <c r="K154" i="6"/>
  <c r="A154" i="6" s="1"/>
  <c r="F154" i="6" s="1"/>
  <c r="H157" i="7" s="1"/>
  <c r="K155" i="6"/>
  <c r="K156" i="6"/>
  <c r="A156" i="6" s="1"/>
  <c r="F156" i="6" s="1"/>
  <c r="H159" i="7" s="1"/>
  <c r="K157" i="6"/>
  <c r="A157" i="6" s="1"/>
  <c r="D157" i="6" s="1"/>
  <c r="F160" i="7" s="1"/>
  <c r="K158" i="6"/>
  <c r="K159" i="6"/>
  <c r="A159" i="6" s="1"/>
  <c r="D159" i="6" s="1"/>
  <c r="F162" i="7" s="1"/>
  <c r="K160" i="6"/>
  <c r="K161" i="6"/>
  <c r="K162" i="6"/>
  <c r="A162" i="6" s="1"/>
  <c r="Z162" i="6" s="1"/>
  <c r="AE165" i="7" s="1"/>
  <c r="AG165" i="7" s="1"/>
  <c r="BD165" i="7" s="1"/>
  <c r="K163" i="6"/>
  <c r="K164" i="6"/>
  <c r="A164" i="6" s="1"/>
  <c r="D164" i="6" s="1"/>
  <c r="F167" i="7" s="1"/>
  <c r="K165" i="6"/>
  <c r="A165" i="6" s="1"/>
  <c r="Z165" i="6" s="1"/>
  <c r="AE168" i="7" s="1"/>
  <c r="K166" i="6"/>
  <c r="K167" i="6"/>
  <c r="K168" i="6"/>
  <c r="K169" i="6"/>
  <c r="K170" i="6"/>
  <c r="K171" i="6"/>
  <c r="K172" i="6"/>
  <c r="K173" i="6"/>
  <c r="A173" i="6" s="1"/>
  <c r="E173" i="6" s="1"/>
  <c r="G176" i="7" s="1"/>
  <c r="K174" i="6"/>
  <c r="A174" i="6" s="1"/>
  <c r="A177" i="7" s="1"/>
  <c r="K175" i="6"/>
  <c r="A175" i="6" s="1"/>
  <c r="I175" i="6" s="1"/>
  <c r="K178" i="7" s="1"/>
  <c r="K176" i="6"/>
  <c r="K177" i="6"/>
  <c r="K178" i="6"/>
  <c r="A178" i="6" s="1"/>
  <c r="F178" i="6" s="1"/>
  <c r="H181" i="7" s="1"/>
  <c r="K179" i="6"/>
  <c r="A179" i="6" s="1"/>
  <c r="G179" i="6" s="1"/>
  <c r="I182" i="7" s="1"/>
  <c r="K180" i="6"/>
  <c r="K181" i="6"/>
  <c r="K182" i="6"/>
  <c r="K183" i="6"/>
  <c r="M186" i="7" s="1"/>
  <c r="K184" i="6"/>
  <c r="A184" i="6" s="1"/>
  <c r="K185" i="6"/>
  <c r="K186" i="6"/>
  <c r="A186" i="6" s="1"/>
  <c r="AG186" i="6" s="1"/>
  <c r="K187" i="6"/>
  <c r="A187" i="6" s="1"/>
  <c r="D187" i="6" s="1"/>
  <c r="F190" i="7" s="1"/>
  <c r="K188" i="6"/>
  <c r="K189" i="6"/>
  <c r="K190" i="6"/>
  <c r="A190" i="6" s="1"/>
  <c r="Z190" i="6" s="1"/>
  <c r="AE193" i="7" s="1"/>
  <c r="K191" i="6"/>
  <c r="K192" i="6"/>
  <c r="K193" i="6"/>
  <c r="K194" i="6"/>
  <c r="K195" i="6"/>
  <c r="K196" i="6"/>
  <c r="A196" i="6" s="1"/>
  <c r="H196" i="6" s="1"/>
  <c r="J199" i="7" s="1"/>
  <c r="K197" i="6"/>
  <c r="K198" i="6"/>
  <c r="K199" i="6"/>
  <c r="A199" i="6" s="1"/>
  <c r="K200" i="6"/>
  <c r="K201" i="6"/>
  <c r="K202" i="6"/>
  <c r="A202" i="6" s="1"/>
  <c r="AG202" i="6" s="1"/>
  <c r="K203" i="6"/>
  <c r="K204" i="6"/>
  <c r="A204" i="6" s="1"/>
  <c r="F204" i="6" s="1"/>
  <c r="H207" i="7" s="1"/>
  <c r="K205" i="6"/>
  <c r="K206" i="6"/>
  <c r="A206" i="6" s="1"/>
  <c r="H206" i="6" s="1"/>
  <c r="J209" i="7" s="1"/>
  <c r="K207" i="6"/>
  <c r="A207" i="6" s="1"/>
  <c r="F207" i="6" s="1"/>
  <c r="H210" i="7" s="1"/>
  <c r="K208" i="6"/>
  <c r="A208" i="6" s="1"/>
  <c r="E208" i="6" s="1"/>
  <c r="G211" i="7" s="1"/>
  <c r="K209" i="6"/>
  <c r="K210" i="6"/>
  <c r="K211" i="6"/>
  <c r="K212" i="6"/>
  <c r="K213" i="6"/>
  <c r="A213" i="6" s="1"/>
  <c r="K214" i="6"/>
  <c r="K215" i="6"/>
  <c r="K216" i="6"/>
  <c r="K217" i="6"/>
  <c r="K218" i="6"/>
  <c r="A218" i="6" s="1"/>
  <c r="K219" i="6"/>
  <c r="K220" i="6"/>
  <c r="A220" i="6" s="1"/>
  <c r="D220" i="6" s="1"/>
  <c r="F223" i="7" s="1"/>
  <c r="K221" i="6"/>
  <c r="K222" i="6"/>
  <c r="A222" i="6" s="1"/>
  <c r="E222" i="6" s="1"/>
  <c r="G225" i="7" s="1"/>
  <c r="K223" i="6"/>
  <c r="K224" i="6"/>
  <c r="K225" i="6"/>
  <c r="K226" i="6"/>
  <c r="K227" i="6"/>
  <c r="K228" i="6"/>
  <c r="K229" i="6"/>
  <c r="K230" i="6"/>
  <c r="A230" i="6" s="1"/>
  <c r="E230" i="6" s="1"/>
  <c r="G233" i="7" s="1"/>
  <c r="K231" i="6"/>
  <c r="A231" i="6" s="1"/>
  <c r="F231" i="6" s="1"/>
  <c r="H234" i="7" s="1"/>
  <c r="K232" i="6"/>
  <c r="K233" i="6"/>
  <c r="A233" i="6" s="1"/>
  <c r="AG233" i="6" s="1"/>
  <c r="K234" i="6"/>
  <c r="K235" i="6"/>
  <c r="K236" i="6"/>
  <c r="A236" i="6" s="1"/>
  <c r="AG236" i="6" s="1"/>
  <c r="K237" i="6"/>
  <c r="K238" i="6"/>
  <c r="K239" i="6"/>
  <c r="K240" i="6"/>
  <c r="K241" i="6"/>
  <c r="K242" i="6"/>
  <c r="K243" i="6"/>
  <c r="A243" i="6" s="1"/>
  <c r="K244" i="6"/>
  <c r="M247" i="7" s="1"/>
  <c r="K245" i="6"/>
  <c r="K246" i="6"/>
  <c r="A246" i="6" s="1"/>
  <c r="Z246" i="6" s="1"/>
  <c r="AE249" i="7" s="1"/>
  <c r="K247" i="6"/>
  <c r="A247" i="6" s="1"/>
  <c r="E247" i="6" s="1"/>
  <c r="G250" i="7" s="1"/>
  <c r="K248" i="6"/>
  <c r="K249" i="6"/>
  <c r="A249" i="6" s="1"/>
  <c r="Z249" i="6" s="1"/>
  <c r="AE252" i="7" s="1"/>
  <c r="K250" i="6"/>
  <c r="A250" i="6" s="1"/>
  <c r="F250" i="6" s="1"/>
  <c r="H253" i="7" s="1"/>
  <c r="K251" i="6"/>
  <c r="K252" i="6"/>
  <c r="M255" i="7" s="1"/>
  <c r="K253" i="6"/>
  <c r="K254" i="6"/>
  <c r="A254" i="6" s="1"/>
  <c r="E254" i="6" s="1"/>
  <c r="G257" i="7" s="1"/>
  <c r="K255" i="6"/>
  <c r="K256" i="6"/>
  <c r="K257" i="6"/>
  <c r="K258" i="6"/>
  <c r="A258" i="6" s="1"/>
  <c r="Z258" i="6" s="1"/>
  <c r="AE261" i="7" s="1"/>
  <c r="Q261" i="7" s="1"/>
  <c r="K259" i="6"/>
  <c r="K260" i="6"/>
  <c r="A260" i="6" s="1"/>
  <c r="A263" i="7" s="1"/>
  <c r="K261" i="6"/>
  <c r="K262" i="6"/>
  <c r="A262" i="6" s="1"/>
  <c r="AG262" i="6" s="1"/>
  <c r="K263" i="6"/>
  <c r="K264" i="6"/>
  <c r="K265" i="6"/>
  <c r="A265" i="6" s="1"/>
  <c r="AG265" i="6" s="1"/>
  <c r="K266" i="6"/>
  <c r="K267" i="6"/>
  <c r="K268" i="6"/>
  <c r="A268" i="6" s="1"/>
  <c r="AG268" i="6" s="1"/>
  <c r="K269" i="6"/>
  <c r="K270" i="6"/>
  <c r="K271" i="6"/>
  <c r="K272" i="6"/>
  <c r="A272" i="6" s="1"/>
  <c r="K273" i="6"/>
  <c r="K274" i="6"/>
  <c r="K275" i="6"/>
  <c r="K276" i="6"/>
  <c r="K277" i="6"/>
  <c r="A277" i="6" s="1"/>
  <c r="G277" i="6" s="1"/>
  <c r="I280" i="7" s="1"/>
  <c r="K278" i="6"/>
  <c r="A278" i="6" s="1"/>
  <c r="D278" i="6" s="1"/>
  <c r="F281" i="7" s="1"/>
  <c r="K279" i="6"/>
  <c r="K280" i="6"/>
  <c r="A280" i="6" s="1"/>
  <c r="F280" i="6" s="1"/>
  <c r="H283" i="7" s="1"/>
  <c r="K281" i="6"/>
  <c r="K282" i="6"/>
  <c r="A282" i="6" s="1"/>
  <c r="F282" i="6" s="1"/>
  <c r="H285" i="7" s="1"/>
  <c r="K283" i="6"/>
  <c r="K284" i="6"/>
  <c r="K285" i="6"/>
  <c r="M288" i="7" s="1"/>
  <c r="K286" i="6"/>
  <c r="A286" i="6" s="1"/>
  <c r="H286" i="6" s="1"/>
  <c r="J289" i="7" s="1"/>
  <c r="K287" i="6"/>
  <c r="K288" i="6"/>
  <c r="K289" i="6"/>
  <c r="M292" i="7" s="1"/>
  <c r="K290" i="6"/>
  <c r="K291" i="6"/>
  <c r="K292" i="6"/>
  <c r="K293" i="6"/>
  <c r="M296" i="7" s="1"/>
  <c r="K294" i="6"/>
  <c r="K295" i="6"/>
  <c r="A295" i="6" s="1"/>
  <c r="K296" i="6"/>
  <c r="A296" i="6" s="1"/>
  <c r="E296" i="6" s="1"/>
  <c r="G299" i="7" s="1"/>
  <c r="K297" i="6"/>
  <c r="K298" i="6"/>
  <c r="K299" i="6"/>
  <c r="K300" i="6"/>
  <c r="A300" i="6" s="1"/>
  <c r="K301" i="6"/>
  <c r="K302" i="6"/>
  <c r="K303" i="6"/>
  <c r="K304" i="6"/>
  <c r="A304" i="6" s="1"/>
  <c r="F304" i="6" s="1"/>
  <c r="H307" i="7" s="1"/>
  <c r="K305" i="6"/>
  <c r="K306" i="6"/>
  <c r="K307" i="6"/>
  <c r="A307" i="6" s="1"/>
  <c r="H307" i="6" s="1"/>
  <c r="J310" i="7" s="1"/>
  <c r="K308" i="6"/>
  <c r="K309" i="6"/>
  <c r="K310" i="6"/>
  <c r="A310" i="6" s="1"/>
  <c r="Z310" i="6" s="1"/>
  <c r="AE313" i="7" s="1"/>
  <c r="Q313" i="7" s="1"/>
  <c r="K311" i="6"/>
  <c r="A311" i="6" s="1"/>
  <c r="E311" i="6" s="1"/>
  <c r="G314" i="7" s="1"/>
  <c r="K312" i="6"/>
  <c r="H13" i="5"/>
  <c r="M13" i="5" s="1"/>
  <c r="G13" i="5"/>
  <c r="L13" i="5" s="1"/>
  <c r="F13" i="5"/>
  <c r="K13" i="5" s="1"/>
  <c r="B279" i="2"/>
  <c r="AH13" i="5"/>
  <c r="I9" i="6"/>
  <c r="G9" i="6"/>
  <c r="C67" i="2"/>
  <c r="V14" i="6"/>
  <c r="AA17" i="7" s="1"/>
  <c r="AL17" i="7" s="1"/>
  <c r="D38" i="2"/>
  <c r="F73" i="2"/>
  <c r="A74" i="2"/>
  <c r="F74" i="2"/>
  <c r="A75" i="2"/>
  <c r="F75" i="2"/>
  <c r="A76" i="2"/>
  <c r="C76" i="2"/>
  <c r="E76" i="2"/>
  <c r="F76" i="2"/>
  <c r="A77" i="2"/>
  <c r="F77" i="2" s="1"/>
  <c r="C77" i="2"/>
  <c r="E77" i="2"/>
  <c r="A78" i="2"/>
  <c r="F78" i="2" s="1"/>
  <c r="C78" i="2"/>
  <c r="E78" i="2"/>
  <c r="A79" i="2"/>
  <c r="F79" i="2" s="1"/>
  <c r="C79" i="2"/>
  <c r="E79" i="2"/>
  <c r="A80" i="2"/>
  <c r="F80" i="2" s="1"/>
  <c r="C80" i="2"/>
  <c r="E80" i="2"/>
  <c r="A81" i="2"/>
  <c r="F81" i="2" s="1"/>
  <c r="C81" i="2"/>
  <c r="E81" i="2"/>
  <c r="A82" i="2"/>
  <c r="F82" i="2" s="1"/>
  <c r="C82" i="2"/>
  <c r="E82" i="2"/>
  <c r="A83" i="2"/>
  <c r="F83" i="2" s="1"/>
  <c r="C83" i="2"/>
  <c r="E83" i="2"/>
  <c r="A84" i="2"/>
  <c r="F84" i="2" s="1"/>
  <c r="C84" i="2"/>
  <c r="E84" i="2"/>
  <c r="A85" i="2"/>
  <c r="F85" i="2" s="1"/>
  <c r="C85" i="2"/>
  <c r="E85" i="2"/>
  <c r="A86" i="2"/>
  <c r="F86" i="2" s="1"/>
  <c r="C86" i="2"/>
  <c r="E86" i="2"/>
  <c r="A87" i="2"/>
  <c r="F87" i="2" s="1"/>
  <c r="C87" i="2"/>
  <c r="E87" i="2"/>
  <c r="A88" i="2"/>
  <c r="F88" i="2" s="1"/>
  <c r="C88" i="2"/>
  <c r="E88" i="2"/>
  <c r="A89" i="2"/>
  <c r="F89" i="2" s="1"/>
  <c r="C89" i="2"/>
  <c r="E89" i="2"/>
  <c r="A90" i="2"/>
  <c r="F90" i="2" s="1"/>
  <c r="C90" i="2"/>
  <c r="E90" i="2"/>
  <c r="A91" i="2"/>
  <c r="F91" i="2" s="1"/>
  <c r="C91" i="2"/>
  <c r="E91" i="2"/>
  <c r="A92" i="2"/>
  <c r="F92" i="2" s="1"/>
  <c r="C92" i="2"/>
  <c r="E92" i="2"/>
  <c r="A93" i="2"/>
  <c r="F93" i="2" s="1"/>
  <c r="C93" i="2"/>
  <c r="E93" i="2"/>
  <c r="C94" i="2"/>
  <c r="E94" i="2"/>
  <c r="F94" i="2" s="1"/>
  <c r="A95" i="2"/>
  <c r="C95" i="2"/>
  <c r="E95" i="2"/>
  <c r="A96" i="2"/>
  <c r="C96" i="2"/>
  <c r="E96" i="2"/>
  <c r="A97" i="2"/>
  <c r="C97" i="2"/>
  <c r="E97" i="2"/>
  <c r="E100" i="2" s="1"/>
  <c r="E103" i="2" s="1"/>
  <c r="E106" i="2" s="1"/>
  <c r="E109" i="2" s="1"/>
  <c r="E112" i="2" s="1"/>
  <c r="E115" i="2" s="1"/>
  <c r="E118" i="2" s="1"/>
  <c r="E121" i="2" s="1"/>
  <c r="E124" i="2" s="1"/>
  <c r="E127" i="2" s="1"/>
  <c r="E130" i="2" s="1"/>
  <c r="E133" i="2" s="1"/>
  <c r="C98" i="2"/>
  <c r="C99" i="2"/>
  <c r="C120" i="2" s="1"/>
  <c r="E99" i="2"/>
  <c r="E102" i="2" s="1"/>
  <c r="C100" i="2"/>
  <c r="C101" i="2"/>
  <c r="C102" i="2"/>
  <c r="C123" i="2" s="1"/>
  <c r="C103" i="2"/>
  <c r="C104" i="2"/>
  <c r="C125" i="2" s="1"/>
  <c r="C105" i="2"/>
  <c r="E105" i="2"/>
  <c r="E108" i="2" s="1"/>
  <c r="E111" i="2" s="1"/>
  <c r="E114" i="2" s="1"/>
  <c r="E117" i="2" s="1"/>
  <c r="E120" i="2" s="1"/>
  <c r="E123" i="2" s="1"/>
  <c r="E126" i="2" s="1"/>
  <c r="E129" i="2" s="1"/>
  <c r="E132" i="2" s="1"/>
  <c r="E135" i="2" s="1"/>
  <c r="C106" i="2"/>
  <c r="C107" i="2"/>
  <c r="C128" i="2" s="1"/>
  <c r="C108" i="2"/>
  <c r="C109" i="2"/>
  <c r="C110" i="2"/>
  <c r="C131" i="2" s="1"/>
  <c r="C111" i="2"/>
  <c r="C112" i="2"/>
  <c r="C133" i="2" s="1"/>
  <c r="C113" i="2"/>
  <c r="C114" i="2"/>
  <c r="C115" i="2"/>
  <c r="D115" i="2" s="1"/>
  <c r="A116" i="2"/>
  <c r="C116" i="2"/>
  <c r="D116" i="2" s="1"/>
  <c r="A117" i="2"/>
  <c r="A118" i="2"/>
  <c r="C118" i="2"/>
  <c r="A119" i="2"/>
  <c r="C119" i="2"/>
  <c r="D119" i="2" s="1"/>
  <c r="A120" i="2"/>
  <c r="A121" i="2"/>
  <c r="C121" i="2"/>
  <c r="A122" i="2"/>
  <c r="C122" i="2"/>
  <c r="D122" i="2" s="1"/>
  <c r="A123" i="2"/>
  <c r="A124" i="2"/>
  <c r="C124" i="2"/>
  <c r="A125" i="2"/>
  <c r="A126" i="2"/>
  <c r="C126" i="2"/>
  <c r="F126" i="2" s="1"/>
  <c r="A127" i="2"/>
  <c r="C127" i="2"/>
  <c r="A128" i="2"/>
  <c r="A129" i="2"/>
  <c r="C129" i="2"/>
  <c r="F129" i="2" s="1"/>
  <c r="A130" i="2"/>
  <c r="C130" i="2"/>
  <c r="A131" i="2"/>
  <c r="A132" i="2"/>
  <c r="C132" i="2"/>
  <c r="F132" i="2" s="1"/>
  <c r="A133" i="2"/>
  <c r="A134" i="2"/>
  <c r="C134" i="2"/>
  <c r="A135" i="2"/>
  <c r="C135" i="2"/>
  <c r="F135" i="2" s="1"/>
  <c r="D39" i="2"/>
  <c r="D41" i="2"/>
  <c r="B17" i="6"/>
  <c r="H16" i="5"/>
  <c r="G16" i="5"/>
  <c r="L16" i="5" s="1"/>
  <c r="F16" i="5"/>
  <c r="K16" i="5" s="1"/>
  <c r="AH16" i="5"/>
  <c r="B18" i="6"/>
  <c r="H17" i="5"/>
  <c r="Z17" i="5" s="1"/>
  <c r="G17" i="5"/>
  <c r="L17" i="5" s="1"/>
  <c r="F17" i="5"/>
  <c r="K17" i="5"/>
  <c r="AH17" i="5"/>
  <c r="C66" i="2"/>
  <c r="D40" i="2"/>
  <c r="B19" i="6"/>
  <c r="H18" i="5"/>
  <c r="M18" i="5" s="1"/>
  <c r="G18" i="5"/>
  <c r="L18" i="5"/>
  <c r="F18" i="5"/>
  <c r="K18" i="5" s="1"/>
  <c r="AH18" i="5"/>
  <c r="B20" i="6"/>
  <c r="H19" i="5"/>
  <c r="M19" i="5"/>
  <c r="G19" i="5"/>
  <c r="L19" i="5"/>
  <c r="F19" i="5"/>
  <c r="K19" i="5"/>
  <c r="AH19" i="5"/>
  <c r="Z19" i="5"/>
  <c r="B21" i="6"/>
  <c r="H20" i="5"/>
  <c r="Z20" i="5" s="1"/>
  <c r="G20" i="5"/>
  <c r="F20" i="5"/>
  <c r="K20" i="5" s="1"/>
  <c r="AH20" i="5"/>
  <c r="B22" i="6"/>
  <c r="H21" i="5"/>
  <c r="M21" i="5" s="1"/>
  <c r="G21" i="5"/>
  <c r="L21" i="5"/>
  <c r="F21" i="5"/>
  <c r="K21" i="5" s="1"/>
  <c r="AH21" i="5"/>
  <c r="D42" i="2"/>
  <c r="B23" i="6"/>
  <c r="H22" i="5"/>
  <c r="Z22" i="5" s="1"/>
  <c r="G22" i="5"/>
  <c r="L22" i="5" s="1"/>
  <c r="F22" i="5"/>
  <c r="K22" i="5"/>
  <c r="AH22" i="5"/>
  <c r="B24" i="6"/>
  <c r="K24" i="6"/>
  <c r="M27" i="7" s="1"/>
  <c r="H23" i="5"/>
  <c r="Z23" i="5" s="1"/>
  <c r="F23" i="5"/>
  <c r="K25" i="6"/>
  <c r="A25" i="6" s="1"/>
  <c r="E25" i="6" s="1"/>
  <c r="G28" i="7" s="1"/>
  <c r="K26" i="6"/>
  <c r="K27" i="6"/>
  <c r="K28" i="6"/>
  <c r="K29" i="6"/>
  <c r="K30" i="6"/>
  <c r="K31" i="6"/>
  <c r="H12" i="5"/>
  <c r="M12" i="5" s="1"/>
  <c r="G12" i="5"/>
  <c r="F12" i="5"/>
  <c r="K12" i="5"/>
  <c r="AH12" i="5"/>
  <c r="Z12" i="5"/>
  <c r="H9" i="6"/>
  <c r="G23" i="5"/>
  <c r="L23" i="5" s="1"/>
  <c r="I1" i="1"/>
  <c r="Z1" i="6" s="1"/>
  <c r="I229" i="2"/>
  <c r="I230" i="2" s="1"/>
  <c r="I231" i="2" s="1"/>
  <c r="J228" i="2"/>
  <c r="AK13" i="5"/>
  <c r="M23" i="5"/>
  <c r="AD262" i="7"/>
  <c r="AC262" i="7"/>
  <c r="AD306" i="7"/>
  <c r="AC306" i="7"/>
  <c r="AB16" i="7"/>
  <c r="AB17" i="7"/>
  <c r="AD17" i="7"/>
  <c r="AC20" i="7"/>
  <c r="AD20" i="7"/>
  <c r="AB20" i="7"/>
  <c r="AC21" i="7"/>
  <c r="K228" i="2"/>
  <c r="K229" i="2" s="1"/>
  <c r="K230" i="2" s="1"/>
  <c r="K231" i="2" s="1"/>
  <c r="B314" i="2"/>
  <c r="B316" i="2"/>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A9" i="8"/>
  <c r="E7" i="6"/>
  <c r="D120" i="2"/>
  <c r="AC18" i="7"/>
  <c r="AB21" i="7"/>
  <c r="J20" i="1"/>
  <c r="P24" i="5" s="1"/>
  <c r="I20" i="1" s="1"/>
  <c r="J21" i="1"/>
  <c r="P25" i="5" s="1"/>
  <c r="I21" i="1" s="1"/>
  <c r="J22" i="1"/>
  <c r="P26" i="5" s="1"/>
  <c r="I22" i="1" s="1"/>
  <c r="J23" i="1"/>
  <c r="P27" i="5" s="1"/>
  <c r="I23" i="1" s="1"/>
  <c r="J24" i="1"/>
  <c r="P28" i="5" s="1"/>
  <c r="I24" i="1" s="1"/>
  <c r="J25" i="1"/>
  <c r="P29" i="5" s="1"/>
  <c r="I25" i="1" s="1"/>
  <c r="J26" i="1"/>
  <c r="P30" i="5" s="1"/>
  <c r="I26" i="1" s="1"/>
  <c r="J27" i="1"/>
  <c r="P31" i="5" s="1"/>
  <c r="I27" i="1" s="1"/>
  <c r="J28" i="1"/>
  <c r="P32" i="5" s="1"/>
  <c r="I28" i="1" s="1"/>
  <c r="J29" i="1"/>
  <c r="P33" i="5" s="1"/>
  <c r="I29" i="1" s="1"/>
  <c r="J30" i="1"/>
  <c r="P34" i="5" s="1"/>
  <c r="I30" i="1" s="1"/>
  <c r="J31" i="1"/>
  <c r="P35" i="5" s="1"/>
  <c r="I31" i="1" s="1"/>
  <c r="J32" i="1"/>
  <c r="P36" i="5" s="1"/>
  <c r="I32" i="1" s="1"/>
  <c r="J33" i="1"/>
  <c r="P37" i="5" s="1"/>
  <c r="I33" i="1" s="1"/>
  <c r="J34" i="1"/>
  <c r="P38" i="5" s="1"/>
  <c r="I34" i="1" s="1"/>
  <c r="J35" i="1"/>
  <c r="P39" i="5" s="1"/>
  <c r="I35" i="1" s="1"/>
  <c r="J36" i="1"/>
  <c r="P40" i="5" s="1"/>
  <c r="I36" i="1" s="1"/>
  <c r="J37" i="1"/>
  <c r="P41" i="5" s="1"/>
  <c r="I37" i="1" s="1"/>
  <c r="J38" i="1"/>
  <c r="P42" i="5" s="1"/>
  <c r="I38" i="1" s="1"/>
  <c r="J39" i="1"/>
  <c r="P43" i="5" s="1"/>
  <c r="I39" i="1" s="1"/>
  <c r="J40" i="1"/>
  <c r="P44" i="5" s="1"/>
  <c r="I40" i="1" s="1"/>
  <c r="J41" i="1"/>
  <c r="P45" i="5" s="1"/>
  <c r="I41" i="1" s="1"/>
  <c r="J42" i="1"/>
  <c r="P46" i="5" s="1"/>
  <c r="I42" i="1" s="1"/>
  <c r="J43" i="1"/>
  <c r="P47" i="5" s="1"/>
  <c r="I43" i="1" s="1"/>
  <c r="J44" i="1"/>
  <c r="P48" i="5" s="1"/>
  <c r="I44" i="1" s="1"/>
  <c r="J45" i="1"/>
  <c r="P49" i="5" s="1"/>
  <c r="I45" i="1" s="1"/>
  <c r="J46" i="1"/>
  <c r="P50" i="5" s="1"/>
  <c r="I46" i="1" s="1"/>
  <c r="J47" i="1"/>
  <c r="P51" i="5" s="1"/>
  <c r="I47" i="1" s="1"/>
  <c r="J48" i="1"/>
  <c r="P52" i="5" s="1"/>
  <c r="I48" i="1" s="1"/>
  <c r="J49" i="1"/>
  <c r="P53" i="5" s="1"/>
  <c r="I49" i="1" s="1"/>
  <c r="J50" i="1"/>
  <c r="P54" i="5" s="1"/>
  <c r="I50" i="1" s="1"/>
  <c r="J51" i="1"/>
  <c r="P55" i="5" s="1"/>
  <c r="I51" i="1" s="1"/>
  <c r="J52" i="1"/>
  <c r="P56" i="5" s="1"/>
  <c r="I52" i="1" s="1"/>
  <c r="J53" i="1"/>
  <c r="P57" i="5" s="1"/>
  <c r="I53" i="1" s="1"/>
  <c r="J54" i="1"/>
  <c r="P58" i="5" s="1"/>
  <c r="I54" i="1" s="1"/>
  <c r="J55" i="1"/>
  <c r="P59" i="5" s="1"/>
  <c r="I55" i="1" s="1"/>
  <c r="J56" i="1"/>
  <c r="P60" i="5" s="1"/>
  <c r="I56" i="1" s="1"/>
  <c r="J57" i="1"/>
  <c r="P61" i="5" s="1"/>
  <c r="I57" i="1" s="1"/>
  <c r="J58" i="1"/>
  <c r="P62" i="5" s="1"/>
  <c r="I58" i="1" s="1"/>
  <c r="J59" i="1"/>
  <c r="P63" i="5" s="1"/>
  <c r="I59" i="1" s="1"/>
  <c r="J60" i="1"/>
  <c r="P64" i="5" s="1"/>
  <c r="I60" i="1" s="1"/>
  <c r="J61" i="1"/>
  <c r="P65" i="5" s="1"/>
  <c r="I61" i="1" s="1"/>
  <c r="J62" i="1"/>
  <c r="P66" i="5" s="1"/>
  <c r="I62" i="1" s="1"/>
  <c r="J63" i="1"/>
  <c r="P67" i="5" s="1"/>
  <c r="I63" i="1" s="1"/>
  <c r="J64" i="1"/>
  <c r="P68" i="5" s="1"/>
  <c r="I64" i="1" s="1"/>
  <c r="J65" i="1"/>
  <c r="P69" i="5" s="1"/>
  <c r="I65" i="1" s="1"/>
  <c r="J66" i="1"/>
  <c r="P70" i="5" s="1"/>
  <c r="I66" i="1" s="1"/>
  <c r="J67" i="1"/>
  <c r="P71" i="5" s="1"/>
  <c r="I67" i="1" s="1"/>
  <c r="J68" i="1"/>
  <c r="P72" i="5" s="1"/>
  <c r="I68" i="1" s="1"/>
  <c r="J69" i="1"/>
  <c r="P73" i="5" s="1"/>
  <c r="I69" i="1" s="1"/>
  <c r="J70" i="1"/>
  <c r="P74" i="5" s="1"/>
  <c r="I70" i="1" s="1"/>
  <c r="J71" i="1"/>
  <c r="P75" i="5" s="1"/>
  <c r="I71" i="1" s="1"/>
  <c r="J72" i="1"/>
  <c r="P76" i="5" s="1"/>
  <c r="I72" i="1" s="1"/>
  <c r="J73" i="1"/>
  <c r="P77" i="5" s="1"/>
  <c r="I73" i="1" s="1"/>
  <c r="J74" i="1"/>
  <c r="P78" i="5" s="1"/>
  <c r="I74" i="1" s="1"/>
  <c r="J75" i="1"/>
  <c r="P79" i="5" s="1"/>
  <c r="I75" i="1" s="1"/>
  <c r="J76" i="1"/>
  <c r="P80" i="5" s="1"/>
  <c r="I76" i="1" s="1"/>
  <c r="J77" i="1"/>
  <c r="P81" i="5" s="1"/>
  <c r="I77" i="1" s="1"/>
  <c r="J78" i="1"/>
  <c r="P82" i="5" s="1"/>
  <c r="I78" i="1" s="1"/>
  <c r="J79" i="1"/>
  <c r="P83" i="5" s="1"/>
  <c r="I79" i="1" s="1"/>
  <c r="J80" i="1"/>
  <c r="P84" i="5" s="1"/>
  <c r="I80" i="1" s="1"/>
  <c r="J81" i="1"/>
  <c r="P85" i="5" s="1"/>
  <c r="I81" i="1" s="1"/>
  <c r="J82" i="1"/>
  <c r="P86" i="5" s="1"/>
  <c r="I82" i="1" s="1"/>
  <c r="J83" i="1"/>
  <c r="P87" i="5" s="1"/>
  <c r="I83" i="1" s="1"/>
  <c r="J84" i="1"/>
  <c r="P88" i="5" s="1"/>
  <c r="I84" i="1" s="1"/>
  <c r="J85" i="1"/>
  <c r="P89" i="5" s="1"/>
  <c r="I85" i="1" s="1"/>
  <c r="J86" i="1"/>
  <c r="P90" i="5" s="1"/>
  <c r="I86" i="1" s="1"/>
  <c r="J87" i="1"/>
  <c r="P91" i="5" s="1"/>
  <c r="I87" i="1" s="1"/>
  <c r="J88" i="1"/>
  <c r="P92" i="5" s="1"/>
  <c r="I88" i="1" s="1"/>
  <c r="J89" i="1"/>
  <c r="P93" i="5" s="1"/>
  <c r="I89" i="1" s="1"/>
  <c r="J90" i="1"/>
  <c r="P94" i="5" s="1"/>
  <c r="I90" i="1" s="1"/>
  <c r="J91" i="1"/>
  <c r="P95" i="5" s="1"/>
  <c r="I91" i="1" s="1"/>
  <c r="J92" i="1"/>
  <c r="P96" i="5" s="1"/>
  <c r="I92" i="1" s="1"/>
  <c r="J93" i="1"/>
  <c r="P97" i="5" s="1"/>
  <c r="I93" i="1" s="1"/>
  <c r="J94" i="1"/>
  <c r="P98" i="5" s="1"/>
  <c r="I94" i="1" s="1"/>
  <c r="J95" i="1"/>
  <c r="P99" i="5" s="1"/>
  <c r="I95" i="1" s="1"/>
  <c r="J96" i="1"/>
  <c r="P100" i="5" s="1"/>
  <c r="I96" i="1" s="1"/>
  <c r="J97" i="1"/>
  <c r="P101" i="5" s="1"/>
  <c r="I97" i="1" s="1"/>
  <c r="J98" i="1"/>
  <c r="P102" i="5" s="1"/>
  <c r="I98" i="1" s="1"/>
  <c r="J99" i="1"/>
  <c r="P103" i="5" s="1"/>
  <c r="I99" i="1" s="1"/>
  <c r="J100" i="1"/>
  <c r="P104" i="5" s="1"/>
  <c r="I100" i="1" s="1"/>
  <c r="J101" i="1"/>
  <c r="P105" i="5" s="1"/>
  <c r="I101" i="1" s="1"/>
  <c r="J102" i="1"/>
  <c r="P106" i="5" s="1"/>
  <c r="I102" i="1" s="1"/>
  <c r="J103" i="1"/>
  <c r="P107" i="5" s="1"/>
  <c r="I103" i="1" s="1"/>
  <c r="J104" i="1"/>
  <c r="P108" i="5" s="1"/>
  <c r="I104" i="1" s="1"/>
  <c r="J105" i="1"/>
  <c r="P109" i="5" s="1"/>
  <c r="I105" i="1" s="1"/>
  <c r="J106" i="1"/>
  <c r="P110" i="5" s="1"/>
  <c r="I106" i="1" s="1"/>
  <c r="J107" i="1"/>
  <c r="P111" i="5" s="1"/>
  <c r="I107" i="1" s="1"/>
  <c r="J108" i="1"/>
  <c r="P112" i="5" s="1"/>
  <c r="I108" i="1" s="1"/>
  <c r="J109" i="1"/>
  <c r="P113" i="5" s="1"/>
  <c r="I109" i="1" s="1"/>
  <c r="J110" i="1"/>
  <c r="P114" i="5" s="1"/>
  <c r="I110" i="1" s="1"/>
  <c r="J111" i="1"/>
  <c r="P115" i="5" s="1"/>
  <c r="I111" i="1" s="1"/>
  <c r="J112" i="1"/>
  <c r="P116" i="5" s="1"/>
  <c r="I112" i="1" s="1"/>
  <c r="J113" i="1"/>
  <c r="P117" i="5" s="1"/>
  <c r="I113" i="1" s="1"/>
  <c r="J114" i="1"/>
  <c r="P118" i="5" s="1"/>
  <c r="I114" i="1" s="1"/>
  <c r="J115" i="1"/>
  <c r="P119" i="5" s="1"/>
  <c r="I115" i="1" s="1"/>
  <c r="J116" i="1"/>
  <c r="P120" i="5" s="1"/>
  <c r="I116" i="1" s="1"/>
  <c r="J117" i="1"/>
  <c r="P121" i="5" s="1"/>
  <c r="I117" i="1" s="1"/>
  <c r="J118" i="1"/>
  <c r="P122" i="5" s="1"/>
  <c r="I118" i="1" s="1"/>
  <c r="J119" i="1"/>
  <c r="P123" i="5" s="1"/>
  <c r="I119" i="1" s="1"/>
  <c r="J120" i="1"/>
  <c r="P124" i="5" s="1"/>
  <c r="I120" i="1" s="1"/>
  <c r="J121" i="1"/>
  <c r="P125" i="5" s="1"/>
  <c r="I121" i="1" s="1"/>
  <c r="J122" i="1"/>
  <c r="P126" i="5" s="1"/>
  <c r="I122" i="1" s="1"/>
  <c r="J123" i="1"/>
  <c r="P127" i="5" s="1"/>
  <c r="I123" i="1" s="1"/>
  <c r="J124" i="1"/>
  <c r="P128" i="5" s="1"/>
  <c r="I124" i="1" s="1"/>
  <c r="J125" i="1"/>
  <c r="P129" i="5" s="1"/>
  <c r="I125" i="1" s="1"/>
  <c r="J126" i="1"/>
  <c r="P130" i="5" s="1"/>
  <c r="I126" i="1" s="1"/>
  <c r="J127" i="1"/>
  <c r="P131" i="5" s="1"/>
  <c r="I127" i="1" s="1"/>
  <c r="J128" i="1"/>
  <c r="P132" i="5" s="1"/>
  <c r="I128" i="1" s="1"/>
  <c r="J129" i="1"/>
  <c r="P133" i="5" s="1"/>
  <c r="I129" i="1" s="1"/>
  <c r="J130" i="1"/>
  <c r="P134" i="5" s="1"/>
  <c r="I130" i="1" s="1"/>
  <c r="J131" i="1"/>
  <c r="P135" i="5" s="1"/>
  <c r="I131" i="1" s="1"/>
  <c r="J132" i="1"/>
  <c r="P136" i="5" s="1"/>
  <c r="I132" i="1" s="1"/>
  <c r="J133" i="1"/>
  <c r="P137" i="5" s="1"/>
  <c r="I133" i="1" s="1"/>
  <c r="J134" i="1"/>
  <c r="P138" i="5" s="1"/>
  <c r="I134" i="1" s="1"/>
  <c r="J135" i="1"/>
  <c r="P139" i="5" s="1"/>
  <c r="I135" i="1" s="1"/>
  <c r="J136" i="1"/>
  <c r="P140" i="5" s="1"/>
  <c r="I136" i="1" s="1"/>
  <c r="J137" i="1"/>
  <c r="P141" i="5" s="1"/>
  <c r="I137" i="1" s="1"/>
  <c r="J138" i="1"/>
  <c r="P142" i="5" s="1"/>
  <c r="I138" i="1" s="1"/>
  <c r="J139" i="1"/>
  <c r="P143" i="5" s="1"/>
  <c r="I139" i="1" s="1"/>
  <c r="J140" i="1"/>
  <c r="P144" i="5" s="1"/>
  <c r="I140" i="1" s="1"/>
  <c r="J141" i="1"/>
  <c r="P145" i="5" s="1"/>
  <c r="I141" i="1" s="1"/>
  <c r="J142" i="1"/>
  <c r="P146" i="5" s="1"/>
  <c r="I142" i="1" s="1"/>
  <c r="J143" i="1"/>
  <c r="P147" i="5" s="1"/>
  <c r="I143" i="1" s="1"/>
  <c r="J144" i="1"/>
  <c r="P148" i="5" s="1"/>
  <c r="I144" i="1" s="1"/>
  <c r="J145" i="1"/>
  <c r="P149" i="5" s="1"/>
  <c r="I145" i="1" s="1"/>
  <c r="J146" i="1"/>
  <c r="P150" i="5" s="1"/>
  <c r="I146" i="1" s="1"/>
  <c r="J147" i="1"/>
  <c r="P151" i="5" s="1"/>
  <c r="I147" i="1" s="1"/>
  <c r="J148" i="1"/>
  <c r="P152" i="5" s="1"/>
  <c r="I148" i="1" s="1"/>
  <c r="J149" i="1"/>
  <c r="P153" i="5" s="1"/>
  <c r="I149" i="1" s="1"/>
  <c r="J150" i="1"/>
  <c r="P154" i="5" s="1"/>
  <c r="I150" i="1" s="1"/>
  <c r="J151" i="1"/>
  <c r="P155" i="5" s="1"/>
  <c r="I151" i="1" s="1"/>
  <c r="J152" i="1"/>
  <c r="P156" i="5" s="1"/>
  <c r="I152" i="1" s="1"/>
  <c r="J153" i="1"/>
  <c r="P157" i="5" s="1"/>
  <c r="I153" i="1" s="1"/>
  <c r="J154" i="1"/>
  <c r="P158" i="5" s="1"/>
  <c r="I154" i="1" s="1"/>
  <c r="J155" i="1"/>
  <c r="P159" i="5" s="1"/>
  <c r="I155" i="1" s="1"/>
  <c r="J156" i="1"/>
  <c r="P160" i="5" s="1"/>
  <c r="I156" i="1" s="1"/>
  <c r="J157" i="1"/>
  <c r="P161" i="5" s="1"/>
  <c r="I157" i="1" s="1"/>
  <c r="J158" i="1"/>
  <c r="P162" i="5" s="1"/>
  <c r="I158" i="1" s="1"/>
  <c r="J159" i="1"/>
  <c r="P163" i="5" s="1"/>
  <c r="I159" i="1" s="1"/>
  <c r="J160" i="1"/>
  <c r="P164" i="5" s="1"/>
  <c r="I160" i="1" s="1"/>
  <c r="J161" i="1"/>
  <c r="P165" i="5" s="1"/>
  <c r="I161" i="1" s="1"/>
  <c r="J162" i="1"/>
  <c r="P166" i="5" s="1"/>
  <c r="I162" i="1" s="1"/>
  <c r="J163" i="1"/>
  <c r="P167" i="5" s="1"/>
  <c r="I163" i="1" s="1"/>
  <c r="J164" i="1"/>
  <c r="P168" i="5" s="1"/>
  <c r="I164" i="1" s="1"/>
  <c r="J165" i="1"/>
  <c r="P169" i="5" s="1"/>
  <c r="I165" i="1" s="1"/>
  <c r="J166" i="1"/>
  <c r="P170" i="5" s="1"/>
  <c r="I166" i="1" s="1"/>
  <c r="J167" i="1"/>
  <c r="P171" i="5" s="1"/>
  <c r="I167" i="1" s="1"/>
  <c r="J168" i="1"/>
  <c r="P172" i="5" s="1"/>
  <c r="I168" i="1" s="1"/>
  <c r="J169" i="1"/>
  <c r="P173" i="5" s="1"/>
  <c r="I169" i="1" s="1"/>
  <c r="J170" i="1"/>
  <c r="P174" i="5" s="1"/>
  <c r="I170" i="1" s="1"/>
  <c r="J171" i="1"/>
  <c r="P175" i="5" s="1"/>
  <c r="I171" i="1" s="1"/>
  <c r="J172" i="1"/>
  <c r="P176" i="5" s="1"/>
  <c r="I172" i="1" s="1"/>
  <c r="J173" i="1"/>
  <c r="P177" i="5" s="1"/>
  <c r="I173" i="1" s="1"/>
  <c r="J174" i="1"/>
  <c r="P178" i="5" s="1"/>
  <c r="I174" i="1" s="1"/>
  <c r="J175" i="1"/>
  <c r="P179" i="5" s="1"/>
  <c r="I175" i="1" s="1"/>
  <c r="J176" i="1"/>
  <c r="P180" i="5" s="1"/>
  <c r="I176" i="1" s="1"/>
  <c r="J177" i="1"/>
  <c r="P181" i="5" s="1"/>
  <c r="I177" i="1" s="1"/>
  <c r="J178" i="1"/>
  <c r="P182" i="5" s="1"/>
  <c r="I178" i="1" s="1"/>
  <c r="J179" i="1"/>
  <c r="P183" i="5" s="1"/>
  <c r="I179" i="1" s="1"/>
  <c r="J180" i="1"/>
  <c r="P184" i="5" s="1"/>
  <c r="I180" i="1" s="1"/>
  <c r="J181" i="1"/>
  <c r="P185" i="5" s="1"/>
  <c r="I181" i="1" s="1"/>
  <c r="J182" i="1"/>
  <c r="P186" i="5" s="1"/>
  <c r="I182" i="1" s="1"/>
  <c r="J183" i="1"/>
  <c r="P187" i="5" s="1"/>
  <c r="I183" i="1" s="1"/>
  <c r="J184" i="1"/>
  <c r="P188" i="5" s="1"/>
  <c r="I184" i="1" s="1"/>
  <c r="J185" i="1"/>
  <c r="P189" i="5" s="1"/>
  <c r="I185" i="1" s="1"/>
  <c r="J186" i="1"/>
  <c r="P190" i="5" s="1"/>
  <c r="I186" i="1" s="1"/>
  <c r="J187" i="1"/>
  <c r="P191" i="5" s="1"/>
  <c r="I187" i="1" s="1"/>
  <c r="J188" i="1"/>
  <c r="P192" i="5" s="1"/>
  <c r="I188" i="1" s="1"/>
  <c r="J189" i="1"/>
  <c r="P193" i="5" s="1"/>
  <c r="I189" i="1" s="1"/>
  <c r="J190" i="1"/>
  <c r="P194" i="5" s="1"/>
  <c r="I190" i="1" s="1"/>
  <c r="J191" i="1"/>
  <c r="P195" i="5" s="1"/>
  <c r="I191" i="1" s="1"/>
  <c r="J192" i="1"/>
  <c r="P196" i="5" s="1"/>
  <c r="I192" i="1" s="1"/>
  <c r="J193" i="1"/>
  <c r="P197" i="5" s="1"/>
  <c r="I193" i="1" s="1"/>
  <c r="J194" i="1"/>
  <c r="P198" i="5" s="1"/>
  <c r="I194" i="1" s="1"/>
  <c r="J195" i="1"/>
  <c r="P199" i="5" s="1"/>
  <c r="I195" i="1" s="1"/>
  <c r="J196" i="1"/>
  <c r="P200" i="5" s="1"/>
  <c r="I196" i="1" s="1"/>
  <c r="J197" i="1"/>
  <c r="P201" i="5" s="1"/>
  <c r="I197" i="1" s="1"/>
  <c r="J198" i="1"/>
  <c r="P202" i="5" s="1"/>
  <c r="I198" i="1" s="1"/>
  <c r="J199" i="1"/>
  <c r="P203" i="5" s="1"/>
  <c r="I199" i="1" s="1"/>
  <c r="J200" i="1"/>
  <c r="P204" i="5" s="1"/>
  <c r="I200" i="1" s="1"/>
  <c r="J201" i="1"/>
  <c r="P205" i="5" s="1"/>
  <c r="I201" i="1" s="1"/>
  <c r="J202" i="1"/>
  <c r="P206" i="5"/>
  <c r="I202" i="1" s="1"/>
  <c r="J203" i="1"/>
  <c r="P207" i="5" s="1"/>
  <c r="I203" i="1" s="1"/>
  <c r="J204" i="1"/>
  <c r="P208" i="5" s="1"/>
  <c r="I204" i="1" s="1"/>
  <c r="J205" i="1"/>
  <c r="P209" i="5" s="1"/>
  <c r="I205" i="1" s="1"/>
  <c r="J206" i="1"/>
  <c r="P210" i="5" s="1"/>
  <c r="I206" i="1" s="1"/>
  <c r="J207" i="1"/>
  <c r="P211" i="5" s="1"/>
  <c r="I207" i="1" s="1"/>
  <c r="J208" i="1"/>
  <c r="P212" i="5" s="1"/>
  <c r="I208" i="1" s="1"/>
  <c r="J209" i="1"/>
  <c r="P213" i="5" s="1"/>
  <c r="I209" i="1" s="1"/>
  <c r="J210" i="1"/>
  <c r="P214" i="5" s="1"/>
  <c r="I210" i="1" s="1"/>
  <c r="J211" i="1"/>
  <c r="P215" i="5" s="1"/>
  <c r="I211" i="1" s="1"/>
  <c r="J212" i="1"/>
  <c r="P216" i="5" s="1"/>
  <c r="I212" i="1" s="1"/>
  <c r="J213" i="1"/>
  <c r="P217" i="5" s="1"/>
  <c r="I213" i="1" s="1"/>
  <c r="J214" i="1"/>
  <c r="P218" i="5"/>
  <c r="I214" i="1" s="1"/>
  <c r="J215" i="1"/>
  <c r="P219" i="5" s="1"/>
  <c r="I215" i="1" s="1"/>
  <c r="J216" i="1"/>
  <c r="P220" i="5" s="1"/>
  <c r="I216" i="1" s="1"/>
  <c r="J217" i="1"/>
  <c r="P221" i="5" s="1"/>
  <c r="I217" i="1" s="1"/>
  <c r="J218" i="1"/>
  <c r="P222" i="5" s="1"/>
  <c r="I218" i="1" s="1"/>
  <c r="J219" i="1"/>
  <c r="P223" i="5" s="1"/>
  <c r="I219" i="1" s="1"/>
  <c r="J220" i="1"/>
  <c r="P224" i="5" s="1"/>
  <c r="I220" i="1" s="1"/>
  <c r="J221" i="1"/>
  <c r="P225" i="5" s="1"/>
  <c r="I221" i="1" s="1"/>
  <c r="J222" i="1"/>
  <c r="P226" i="5" s="1"/>
  <c r="I222" i="1" s="1"/>
  <c r="J223" i="1"/>
  <c r="P227" i="5" s="1"/>
  <c r="I223" i="1" s="1"/>
  <c r="J224" i="1"/>
  <c r="P228" i="5" s="1"/>
  <c r="I224" i="1" s="1"/>
  <c r="J225" i="1"/>
  <c r="P229" i="5" s="1"/>
  <c r="I225" i="1" s="1"/>
  <c r="J226" i="1"/>
  <c r="P230" i="5" s="1"/>
  <c r="I226" i="1" s="1"/>
  <c r="J227" i="1"/>
  <c r="P231" i="5" s="1"/>
  <c r="I227" i="1" s="1"/>
  <c r="J228" i="1"/>
  <c r="P232" i="5" s="1"/>
  <c r="I228" i="1" s="1"/>
  <c r="J229" i="1"/>
  <c r="P233" i="5" s="1"/>
  <c r="I229" i="1" s="1"/>
  <c r="J230" i="1"/>
  <c r="P234" i="5" s="1"/>
  <c r="I230" i="1" s="1"/>
  <c r="J231" i="1"/>
  <c r="P235" i="5" s="1"/>
  <c r="I231" i="1" s="1"/>
  <c r="J232" i="1"/>
  <c r="P236" i="5" s="1"/>
  <c r="I232" i="1" s="1"/>
  <c r="J233" i="1"/>
  <c r="P237" i="5" s="1"/>
  <c r="I233" i="1" s="1"/>
  <c r="J234" i="1"/>
  <c r="P238" i="5" s="1"/>
  <c r="I234" i="1" s="1"/>
  <c r="J235" i="1"/>
  <c r="P239" i="5" s="1"/>
  <c r="I235" i="1" s="1"/>
  <c r="J236" i="1"/>
  <c r="P240" i="5" s="1"/>
  <c r="I236" i="1" s="1"/>
  <c r="J237" i="1"/>
  <c r="P241" i="5" s="1"/>
  <c r="I237" i="1" s="1"/>
  <c r="J238" i="1"/>
  <c r="P242" i="5" s="1"/>
  <c r="I238" i="1" s="1"/>
  <c r="J239" i="1"/>
  <c r="P243" i="5" s="1"/>
  <c r="I239" i="1" s="1"/>
  <c r="J240" i="1"/>
  <c r="P244" i="5" s="1"/>
  <c r="I240" i="1" s="1"/>
  <c r="J241" i="1"/>
  <c r="P245" i="5" s="1"/>
  <c r="I241" i="1" s="1"/>
  <c r="J242" i="1"/>
  <c r="P246" i="5" s="1"/>
  <c r="I242" i="1" s="1"/>
  <c r="J243" i="1"/>
  <c r="P247" i="5" s="1"/>
  <c r="I243" i="1" s="1"/>
  <c r="J244" i="1"/>
  <c r="P248" i="5" s="1"/>
  <c r="I244" i="1" s="1"/>
  <c r="J245" i="1"/>
  <c r="P249" i="5" s="1"/>
  <c r="I245" i="1" s="1"/>
  <c r="J246" i="1"/>
  <c r="P250" i="5" s="1"/>
  <c r="I246" i="1" s="1"/>
  <c r="J247" i="1"/>
  <c r="P251" i="5" s="1"/>
  <c r="I247" i="1" s="1"/>
  <c r="J248" i="1"/>
  <c r="P252" i="5" s="1"/>
  <c r="I248" i="1" s="1"/>
  <c r="J249" i="1"/>
  <c r="P253" i="5" s="1"/>
  <c r="I249" i="1" s="1"/>
  <c r="J250" i="1"/>
  <c r="P254" i="5"/>
  <c r="I250" i="1" s="1"/>
  <c r="J251" i="1"/>
  <c r="P255" i="5" s="1"/>
  <c r="I251" i="1" s="1"/>
  <c r="J252" i="1"/>
  <c r="P256" i="5" s="1"/>
  <c r="I252" i="1" s="1"/>
  <c r="J253" i="1"/>
  <c r="P257" i="5" s="1"/>
  <c r="I253" i="1" s="1"/>
  <c r="J254" i="1"/>
  <c r="P258" i="5" s="1"/>
  <c r="I254" i="1" s="1"/>
  <c r="J255" i="1"/>
  <c r="P259" i="5" s="1"/>
  <c r="I255" i="1" s="1"/>
  <c r="J256" i="1"/>
  <c r="P260" i="5" s="1"/>
  <c r="I256" i="1" s="1"/>
  <c r="J257" i="1"/>
  <c r="P261" i="5" s="1"/>
  <c r="I257" i="1" s="1"/>
  <c r="J258" i="1"/>
  <c r="P262" i="5" s="1"/>
  <c r="I258" i="1" s="1"/>
  <c r="J259" i="1"/>
  <c r="P263" i="5" s="1"/>
  <c r="I259" i="1" s="1"/>
  <c r="J260" i="1"/>
  <c r="P264" i="5" s="1"/>
  <c r="I260" i="1" s="1"/>
  <c r="J261" i="1"/>
  <c r="P265" i="5" s="1"/>
  <c r="I261" i="1" s="1"/>
  <c r="J262" i="1"/>
  <c r="P266" i="5" s="1"/>
  <c r="I262" i="1" s="1"/>
  <c r="J263" i="1"/>
  <c r="P267" i="5" s="1"/>
  <c r="I263" i="1" s="1"/>
  <c r="J264" i="1"/>
  <c r="P268" i="5" s="1"/>
  <c r="I264" i="1" s="1"/>
  <c r="J265" i="1"/>
  <c r="P269" i="5" s="1"/>
  <c r="I265" i="1" s="1"/>
  <c r="J266" i="1"/>
  <c r="P270" i="5" s="1"/>
  <c r="I266" i="1" s="1"/>
  <c r="J267" i="1"/>
  <c r="P271" i="5" s="1"/>
  <c r="I267" i="1" s="1"/>
  <c r="J268" i="1"/>
  <c r="P272" i="5" s="1"/>
  <c r="I268" i="1" s="1"/>
  <c r="J269" i="1"/>
  <c r="P273" i="5" s="1"/>
  <c r="I269" i="1" s="1"/>
  <c r="J270" i="1"/>
  <c r="P274" i="5" s="1"/>
  <c r="I270" i="1" s="1"/>
  <c r="J271" i="1"/>
  <c r="P275" i="5" s="1"/>
  <c r="I271" i="1" s="1"/>
  <c r="J272" i="1"/>
  <c r="P276" i="5" s="1"/>
  <c r="I272" i="1" s="1"/>
  <c r="J273" i="1"/>
  <c r="P277" i="5" s="1"/>
  <c r="I273" i="1" s="1"/>
  <c r="J274" i="1"/>
  <c r="P278" i="5" s="1"/>
  <c r="I274" i="1" s="1"/>
  <c r="J275" i="1"/>
  <c r="P279" i="5" s="1"/>
  <c r="I275" i="1" s="1"/>
  <c r="J276" i="1"/>
  <c r="P280" i="5" s="1"/>
  <c r="I276" i="1" s="1"/>
  <c r="J277" i="1"/>
  <c r="P281" i="5" s="1"/>
  <c r="I277" i="1" s="1"/>
  <c r="J278" i="1"/>
  <c r="P282" i="5" s="1"/>
  <c r="I278" i="1" s="1"/>
  <c r="J279" i="1"/>
  <c r="P283" i="5" s="1"/>
  <c r="I279" i="1" s="1"/>
  <c r="J280" i="1"/>
  <c r="P284" i="5" s="1"/>
  <c r="I280" i="1" s="1"/>
  <c r="J281" i="1"/>
  <c r="P285" i="5" s="1"/>
  <c r="I281" i="1" s="1"/>
  <c r="J282" i="1"/>
  <c r="P286" i="5" s="1"/>
  <c r="I282" i="1" s="1"/>
  <c r="J283" i="1"/>
  <c r="P287" i="5" s="1"/>
  <c r="I283" i="1" s="1"/>
  <c r="J284" i="1"/>
  <c r="P288" i="5" s="1"/>
  <c r="I284" i="1" s="1"/>
  <c r="J285" i="1"/>
  <c r="P289" i="5" s="1"/>
  <c r="I285" i="1" s="1"/>
  <c r="J286" i="1"/>
  <c r="P290" i="5" s="1"/>
  <c r="I286" i="1" s="1"/>
  <c r="J287" i="1"/>
  <c r="P291" i="5" s="1"/>
  <c r="I287" i="1" s="1"/>
  <c r="J288" i="1"/>
  <c r="P292" i="5" s="1"/>
  <c r="I288" i="1" s="1"/>
  <c r="J289" i="1"/>
  <c r="P293" i="5" s="1"/>
  <c r="I289" i="1" s="1"/>
  <c r="J290" i="1"/>
  <c r="P294" i="5" s="1"/>
  <c r="I290" i="1" s="1"/>
  <c r="J291" i="1"/>
  <c r="P295" i="5" s="1"/>
  <c r="I291" i="1" s="1"/>
  <c r="J292" i="1"/>
  <c r="P296" i="5" s="1"/>
  <c r="I292" i="1" s="1"/>
  <c r="J293" i="1"/>
  <c r="P297" i="5" s="1"/>
  <c r="I293" i="1" s="1"/>
  <c r="J294" i="1"/>
  <c r="P298" i="5" s="1"/>
  <c r="I294" i="1" s="1"/>
  <c r="J295" i="1"/>
  <c r="P299" i="5" s="1"/>
  <c r="I295" i="1" s="1"/>
  <c r="J296" i="1"/>
  <c r="P300" i="5" s="1"/>
  <c r="I296" i="1" s="1"/>
  <c r="J297" i="1"/>
  <c r="P301" i="5" s="1"/>
  <c r="I297" i="1" s="1"/>
  <c r="J298" i="1"/>
  <c r="P302" i="5" s="1"/>
  <c r="I298" i="1" s="1"/>
  <c r="J299" i="1"/>
  <c r="P303" i="5" s="1"/>
  <c r="I299" i="1" s="1"/>
  <c r="J300" i="1"/>
  <c r="P304" i="5" s="1"/>
  <c r="I300" i="1" s="1"/>
  <c r="J301" i="1"/>
  <c r="P305" i="5" s="1"/>
  <c r="I301" i="1" s="1"/>
  <c r="J302" i="1"/>
  <c r="P306" i="5" s="1"/>
  <c r="I302" i="1" s="1"/>
  <c r="J303" i="1"/>
  <c r="P307" i="5"/>
  <c r="I303" i="1" s="1"/>
  <c r="J304" i="1"/>
  <c r="P308" i="5" s="1"/>
  <c r="I304" i="1" s="1"/>
  <c r="J305" i="1"/>
  <c r="P309" i="5" s="1"/>
  <c r="I305" i="1" s="1"/>
  <c r="J306" i="1"/>
  <c r="P310" i="5"/>
  <c r="I306" i="1" s="1"/>
  <c r="J307" i="1"/>
  <c r="P311" i="5" s="1"/>
  <c r="I307" i="1" s="1"/>
  <c r="AA23" i="5"/>
  <c r="BD23" i="5" s="1"/>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P9"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C9" i="8"/>
  <c r="AC9" i="8"/>
  <c r="B333" i="2"/>
  <c r="B332" i="2"/>
  <c r="B326" i="2"/>
  <c r="B325" i="2"/>
  <c r="D330" i="2"/>
  <c r="D331" i="2"/>
  <c r="D332" i="2"/>
  <c r="D333" i="2"/>
  <c r="D329" i="2"/>
  <c r="D328" i="2"/>
  <c r="D327" i="2"/>
  <c r="D326" i="2"/>
  <c r="D325" i="2"/>
  <c r="BO11" i="7"/>
  <c r="BP11" i="7"/>
  <c r="BQ11" i="7"/>
  <c r="BR11" i="7"/>
  <c r="BS11" i="7"/>
  <c r="BT11" i="7"/>
  <c r="BU11" i="7"/>
  <c r="Z16" i="7"/>
  <c r="AC17" i="7"/>
  <c r="C65" i="2"/>
  <c r="B74" i="2"/>
  <c r="AB19" i="7"/>
  <c r="AC19" i="7"/>
  <c r="AD19" i="7"/>
  <c r="AB22" i="7"/>
  <c r="AC22" i="7"/>
  <c r="AD22" i="7"/>
  <c r="AB23" i="7"/>
  <c r="AC23" i="7"/>
  <c r="AD23" i="7"/>
  <c r="AB24" i="7"/>
  <c r="AC24" i="7"/>
  <c r="AD24" i="7"/>
  <c r="AB25" i="7"/>
  <c r="AC25" i="7"/>
  <c r="AD25" i="7"/>
  <c r="AB26" i="7"/>
  <c r="AC26" i="7"/>
  <c r="AD26" i="7"/>
  <c r="AB27" i="7"/>
  <c r="AC27" i="7"/>
  <c r="AD27" i="7"/>
  <c r="BH12" i="7"/>
  <c r="AD21" i="7"/>
  <c r="AB28" i="7"/>
  <c r="AC28" i="7"/>
  <c r="AD28" i="7"/>
  <c r="AB29" i="7"/>
  <c r="AC29" i="7"/>
  <c r="AD29" i="7"/>
  <c r="AB30" i="7"/>
  <c r="AC30" i="7"/>
  <c r="AD30" i="7"/>
  <c r="AB31" i="7"/>
  <c r="AC31" i="7"/>
  <c r="AD31" i="7"/>
  <c r="AB32" i="7"/>
  <c r="AC32" i="7"/>
  <c r="AD32" i="7"/>
  <c r="AB33" i="7"/>
  <c r="AC33" i="7"/>
  <c r="AD33" i="7"/>
  <c r="AB34" i="7"/>
  <c r="AC34" i="7"/>
  <c r="AD34" i="7"/>
  <c r="AB35" i="7"/>
  <c r="AC35" i="7"/>
  <c r="AD35" i="7"/>
  <c r="AB36" i="7"/>
  <c r="AC36" i="7"/>
  <c r="AD36" i="7"/>
  <c r="AB37" i="7"/>
  <c r="AC37" i="7"/>
  <c r="AD37" i="7"/>
  <c r="AB38" i="7"/>
  <c r="AC38" i="7"/>
  <c r="AD38" i="7"/>
  <c r="AB39" i="7"/>
  <c r="AC39" i="7"/>
  <c r="AD39" i="7"/>
  <c r="AB40" i="7"/>
  <c r="AC40" i="7"/>
  <c r="AD40" i="7"/>
  <c r="AB41" i="7"/>
  <c r="AC41" i="7"/>
  <c r="AD41" i="7"/>
  <c r="AB42" i="7"/>
  <c r="AC42" i="7"/>
  <c r="AD42" i="7"/>
  <c r="AB43" i="7"/>
  <c r="AC43" i="7"/>
  <c r="AD43" i="7"/>
  <c r="AB44" i="7"/>
  <c r="AC44" i="7"/>
  <c r="AD44" i="7"/>
  <c r="AB45" i="7"/>
  <c r="AC45" i="7"/>
  <c r="AD45" i="7"/>
  <c r="AB46" i="7"/>
  <c r="AC46" i="7"/>
  <c r="AD46" i="7"/>
  <c r="AB47" i="7"/>
  <c r="AC47" i="7"/>
  <c r="AD47" i="7"/>
  <c r="AB48" i="7"/>
  <c r="AC48" i="7"/>
  <c r="AD48" i="7"/>
  <c r="AB49" i="7"/>
  <c r="AC49" i="7"/>
  <c r="AD49" i="7"/>
  <c r="AB50" i="7"/>
  <c r="AC50" i="7"/>
  <c r="AD50" i="7"/>
  <c r="AB51" i="7"/>
  <c r="AC51" i="7"/>
  <c r="AD51" i="7"/>
  <c r="AB52" i="7"/>
  <c r="AC52" i="7"/>
  <c r="AD52" i="7"/>
  <c r="AB53" i="7"/>
  <c r="AC53" i="7"/>
  <c r="AD53" i="7"/>
  <c r="AB54" i="7"/>
  <c r="AC54" i="7"/>
  <c r="AD54" i="7"/>
  <c r="AB55" i="7"/>
  <c r="AC55" i="7"/>
  <c r="AD55" i="7"/>
  <c r="AB56" i="7"/>
  <c r="AC56" i="7"/>
  <c r="AD56" i="7"/>
  <c r="AB57" i="7"/>
  <c r="AC57" i="7"/>
  <c r="AD57" i="7"/>
  <c r="AB58" i="7"/>
  <c r="AC58" i="7"/>
  <c r="AD58" i="7"/>
  <c r="AB59" i="7"/>
  <c r="AC59" i="7"/>
  <c r="AD59" i="7"/>
  <c r="AB60" i="7"/>
  <c r="AC60" i="7"/>
  <c r="AD60" i="7"/>
  <c r="AB61" i="7"/>
  <c r="AC61" i="7"/>
  <c r="AD61" i="7"/>
  <c r="AB62" i="7"/>
  <c r="AC62" i="7"/>
  <c r="AD62" i="7"/>
  <c r="AB63" i="7"/>
  <c r="AC63" i="7"/>
  <c r="AD63" i="7"/>
  <c r="AB64" i="7"/>
  <c r="AC64" i="7"/>
  <c r="AD64" i="7"/>
  <c r="AB65" i="7"/>
  <c r="AC65" i="7"/>
  <c r="AD65" i="7"/>
  <c r="AB66" i="7"/>
  <c r="AC66" i="7"/>
  <c r="AD66" i="7"/>
  <c r="AB67" i="7"/>
  <c r="AC67" i="7"/>
  <c r="AD67" i="7"/>
  <c r="AB68" i="7"/>
  <c r="AC68" i="7"/>
  <c r="AD68" i="7"/>
  <c r="AB69" i="7"/>
  <c r="AC69" i="7"/>
  <c r="AD69" i="7"/>
  <c r="AB70" i="7"/>
  <c r="AC70" i="7"/>
  <c r="AD70" i="7"/>
  <c r="AB71" i="7"/>
  <c r="AC71" i="7"/>
  <c r="AD71" i="7"/>
  <c r="AB72" i="7"/>
  <c r="AC72" i="7"/>
  <c r="AD72" i="7"/>
  <c r="AB73" i="7"/>
  <c r="AC73" i="7"/>
  <c r="AD73" i="7"/>
  <c r="AB74" i="7"/>
  <c r="AC74" i="7"/>
  <c r="AD74" i="7"/>
  <c r="AB75" i="7"/>
  <c r="AC75" i="7"/>
  <c r="AD75" i="7"/>
  <c r="AB76" i="7"/>
  <c r="AC76" i="7"/>
  <c r="AD76" i="7"/>
  <c r="AB77" i="7"/>
  <c r="AC77" i="7"/>
  <c r="AD77" i="7"/>
  <c r="AB78" i="7"/>
  <c r="AC78" i="7"/>
  <c r="AD78" i="7"/>
  <c r="AB79" i="7"/>
  <c r="AC79" i="7"/>
  <c r="AD79" i="7"/>
  <c r="AB80" i="7"/>
  <c r="AC80" i="7"/>
  <c r="AD80" i="7"/>
  <c r="AB81" i="7"/>
  <c r="AC81" i="7"/>
  <c r="AD81" i="7"/>
  <c r="AB82" i="7"/>
  <c r="AC82" i="7"/>
  <c r="AD82" i="7"/>
  <c r="AB83" i="7"/>
  <c r="AC83" i="7"/>
  <c r="AD83" i="7"/>
  <c r="AB84" i="7"/>
  <c r="AC84" i="7"/>
  <c r="AD84" i="7"/>
  <c r="AB85" i="7"/>
  <c r="AC85" i="7"/>
  <c r="AD85" i="7"/>
  <c r="AB86" i="7"/>
  <c r="AC86" i="7"/>
  <c r="AD86" i="7"/>
  <c r="AB87" i="7"/>
  <c r="AC87" i="7"/>
  <c r="AD87" i="7"/>
  <c r="AB88" i="7"/>
  <c r="AC88" i="7"/>
  <c r="AD88" i="7"/>
  <c r="AB89" i="7"/>
  <c r="AC89" i="7"/>
  <c r="AD89" i="7"/>
  <c r="AB90" i="7"/>
  <c r="AC90" i="7"/>
  <c r="AD90" i="7"/>
  <c r="AB91" i="7"/>
  <c r="AC91" i="7"/>
  <c r="AD91" i="7"/>
  <c r="AB92" i="7"/>
  <c r="AC92" i="7"/>
  <c r="AD92" i="7"/>
  <c r="AB93" i="7"/>
  <c r="AC93" i="7"/>
  <c r="AD93" i="7"/>
  <c r="AB94" i="7"/>
  <c r="AC94" i="7"/>
  <c r="AD94" i="7"/>
  <c r="AB95" i="7"/>
  <c r="AC95" i="7"/>
  <c r="AD95" i="7"/>
  <c r="AB96" i="7"/>
  <c r="AC96" i="7"/>
  <c r="AD96" i="7"/>
  <c r="AB97" i="7"/>
  <c r="AC97" i="7"/>
  <c r="AD97" i="7"/>
  <c r="AB98" i="7"/>
  <c r="AC98" i="7"/>
  <c r="AD98" i="7"/>
  <c r="AB99" i="7"/>
  <c r="AC99" i="7"/>
  <c r="AD99" i="7"/>
  <c r="AB100" i="7"/>
  <c r="AC100" i="7"/>
  <c r="AD100" i="7"/>
  <c r="AB101" i="7"/>
  <c r="AC101" i="7"/>
  <c r="AD101" i="7"/>
  <c r="AB102" i="7"/>
  <c r="AC102" i="7"/>
  <c r="AD102" i="7"/>
  <c r="AB103" i="7"/>
  <c r="AC103" i="7"/>
  <c r="AD103" i="7"/>
  <c r="AB104" i="7"/>
  <c r="AC104" i="7"/>
  <c r="AD104" i="7"/>
  <c r="AB105" i="7"/>
  <c r="AC105" i="7"/>
  <c r="AD105" i="7"/>
  <c r="AB106" i="7"/>
  <c r="AC106" i="7"/>
  <c r="AD106" i="7"/>
  <c r="AB107" i="7"/>
  <c r="AC107" i="7"/>
  <c r="AD107" i="7"/>
  <c r="AB108" i="7"/>
  <c r="AC108" i="7"/>
  <c r="AD108" i="7"/>
  <c r="AB109" i="7"/>
  <c r="AC109" i="7"/>
  <c r="AD109" i="7"/>
  <c r="AB110" i="7"/>
  <c r="AC110" i="7"/>
  <c r="AD110" i="7"/>
  <c r="AB111" i="7"/>
  <c r="AC111" i="7"/>
  <c r="AD111" i="7"/>
  <c r="AB112" i="7"/>
  <c r="AC112" i="7"/>
  <c r="AD112" i="7"/>
  <c r="AB113" i="7"/>
  <c r="AC113" i="7"/>
  <c r="AD113" i="7"/>
  <c r="AB114" i="7"/>
  <c r="AC114" i="7"/>
  <c r="AD114" i="7"/>
  <c r="AB115" i="7"/>
  <c r="AC115" i="7"/>
  <c r="AD115" i="7"/>
  <c r="AB116" i="7"/>
  <c r="AC116" i="7"/>
  <c r="AD116" i="7"/>
  <c r="AB117" i="7"/>
  <c r="AC117" i="7"/>
  <c r="AD117" i="7"/>
  <c r="AB118" i="7"/>
  <c r="AC118" i="7"/>
  <c r="AD118" i="7"/>
  <c r="AB119" i="7"/>
  <c r="AC119" i="7"/>
  <c r="AD119" i="7"/>
  <c r="AB120" i="7"/>
  <c r="AC120" i="7"/>
  <c r="AD120" i="7"/>
  <c r="AB121" i="7"/>
  <c r="AC121" i="7"/>
  <c r="AD121" i="7"/>
  <c r="AB122" i="7"/>
  <c r="AC122" i="7"/>
  <c r="AD122" i="7"/>
  <c r="AB123" i="7"/>
  <c r="AC123" i="7"/>
  <c r="AD123" i="7"/>
  <c r="AB124" i="7"/>
  <c r="AC124" i="7"/>
  <c r="AD124" i="7"/>
  <c r="AB125" i="7"/>
  <c r="AC125" i="7"/>
  <c r="AD125" i="7"/>
  <c r="AB126" i="7"/>
  <c r="AC126" i="7"/>
  <c r="AD126" i="7"/>
  <c r="AB127" i="7"/>
  <c r="AC127" i="7"/>
  <c r="AD127" i="7"/>
  <c r="AB128" i="7"/>
  <c r="AC128" i="7"/>
  <c r="AD128" i="7"/>
  <c r="AB129" i="7"/>
  <c r="AC129" i="7"/>
  <c r="AD129" i="7"/>
  <c r="AB130" i="7"/>
  <c r="AC130" i="7"/>
  <c r="AD130" i="7"/>
  <c r="AB131" i="7"/>
  <c r="AC131" i="7"/>
  <c r="AD131" i="7"/>
  <c r="AB132" i="7"/>
  <c r="AC132" i="7"/>
  <c r="AD132" i="7"/>
  <c r="AB133" i="7"/>
  <c r="AC133" i="7"/>
  <c r="AD133" i="7"/>
  <c r="AB134" i="7"/>
  <c r="AC134" i="7"/>
  <c r="AD134" i="7"/>
  <c r="AB135" i="7"/>
  <c r="AC135" i="7"/>
  <c r="AD135" i="7"/>
  <c r="AB136" i="7"/>
  <c r="AC136" i="7"/>
  <c r="AD136" i="7"/>
  <c r="AB137" i="7"/>
  <c r="AC137" i="7"/>
  <c r="AD137" i="7"/>
  <c r="AB138" i="7"/>
  <c r="AC138" i="7"/>
  <c r="AD138" i="7"/>
  <c r="AB139" i="7"/>
  <c r="AC139" i="7"/>
  <c r="AD139" i="7"/>
  <c r="AB140" i="7"/>
  <c r="AC140" i="7"/>
  <c r="AD140" i="7"/>
  <c r="AB141" i="7"/>
  <c r="AC141" i="7"/>
  <c r="AD141" i="7"/>
  <c r="AB142" i="7"/>
  <c r="AC142" i="7"/>
  <c r="AD142" i="7"/>
  <c r="AB143" i="7"/>
  <c r="AC143" i="7"/>
  <c r="AD143" i="7"/>
  <c r="AB144" i="7"/>
  <c r="AC144" i="7"/>
  <c r="AD144" i="7"/>
  <c r="AB145" i="7"/>
  <c r="AC145" i="7"/>
  <c r="AD145" i="7"/>
  <c r="AB146" i="7"/>
  <c r="AC146" i="7"/>
  <c r="AD146" i="7"/>
  <c r="AB147" i="7"/>
  <c r="AC147" i="7"/>
  <c r="AD147" i="7"/>
  <c r="AB148" i="7"/>
  <c r="AC148" i="7"/>
  <c r="AD148" i="7"/>
  <c r="AB149" i="7"/>
  <c r="AC149" i="7"/>
  <c r="AD149" i="7"/>
  <c r="AB150" i="7"/>
  <c r="AC150" i="7"/>
  <c r="AD150" i="7"/>
  <c r="AB151" i="7"/>
  <c r="AC151" i="7"/>
  <c r="AD151" i="7"/>
  <c r="AB152" i="7"/>
  <c r="AC152" i="7"/>
  <c r="AD152" i="7"/>
  <c r="AB153" i="7"/>
  <c r="AC153" i="7"/>
  <c r="AD153" i="7"/>
  <c r="AB154" i="7"/>
  <c r="AC154" i="7"/>
  <c r="AD154" i="7"/>
  <c r="AB155" i="7"/>
  <c r="AC155" i="7"/>
  <c r="AD155" i="7"/>
  <c r="AB156" i="7"/>
  <c r="AC156" i="7"/>
  <c r="AD156" i="7"/>
  <c r="AB157" i="7"/>
  <c r="AC157" i="7"/>
  <c r="AD157" i="7"/>
  <c r="AB158" i="7"/>
  <c r="AC158" i="7"/>
  <c r="AD158" i="7"/>
  <c r="AB159" i="7"/>
  <c r="AC159" i="7"/>
  <c r="AD159" i="7"/>
  <c r="AB160" i="7"/>
  <c r="AC160" i="7"/>
  <c r="AD160" i="7"/>
  <c r="AB161" i="7"/>
  <c r="AC161" i="7"/>
  <c r="AD161" i="7"/>
  <c r="AB162" i="7"/>
  <c r="AC162" i="7"/>
  <c r="AD162" i="7"/>
  <c r="AB163" i="7"/>
  <c r="AC163" i="7"/>
  <c r="AD163" i="7"/>
  <c r="AB164" i="7"/>
  <c r="AC164" i="7"/>
  <c r="AD164" i="7"/>
  <c r="AB165" i="7"/>
  <c r="AC165" i="7"/>
  <c r="AD165" i="7"/>
  <c r="AB166" i="7"/>
  <c r="AC166" i="7"/>
  <c r="AD166" i="7"/>
  <c r="AB167" i="7"/>
  <c r="AC167" i="7"/>
  <c r="AD167" i="7"/>
  <c r="AB168" i="7"/>
  <c r="AC168" i="7"/>
  <c r="AD168" i="7"/>
  <c r="AB169" i="7"/>
  <c r="AC169" i="7"/>
  <c r="AD169" i="7"/>
  <c r="AB170" i="7"/>
  <c r="AC170" i="7"/>
  <c r="AD170" i="7"/>
  <c r="AB171" i="7"/>
  <c r="AC171" i="7"/>
  <c r="AD171" i="7"/>
  <c r="AB172" i="7"/>
  <c r="AC172" i="7"/>
  <c r="AD172" i="7"/>
  <c r="AB173" i="7"/>
  <c r="AC173" i="7"/>
  <c r="AD173" i="7"/>
  <c r="AB174" i="7"/>
  <c r="AC174" i="7"/>
  <c r="AD174" i="7"/>
  <c r="AB175" i="7"/>
  <c r="AC175" i="7"/>
  <c r="AD175" i="7"/>
  <c r="AB176" i="7"/>
  <c r="AC176" i="7"/>
  <c r="AD176" i="7"/>
  <c r="AB177" i="7"/>
  <c r="AC177" i="7"/>
  <c r="AD177" i="7"/>
  <c r="AB178" i="7"/>
  <c r="AC178" i="7"/>
  <c r="AD178" i="7"/>
  <c r="AB179" i="7"/>
  <c r="AC179" i="7"/>
  <c r="AD179" i="7"/>
  <c r="AB180" i="7"/>
  <c r="AC180" i="7"/>
  <c r="AD180" i="7"/>
  <c r="AB181" i="7"/>
  <c r="AC181" i="7"/>
  <c r="AD181" i="7"/>
  <c r="AB182" i="7"/>
  <c r="AC182" i="7"/>
  <c r="AD182" i="7"/>
  <c r="AB183" i="7"/>
  <c r="AC183" i="7"/>
  <c r="AD183" i="7"/>
  <c r="AB184" i="7"/>
  <c r="AC184" i="7"/>
  <c r="AD184" i="7"/>
  <c r="AB185" i="7"/>
  <c r="AC185" i="7"/>
  <c r="AD185" i="7"/>
  <c r="AB186" i="7"/>
  <c r="AC186" i="7"/>
  <c r="AD186" i="7"/>
  <c r="AB187" i="7"/>
  <c r="AC187" i="7"/>
  <c r="AD187" i="7"/>
  <c r="AB188" i="7"/>
  <c r="AC188" i="7"/>
  <c r="AD188" i="7"/>
  <c r="AB189" i="7"/>
  <c r="AC189" i="7"/>
  <c r="AD189" i="7"/>
  <c r="AB190" i="7"/>
  <c r="AC190" i="7"/>
  <c r="AD190" i="7"/>
  <c r="AB191" i="7"/>
  <c r="AC191" i="7"/>
  <c r="AD191" i="7"/>
  <c r="AB192" i="7"/>
  <c r="AC192" i="7"/>
  <c r="AD192" i="7"/>
  <c r="AB193" i="7"/>
  <c r="AC193" i="7"/>
  <c r="AD193" i="7"/>
  <c r="AB194" i="7"/>
  <c r="AC194" i="7"/>
  <c r="AD194" i="7"/>
  <c r="AB195" i="7"/>
  <c r="AC195" i="7"/>
  <c r="AD195" i="7"/>
  <c r="AB196" i="7"/>
  <c r="AC196" i="7"/>
  <c r="AD196" i="7"/>
  <c r="AB197" i="7"/>
  <c r="AC197" i="7"/>
  <c r="AD197" i="7"/>
  <c r="AB198" i="7"/>
  <c r="AC198" i="7"/>
  <c r="AD198" i="7"/>
  <c r="AB199" i="7"/>
  <c r="AC199" i="7"/>
  <c r="AD199" i="7"/>
  <c r="AB200" i="7"/>
  <c r="AC200" i="7"/>
  <c r="AD200" i="7"/>
  <c r="AB201" i="7"/>
  <c r="AC201" i="7"/>
  <c r="AD201" i="7"/>
  <c r="AB202" i="7"/>
  <c r="AC202" i="7"/>
  <c r="AD202" i="7"/>
  <c r="AB203" i="7"/>
  <c r="AC203" i="7"/>
  <c r="AD203" i="7"/>
  <c r="AB204" i="7"/>
  <c r="AC204" i="7"/>
  <c r="AD204" i="7"/>
  <c r="AB205" i="7"/>
  <c r="AC205" i="7"/>
  <c r="AD205" i="7"/>
  <c r="AB206" i="7"/>
  <c r="AC206" i="7"/>
  <c r="AD206" i="7"/>
  <c r="AB207" i="7"/>
  <c r="AC207" i="7"/>
  <c r="AD207" i="7"/>
  <c r="AB208" i="7"/>
  <c r="AC208" i="7"/>
  <c r="AD208" i="7"/>
  <c r="AB209" i="7"/>
  <c r="AC209" i="7"/>
  <c r="AD209" i="7"/>
  <c r="AB210" i="7"/>
  <c r="AC210" i="7"/>
  <c r="AD210" i="7"/>
  <c r="AB211" i="7"/>
  <c r="AC211" i="7"/>
  <c r="AD211" i="7"/>
  <c r="AB212" i="7"/>
  <c r="AC212" i="7"/>
  <c r="AD212" i="7"/>
  <c r="AB213" i="7"/>
  <c r="AC213" i="7"/>
  <c r="AD213" i="7"/>
  <c r="AB214" i="7"/>
  <c r="AC214" i="7"/>
  <c r="AD214" i="7"/>
  <c r="AB215" i="7"/>
  <c r="AC215" i="7"/>
  <c r="AD215" i="7"/>
  <c r="AB216" i="7"/>
  <c r="AC216" i="7"/>
  <c r="AD216" i="7"/>
  <c r="AB217" i="7"/>
  <c r="AC217" i="7"/>
  <c r="AD217" i="7"/>
  <c r="AB218" i="7"/>
  <c r="AC218" i="7"/>
  <c r="AD218" i="7"/>
  <c r="AB219" i="7"/>
  <c r="AC219" i="7"/>
  <c r="AD219" i="7"/>
  <c r="AB220" i="7"/>
  <c r="AC220" i="7"/>
  <c r="AD220" i="7"/>
  <c r="AB221" i="7"/>
  <c r="AC221" i="7"/>
  <c r="AD221" i="7"/>
  <c r="AB222" i="7"/>
  <c r="AC222" i="7"/>
  <c r="AD222" i="7"/>
  <c r="AB223" i="7"/>
  <c r="AC223" i="7"/>
  <c r="AD223" i="7"/>
  <c r="AB224" i="7"/>
  <c r="AC224" i="7"/>
  <c r="AD224" i="7"/>
  <c r="AB225" i="7"/>
  <c r="AC225" i="7"/>
  <c r="AD225" i="7"/>
  <c r="AB226" i="7"/>
  <c r="AC226" i="7"/>
  <c r="AD226" i="7"/>
  <c r="AB227" i="7"/>
  <c r="AC227" i="7"/>
  <c r="AD227" i="7"/>
  <c r="AB228" i="7"/>
  <c r="AC228" i="7"/>
  <c r="AD228" i="7"/>
  <c r="AB229" i="7"/>
  <c r="AC229" i="7"/>
  <c r="AD229" i="7"/>
  <c r="AB230" i="7"/>
  <c r="AC230" i="7"/>
  <c r="AD230" i="7"/>
  <c r="AB231" i="7"/>
  <c r="AC231" i="7"/>
  <c r="AD231" i="7"/>
  <c r="AB232" i="7"/>
  <c r="AC232" i="7"/>
  <c r="AD232" i="7"/>
  <c r="AB233" i="7"/>
  <c r="AC233" i="7"/>
  <c r="AD233" i="7"/>
  <c r="AB234" i="7"/>
  <c r="AC234" i="7"/>
  <c r="AD234" i="7"/>
  <c r="AB235" i="7"/>
  <c r="AC235" i="7"/>
  <c r="AD235" i="7"/>
  <c r="AB236" i="7"/>
  <c r="AC236" i="7"/>
  <c r="AD236" i="7"/>
  <c r="AB237" i="7"/>
  <c r="AC237" i="7"/>
  <c r="AD237" i="7"/>
  <c r="AB238" i="7"/>
  <c r="AC238" i="7"/>
  <c r="AD238" i="7"/>
  <c r="AB239" i="7"/>
  <c r="AC239" i="7"/>
  <c r="AD239" i="7"/>
  <c r="AB240" i="7"/>
  <c r="AC240" i="7"/>
  <c r="AD240" i="7"/>
  <c r="AB241" i="7"/>
  <c r="AC241" i="7"/>
  <c r="AD241" i="7"/>
  <c r="AB242" i="7"/>
  <c r="AC242" i="7"/>
  <c r="AD242" i="7"/>
  <c r="AB243" i="7"/>
  <c r="AC243" i="7"/>
  <c r="AD243" i="7"/>
  <c r="AB244" i="7"/>
  <c r="AC244" i="7"/>
  <c r="AD244" i="7"/>
  <c r="AB245" i="7"/>
  <c r="AC245" i="7"/>
  <c r="AD245" i="7"/>
  <c r="AB246" i="7"/>
  <c r="AC246" i="7"/>
  <c r="AD246" i="7"/>
  <c r="AB247" i="7"/>
  <c r="AC247" i="7"/>
  <c r="AD247" i="7"/>
  <c r="AB248" i="7"/>
  <c r="AC248" i="7"/>
  <c r="AD248" i="7"/>
  <c r="AB249" i="7"/>
  <c r="AC249" i="7"/>
  <c r="AD249" i="7"/>
  <c r="AB250" i="7"/>
  <c r="AC250" i="7"/>
  <c r="AD250" i="7"/>
  <c r="AB251" i="7"/>
  <c r="AC251" i="7"/>
  <c r="AD251" i="7"/>
  <c r="AB252" i="7"/>
  <c r="AC252" i="7"/>
  <c r="AD252" i="7"/>
  <c r="AB253" i="7"/>
  <c r="AC253" i="7"/>
  <c r="AD253" i="7"/>
  <c r="AB254" i="7"/>
  <c r="AC254" i="7"/>
  <c r="AD254" i="7"/>
  <c r="AB255" i="7"/>
  <c r="AC255" i="7"/>
  <c r="AD255" i="7"/>
  <c r="AB256" i="7"/>
  <c r="AC256" i="7"/>
  <c r="AD256" i="7"/>
  <c r="AB257" i="7"/>
  <c r="AC257" i="7"/>
  <c r="AD257" i="7"/>
  <c r="AB258" i="7"/>
  <c r="AC258" i="7"/>
  <c r="AD258" i="7"/>
  <c r="AB259" i="7"/>
  <c r="AC259" i="7"/>
  <c r="AD259" i="7"/>
  <c r="AB260" i="7"/>
  <c r="AC260" i="7"/>
  <c r="AD260" i="7"/>
  <c r="AB261" i="7"/>
  <c r="AC261" i="7"/>
  <c r="AD261" i="7"/>
  <c r="AB262" i="7"/>
  <c r="AB263" i="7"/>
  <c r="AC263" i="7"/>
  <c r="AD263" i="7"/>
  <c r="AB264" i="7"/>
  <c r="AC264" i="7"/>
  <c r="AD264" i="7"/>
  <c r="AB265" i="7"/>
  <c r="AC265" i="7"/>
  <c r="AD265" i="7"/>
  <c r="AB266" i="7"/>
  <c r="AC266" i="7"/>
  <c r="AD266" i="7"/>
  <c r="AB267" i="7"/>
  <c r="AC267" i="7"/>
  <c r="AD267" i="7"/>
  <c r="AB268" i="7"/>
  <c r="AC268" i="7"/>
  <c r="AD268" i="7"/>
  <c r="AB269" i="7"/>
  <c r="AC269" i="7"/>
  <c r="AD269" i="7"/>
  <c r="AB270" i="7"/>
  <c r="AC270" i="7"/>
  <c r="AD270" i="7"/>
  <c r="AB271" i="7"/>
  <c r="AC271" i="7"/>
  <c r="AD271" i="7"/>
  <c r="AB272" i="7"/>
  <c r="AC272" i="7"/>
  <c r="AD272" i="7"/>
  <c r="AB273" i="7"/>
  <c r="AC273" i="7"/>
  <c r="AD273" i="7"/>
  <c r="AB274" i="7"/>
  <c r="AC274" i="7"/>
  <c r="AD274" i="7"/>
  <c r="AB275" i="7"/>
  <c r="AC275" i="7"/>
  <c r="AD275" i="7"/>
  <c r="AB276" i="7"/>
  <c r="AC276" i="7"/>
  <c r="AD276" i="7"/>
  <c r="AB277" i="7"/>
  <c r="AC277" i="7"/>
  <c r="AD277" i="7"/>
  <c r="AB278" i="7"/>
  <c r="AC278" i="7"/>
  <c r="AD278" i="7"/>
  <c r="AB279" i="7"/>
  <c r="AC279" i="7"/>
  <c r="AD279" i="7"/>
  <c r="AB280" i="7"/>
  <c r="AC280" i="7"/>
  <c r="AD280" i="7"/>
  <c r="AB281" i="7"/>
  <c r="AC281" i="7"/>
  <c r="AD281" i="7"/>
  <c r="AB282" i="7"/>
  <c r="AC282" i="7"/>
  <c r="AD282" i="7"/>
  <c r="AB283" i="7"/>
  <c r="AC283" i="7"/>
  <c r="AD283" i="7"/>
  <c r="AB284" i="7"/>
  <c r="AC284" i="7"/>
  <c r="AD284" i="7"/>
  <c r="AB285" i="7"/>
  <c r="AC285" i="7"/>
  <c r="AD285" i="7"/>
  <c r="AB286" i="7"/>
  <c r="AC286" i="7"/>
  <c r="AD286" i="7"/>
  <c r="AB287" i="7"/>
  <c r="AC287" i="7"/>
  <c r="AD287" i="7"/>
  <c r="AB288" i="7"/>
  <c r="AC288" i="7"/>
  <c r="AD288" i="7"/>
  <c r="AB289" i="7"/>
  <c r="AC289" i="7"/>
  <c r="AD289" i="7"/>
  <c r="AB290" i="7"/>
  <c r="AC290" i="7"/>
  <c r="AD290" i="7"/>
  <c r="AB291" i="7"/>
  <c r="AC291" i="7"/>
  <c r="AD291" i="7"/>
  <c r="AB292" i="7"/>
  <c r="AC292" i="7"/>
  <c r="AD292" i="7"/>
  <c r="AB293" i="7"/>
  <c r="AC293" i="7"/>
  <c r="AD293" i="7"/>
  <c r="AB294" i="7"/>
  <c r="AC294" i="7"/>
  <c r="AD294" i="7"/>
  <c r="AB295" i="7"/>
  <c r="AC295" i="7"/>
  <c r="AD295" i="7"/>
  <c r="AB296" i="7"/>
  <c r="AC296" i="7"/>
  <c r="AD296" i="7"/>
  <c r="AB297" i="7"/>
  <c r="AC297" i="7"/>
  <c r="AD297" i="7"/>
  <c r="AB298" i="7"/>
  <c r="AC298" i="7"/>
  <c r="AD298" i="7"/>
  <c r="AB299" i="7"/>
  <c r="AC299" i="7"/>
  <c r="AD299" i="7"/>
  <c r="AB300" i="7"/>
  <c r="AC300" i="7"/>
  <c r="AD300" i="7"/>
  <c r="AB301" i="7"/>
  <c r="AC301" i="7"/>
  <c r="AD301" i="7"/>
  <c r="AB302" i="7"/>
  <c r="AC302" i="7"/>
  <c r="AD302" i="7"/>
  <c r="AB303" i="7"/>
  <c r="AC303" i="7"/>
  <c r="AD303" i="7"/>
  <c r="AB304" i="7"/>
  <c r="AC304" i="7"/>
  <c r="AD304" i="7"/>
  <c r="AB305" i="7"/>
  <c r="AC305" i="7"/>
  <c r="AD305" i="7"/>
  <c r="AB306" i="7"/>
  <c r="AB307" i="7"/>
  <c r="AC307" i="7"/>
  <c r="AD307" i="7"/>
  <c r="AB308" i="7"/>
  <c r="AC308" i="7"/>
  <c r="AD308" i="7"/>
  <c r="AB309" i="7"/>
  <c r="AC309" i="7"/>
  <c r="AD309" i="7"/>
  <c r="AB310" i="7"/>
  <c r="AC310" i="7"/>
  <c r="AD310" i="7"/>
  <c r="AB311" i="7"/>
  <c r="AC311" i="7"/>
  <c r="AD311" i="7"/>
  <c r="AB312" i="7"/>
  <c r="AC312" i="7"/>
  <c r="AD312" i="7"/>
  <c r="AB313" i="7"/>
  <c r="AC313" i="7"/>
  <c r="AD313" i="7"/>
  <c r="AB314" i="7"/>
  <c r="AC314" i="7"/>
  <c r="AD314" i="7"/>
  <c r="AB315" i="7"/>
  <c r="AC315" i="7"/>
  <c r="AD315" i="7"/>
  <c r="D314" i="2"/>
  <c r="D315" i="2"/>
  <c r="D316" i="2"/>
  <c r="D313" i="2"/>
  <c r="D312" i="2"/>
  <c r="AH23" i="5"/>
  <c r="AA12" i="5"/>
  <c r="A10" i="7"/>
  <c r="B10" i="7" s="1"/>
  <c r="AU98" i="7" s="1"/>
  <c r="B160" i="2"/>
  <c r="D160" i="2"/>
  <c r="B162" i="2"/>
  <c r="AB18" i="7"/>
  <c r="AD18" i="7"/>
  <c r="AC16" i="7"/>
  <c r="AD16" i="7"/>
  <c r="AA13" i="5"/>
  <c r="AA16" i="5"/>
  <c r="AA18" i="5"/>
  <c r="AA19" i="5"/>
  <c r="BD19" i="5" s="1"/>
  <c r="AA20" i="5"/>
  <c r="BD20" i="5" s="1"/>
  <c r="D43" i="2"/>
  <c r="AA14" i="5"/>
  <c r="AA15" i="5"/>
  <c r="BD15" i="5" s="1"/>
  <c r="AA17" i="5"/>
  <c r="H24" i="5"/>
  <c r="G24" i="5"/>
  <c r="L24" i="5" s="1"/>
  <c r="F24" i="5"/>
  <c r="K24" i="5" s="1"/>
  <c r="AH24" i="5"/>
  <c r="H25" i="5"/>
  <c r="G25" i="5"/>
  <c r="L25" i="5" s="1"/>
  <c r="F25" i="5"/>
  <c r="K25" i="5" s="1"/>
  <c r="AH25" i="5"/>
  <c r="H26" i="5"/>
  <c r="M26" i="5" s="1"/>
  <c r="G26" i="5"/>
  <c r="L26" i="5" s="1"/>
  <c r="F26" i="5"/>
  <c r="K26" i="5" s="1"/>
  <c r="AH26" i="5"/>
  <c r="K23" i="5"/>
  <c r="H27" i="5"/>
  <c r="M27" i="5" s="1"/>
  <c r="G27" i="5"/>
  <c r="L27" i="5" s="1"/>
  <c r="F27" i="5"/>
  <c r="K27" i="5" s="1"/>
  <c r="AH27" i="5"/>
  <c r="H28" i="5"/>
  <c r="M28" i="5"/>
  <c r="G28" i="5"/>
  <c r="L28" i="5"/>
  <c r="F28" i="5"/>
  <c r="K28" i="5"/>
  <c r="AH28" i="5"/>
  <c r="H29" i="5"/>
  <c r="G29" i="5"/>
  <c r="L29" i="5"/>
  <c r="F29" i="5"/>
  <c r="K29" i="5" s="1"/>
  <c r="AH29" i="5"/>
  <c r="H30" i="5"/>
  <c r="M30" i="5" s="1"/>
  <c r="G30" i="5"/>
  <c r="L30" i="5"/>
  <c r="F30" i="5"/>
  <c r="AH30" i="5"/>
  <c r="H31" i="5"/>
  <c r="M31" i="5"/>
  <c r="G31" i="5"/>
  <c r="L31" i="5" s="1"/>
  <c r="F31" i="5"/>
  <c r="K31" i="5"/>
  <c r="AH31" i="5"/>
  <c r="H32" i="5"/>
  <c r="M32" i="5"/>
  <c r="G32" i="5"/>
  <c r="L32" i="5"/>
  <c r="F32" i="5"/>
  <c r="K32" i="5"/>
  <c r="AH32" i="5"/>
  <c r="H33" i="5"/>
  <c r="G33" i="5"/>
  <c r="L33" i="5"/>
  <c r="F33" i="5"/>
  <c r="K33" i="5" s="1"/>
  <c r="AH33" i="5"/>
  <c r="H34" i="5"/>
  <c r="M34" i="5"/>
  <c r="G34" i="5"/>
  <c r="L34" i="5"/>
  <c r="F34" i="5"/>
  <c r="K34" i="5"/>
  <c r="AH34" i="5"/>
  <c r="F35" i="5"/>
  <c r="K35" i="5"/>
  <c r="AH35" i="5"/>
  <c r="H36" i="5"/>
  <c r="M36" i="5"/>
  <c r="G36" i="5"/>
  <c r="L36" i="5"/>
  <c r="F36" i="5"/>
  <c r="K36" i="5"/>
  <c r="AH36" i="5"/>
  <c r="H37" i="5"/>
  <c r="M37" i="5" s="1"/>
  <c r="G37" i="5"/>
  <c r="L37" i="5"/>
  <c r="F37" i="5"/>
  <c r="K37" i="5" s="1"/>
  <c r="AH37" i="5"/>
  <c r="H38" i="5"/>
  <c r="M38" i="5"/>
  <c r="G38" i="5"/>
  <c r="L38" i="5"/>
  <c r="F38" i="5"/>
  <c r="K38" i="5"/>
  <c r="AH38" i="5"/>
  <c r="H39" i="5"/>
  <c r="M39" i="5"/>
  <c r="G39" i="5"/>
  <c r="F39" i="5"/>
  <c r="K39" i="5"/>
  <c r="AH39" i="5"/>
  <c r="H40" i="5"/>
  <c r="M40" i="5"/>
  <c r="G40" i="5"/>
  <c r="L40" i="5"/>
  <c r="F40" i="5"/>
  <c r="K40" i="5"/>
  <c r="AH40" i="5"/>
  <c r="H41" i="5"/>
  <c r="M41" i="5" s="1"/>
  <c r="G41" i="5"/>
  <c r="L41" i="5"/>
  <c r="F41" i="5"/>
  <c r="K41" i="5" s="1"/>
  <c r="AH41" i="5"/>
  <c r="H42" i="5"/>
  <c r="M42" i="5" s="1"/>
  <c r="G42" i="5"/>
  <c r="L42" i="5"/>
  <c r="F42" i="5"/>
  <c r="K42" i="5" s="1"/>
  <c r="AH42" i="5"/>
  <c r="H43" i="5"/>
  <c r="M43" i="5"/>
  <c r="G43" i="5"/>
  <c r="L43" i="5" s="1"/>
  <c r="F43" i="5"/>
  <c r="K43" i="5"/>
  <c r="AH43" i="5"/>
  <c r="H44" i="5"/>
  <c r="M44" i="5"/>
  <c r="G44" i="5"/>
  <c r="L44" i="5" s="1"/>
  <c r="F44" i="5"/>
  <c r="K44" i="5"/>
  <c r="AH44" i="5"/>
  <c r="H45" i="5"/>
  <c r="M45" i="5" s="1"/>
  <c r="G45" i="5"/>
  <c r="L45" i="5"/>
  <c r="F45" i="5"/>
  <c r="AH45" i="5"/>
  <c r="H46" i="5"/>
  <c r="M46" i="5"/>
  <c r="G46" i="5"/>
  <c r="L46" i="5"/>
  <c r="F46" i="5"/>
  <c r="K46" i="5"/>
  <c r="AH46" i="5"/>
  <c r="H47" i="5"/>
  <c r="M47" i="5"/>
  <c r="G47" i="5"/>
  <c r="L47" i="5" s="1"/>
  <c r="F47" i="5"/>
  <c r="K47" i="5"/>
  <c r="AH47" i="5"/>
  <c r="H48" i="5"/>
  <c r="M48" i="5"/>
  <c r="G48" i="5"/>
  <c r="L48" i="5" s="1"/>
  <c r="F48" i="5"/>
  <c r="K48" i="5"/>
  <c r="AH48" i="5"/>
  <c r="H49" i="5"/>
  <c r="M49" i="5" s="1"/>
  <c r="G49" i="5"/>
  <c r="L49" i="5"/>
  <c r="F49" i="5"/>
  <c r="AH49" i="5"/>
  <c r="H50" i="5"/>
  <c r="M50" i="5"/>
  <c r="G50" i="5"/>
  <c r="L50" i="5"/>
  <c r="F50" i="5"/>
  <c r="K50" i="5"/>
  <c r="AH50" i="5"/>
  <c r="H51" i="5"/>
  <c r="M51" i="5"/>
  <c r="G51" i="5"/>
  <c r="L51" i="5" s="1"/>
  <c r="F51" i="5"/>
  <c r="K51" i="5"/>
  <c r="AH51" i="5"/>
  <c r="H52" i="5"/>
  <c r="M52" i="5"/>
  <c r="G52" i="5"/>
  <c r="L52" i="5"/>
  <c r="F52" i="5"/>
  <c r="K52" i="5"/>
  <c r="AH52" i="5"/>
  <c r="H53" i="5"/>
  <c r="M53" i="5" s="1"/>
  <c r="G53" i="5"/>
  <c r="L53" i="5"/>
  <c r="F53" i="5"/>
  <c r="K53" i="5" s="1"/>
  <c r="AH53" i="5"/>
  <c r="H54" i="5"/>
  <c r="Y54" i="5" s="1"/>
  <c r="M54" i="5"/>
  <c r="G54" i="5"/>
  <c r="L54" i="5"/>
  <c r="F54" i="5"/>
  <c r="K54" i="5"/>
  <c r="AH54" i="5"/>
  <c r="H55" i="5"/>
  <c r="M55" i="5"/>
  <c r="G55" i="5"/>
  <c r="F55" i="5"/>
  <c r="K55" i="5"/>
  <c r="AH55" i="5"/>
  <c r="H56" i="5"/>
  <c r="M56" i="5"/>
  <c r="G56" i="5"/>
  <c r="L56" i="5"/>
  <c r="F56" i="5"/>
  <c r="K56" i="5"/>
  <c r="AH56" i="5"/>
  <c r="H57" i="5"/>
  <c r="G57" i="5"/>
  <c r="L57" i="5"/>
  <c r="F57" i="5"/>
  <c r="K57" i="5" s="1"/>
  <c r="AH57" i="5"/>
  <c r="H58" i="5"/>
  <c r="M58" i="5" s="1"/>
  <c r="G58" i="5"/>
  <c r="L58" i="5"/>
  <c r="F58" i="5"/>
  <c r="AH58" i="5"/>
  <c r="H59" i="5"/>
  <c r="M59" i="5"/>
  <c r="G59" i="5"/>
  <c r="L59" i="5" s="1"/>
  <c r="F59" i="5"/>
  <c r="K59" i="5"/>
  <c r="AH59" i="5"/>
  <c r="H60" i="5"/>
  <c r="M60" i="5"/>
  <c r="G60" i="5"/>
  <c r="L60" i="5"/>
  <c r="F60" i="5"/>
  <c r="K60" i="5"/>
  <c r="AH60" i="5"/>
  <c r="H61" i="5"/>
  <c r="M61" i="5" s="1"/>
  <c r="G61" i="5"/>
  <c r="L61" i="5"/>
  <c r="F61" i="5"/>
  <c r="K61" i="5" s="1"/>
  <c r="AH61" i="5"/>
  <c r="H62" i="5"/>
  <c r="M62" i="5"/>
  <c r="G62" i="5"/>
  <c r="L62" i="5"/>
  <c r="F62" i="5"/>
  <c r="K62" i="5"/>
  <c r="AH62" i="5"/>
  <c r="H63" i="5"/>
  <c r="M63" i="5"/>
  <c r="G63" i="5"/>
  <c r="L63" i="5" s="1"/>
  <c r="F63" i="5"/>
  <c r="K63" i="5"/>
  <c r="AH63" i="5"/>
  <c r="H64" i="5"/>
  <c r="M64" i="5"/>
  <c r="G64" i="5"/>
  <c r="L64" i="5" s="1"/>
  <c r="F64" i="5"/>
  <c r="K64" i="5"/>
  <c r="AH64" i="5"/>
  <c r="H65" i="5"/>
  <c r="M65" i="5" s="1"/>
  <c r="G65" i="5"/>
  <c r="L65" i="5"/>
  <c r="F65" i="5"/>
  <c r="K65" i="5" s="1"/>
  <c r="AH65" i="5"/>
  <c r="H66" i="5"/>
  <c r="M66" i="5"/>
  <c r="G66" i="5"/>
  <c r="L66" i="5"/>
  <c r="F66" i="5"/>
  <c r="K66" i="5"/>
  <c r="AH66" i="5"/>
  <c r="H67" i="5"/>
  <c r="M67" i="5"/>
  <c r="G67" i="5"/>
  <c r="L67" i="5" s="1"/>
  <c r="F67" i="5"/>
  <c r="K67" i="5"/>
  <c r="AH67" i="5"/>
  <c r="H68" i="5"/>
  <c r="M68" i="5"/>
  <c r="G68" i="5"/>
  <c r="L68" i="5"/>
  <c r="F68" i="5"/>
  <c r="K68" i="5"/>
  <c r="AH68" i="5"/>
  <c r="H69" i="5"/>
  <c r="M69" i="5" s="1"/>
  <c r="G69" i="5"/>
  <c r="L69" i="5"/>
  <c r="F69" i="5"/>
  <c r="K69" i="5" s="1"/>
  <c r="AH69" i="5"/>
  <c r="H70" i="5"/>
  <c r="G70" i="5"/>
  <c r="L70" i="5"/>
  <c r="F70" i="5"/>
  <c r="AH70" i="5"/>
  <c r="H71" i="5"/>
  <c r="M71" i="5"/>
  <c r="G71" i="5"/>
  <c r="L71" i="5" s="1"/>
  <c r="F71" i="5"/>
  <c r="K71" i="5"/>
  <c r="AH71" i="5"/>
  <c r="H72" i="5"/>
  <c r="M72" i="5"/>
  <c r="G72" i="5"/>
  <c r="L72" i="5"/>
  <c r="F72" i="5"/>
  <c r="K72" i="5"/>
  <c r="AH72" i="5"/>
  <c r="H73" i="5"/>
  <c r="G73" i="5"/>
  <c r="L73" i="5"/>
  <c r="F73" i="5"/>
  <c r="K73" i="5" s="1"/>
  <c r="AH73" i="5"/>
  <c r="H74" i="5"/>
  <c r="M74" i="5" s="1"/>
  <c r="G74" i="5"/>
  <c r="L74" i="5"/>
  <c r="F74" i="5"/>
  <c r="J74" i="5" s="1"/>
  <c r="AH74" i="5"/>
  <c r="H75" i="5"/>
  <c r="M75" i="5"/>
  <c r="G75" i="5"/>
  <c r="L75" i="5" s="1"/>
  <c r="F75" i="5"/>
  <c r="K75" i="5"/>
  <c r="AH75" i="5"/>
  <c r="H76" i="5"/>
  <c r="M76" i="5"/>
  <c r="G76" i="5"/>
  <c r="L76" i="5"/>
  <c r="F76" i="5"/>
  <c r="K76" i="5"/>
  <c r="AH76" i="5"/>
  <c r="H77" i="5"/>
  <c r="G77" i="5"/>
  <c r="L77" i="5"/>
  <c r="F77" i="5"/>
  <c r="K77" i="5" s="1"/>
  <c r="AH77" i="5"/>
  <c r="H78" i="5"/>
  <c r="M78" i="5"/>
  <c r="G78" i="5"/>
  <c r="L78" i="5"/>
  <c r="F78" i="5"/>
  <c r="K78" i="5"/>
  <c r="AH78" i="5"/>
  <c r="H79" i="5"/>
  <c r="M79" i="5"/>
  <c r="G79" i="5"/>
  <c r="L79" i="5" s="1"/>
  <c r="F79" i="5"/>
  <c r="K79" i="5"/>
  <c r="AH79" i="5"/>
  <c r="H80" i="5"/>
  <c r="M80" i="5"/>
  <c r="G80" i="5"/>
  <c r="F80" i="5"/>
  <c r="K80" i="5"/>
  <c r="AH80" i="5"/>
  <c r="H81" i="5"/>
  <c r="M81" i="5" s="1"/>
  <c r="G81" i="5"/>
  <c r="L81" i="5"/>
  <c r="F81" i="5"/>
  <c r="K81" i="5" s="1"/>
  <c r="AH81" i="5"/>
  <c r="H82" i="5"/>
  <c r="M82" i="5"/>
  <c r="G82" i="5"/>
  <c r="L82" i="5"/>
  <c r="F82" i="5"/>
  <c r="K82" i="5"/>
  <c r="AH82" i="5"/>
  <c r="H83" i="5"/>
  <c r="M83" i="5"/>
  <c r="G83" i="5"/>
  <c r="L83" i="5" s="1"/>
  <c r="F83" i="5"/>
  <c r="K83" i="5"/>
  <c r="AH83" i="5"/>
  <c r="H84" i="5"/>
  <c r="M84" i="5"/>
  <c r="G84" i="5"/>
  <c r="L84" i="5"/>
  <c r="F84" i="5"/>
  <c r="K84" i="5"/>
  <c r="AH84" i="5"/>
  <c r="H85" i="5"/>
  <c r="M85" i="5" s="1"/>
  <c r="G85" i="5"/>
  <c r="L85" i="5"/>
  <c r="F85" i="5"/>
  <c r="K85" i="5" s="1"/>
  <c r="AH85" i="5"/>
  <c r="H86" i="5"/>
  <c r="AA86" i="5" s="1"/>
  <c r="M86" i="5"/>
  <c r="G86" i="5"/>
  <c r="L86" i="5"/>
  <c r="F86" i="5"/>
  <c r="K86" i="5"/>
  <c r="AH86" i="5"/>
  <c r="H87" i="5"/>
  <c r="M87" i="5"/>
  <c r="G87" i="5"/>
  <c r="L87" i="5" s="1"/>
  <c r="F87" i="5"/>
  <c r="K87" i="5"/>
  <c r="AH87" i="5"/>
  <c r="H88" i="5"/>
  <c r="M88" i="5"/>
  <c r="G88" i="5"/>
  <c r="L88" i="5"/>
  <c r="F88" i="5"/>
  <c r="K88" i="5"/>
  <c r="AH88" i="5"/>
  <c r="H89" i="5"/>
  <c r="M89" i="5" s="1"/>
  <c r="G89" i="5"/>
  <c r="L89" i="5"/>
  <c r="F89" i="5"/>
  <c r="K89" i="5" s="1"/>
  <c r="AH89" i="5"/>
  <c r="H90" i="5"/>
  <c r="G90" i="5"/>
  <c r="L90" i="5"/>
  <c r="F90" i="5"/>
  <c r="K90" i="5" s="1"/>
  <c r="AH90" i="5"/>
  <c r="H91" i="5"/>
  <c r="M91" i="5"/>
  <c r="G91" i="5"/>
  <c r="L91" i="5" s="1"/>
  <c r="F91" i="5"/>
  <c r="K91" i="5"/>
  <c r="AH91" i="5"/>
  <c r="H92" i="5"/>
  <c r="M92" i="5"/>
  <c r="G92" i="5"/>
  <c r="J92" i="5" s="1"/>
  <c r="L92" i="5"/>
  <c r="F92" i="5"/>
  <c r="K92" i="5"/>
  <c r="AH92" i="5"/>
  <c r="H93" i="5"/>
  <c r="AB93" i="5" s="1"/>
  <c r="G93" i="5"/>
  <c r="L93" i="5"/>
  <c r="F93" i="5"/>
  <c r="AH93" i="5"/>
  <c r="H94" i="5"/>
  <c r="M94" i="5"/>
  <c r="G94" i="5"/>
  <c r="L94" i="5"/>
  <c r="F94" i="5"/>
  <c r="K94" i="5"/>
  <c r="AH94" i="5"/>
  <c r="H95" i="5"/>
  <c r="M95" i="5"/>
  <c r="G95" i="5"/>
  <c r="L95" i="5" s="1"/>
  <c r="F95" i="5"/>
  <c r="K95" i="5"/>
  <c r="AH95" i="5"/>
  <c r="H96" i="5"/>
  <c r="M96" i="5"/>
  <c r="G96" i="5"/>
  <c r="L96" i="5" s="1"/>
  <c r="F96" i="5"/>
  <c r="K96" i="5"/>
  <c r="AH96" i="5"/>
  <c r="H97" i="5"/>
  <c r="M97" i="5" s="1"/>
  <c r="G97" i="5"/>
  <c r="L97" i="5"/>
  <c r="F97" i="5"/>
  <c r="AH97" i="5"/>
  <c r="H98" i="5"/>
  <c r="M98" i="5"/>
  <c r="G98" i="5"/>
  <c r="L98" i="5"/>
  <c r="F98" i="5"/>
  <c r="K98" i="5"/>
  <c r="AH98" i="5"/>
  <c r="H99" i="5"/>
  <c r="M99" i="5"/>
  <c r="G99" i="5"/>
  <c r="L99" i="5" s="1"/>
  <c r="F99" i="5"/>
  <c r="K99" i="5"/>
  <c r="AH99" i="5"/>
  <c r="H100" i="5"/>
  <c r="M100" i="5"/>
  <c r="G100" i="5"/>
  <c r="L100" i="5"/>
  <c r="F100" i="5"/>
  <c r="K100" i="5"/>
  <c r="AH100" i="5"/>
  <c r="H101" i="5"/>
  <c r="M101" i="5" s="1"/>
  <c r="G101" i="5"/>
  <c r="L101" i="5"/>
  <c r="F101" i="5"/>
  <c r="K101" i="5" s="1"/>
  <c r="AH101" i="5"/>
  <c r="H102" i="5"/>
  <c r="AA102" i="5" s="1"/>
  <c r="M102" i="5"/>
  <c r="G102" i="5"/>
  <c r="L102" i="5"/>
  <c r="F102" i="5"/>
  <c r="K102" i="5"/>
  <c r="AH102" i="5"/>
  <c r="H103" i="5"/>
  <c r="M103" i="5"/>
  <c r="G103" i="5"/>
  <c r="L103" i="5" s="1"/>
  <c r="F103" i="5"/>
  <c r="K103" i="5"/>
  <c r="AH103" i="5"/>
  <c r="H104" i="5"/>
  <c r="M104" i="5"/>
  <c r="G104" i="5"/>
  <c r="L104" i="5"/>
  <c r="F104" i="5"/>
  <c r="K104" i="5"/>
  <c r="AH104" i="5"/>
  <c r="H105" i="5"/>
  <c r="G105" i="5"/>
  <c r="L105" i="5"/>
  <c r="F105" i="5"/>
  <c r="K105" i="5" s="1"/>
  <c r="AH105" i="5"/>
  <c r="H106" i="5"/>
  <c r="G106" i="5"/>
  <c r="L106" i="5"/>
  <c r="F106" i="5"/>
  <c r="K106" i="5" s="1"/>
  <c r="AH106" i="5"/>
  <c r="H107" i="5"/>
  <c r="M107" i="5"/>
  <c r="G107" i="5"/>
  <c r="L107" i="5" s="1"/>
  <c r="F107" i="5"/>
  <c r="K107" i="5"/>
  <c r="AH107" i="5"/>
  <c r="H108" i="5"/>
  <c r="M108" i="5"/>
  <c r="G108" i="5"/>
  <c r="L108" i="5" s="1"/>
  <c r="F108" i="5"/>
  <c r="K108" i="5"/>
  <c r="AH108" i="5"/>
  <c r="H109" i="5"/>
  <c r="G109" i="5"/>
  <c r="L109" i="5"/>
  <c r="F109" i="5"/>
  <c r="AH109" i="5"/>
  <c r="H110" i="5"/>
  <c r="M110" i="5"/>
  <c r="G110" i="5"/>
  <c r="L110" i="5"/>
  <c r="F110" i="5"/>
  <c r="K110" i="5"/>
  <c r="AH110" i="5"/>
  <c r="H111" i="5"/>
  <c r="M111" i="5"/>
  <c r="G111" i="5"/>
  <c r="L111" i="5" s="1"/>
  <c r="F111" i="5"/>
  <c r="K111" i="5"/>
  <c r="AH111" i="5"/>
  <c r="H112" i="5"/>
  <c r="M112" i="5"/>
  <c r="G112" i="5"/>
  <c r="L112" i="5" s="1"/>
  <c r="F112" i="5"/>
  <c r="K112" i="5"/>
  <c r="AH112" i="5"/>
  <c r="H113" i="5"/>
  <c r="M113" i="5" s="1"/>
  <c r="G113" i="5"/>
  <c r="L113" i="5"/>
  <c r="F113" i="5"/>
  <c r="AH113" i="5"/>
  <c r="H114" i="5"/>
  <c r="M114" i="5"/>
  <c r="G114" i="5"/>
  <c r="L114" i="5"/>
  <c r="F114" i="5"/>
  <c r="K114" i="5"/>
  <c r="AH114" i="5"/>
  <c r="H115" i="5"/>
  <c r="M115" i="5"/>
  <c r="G115" i="5"/>
  <c r="F115" i="5"/>
  <c r="K115" i="5"/>
  <c r="AH115" i="5"/>
  <c r="H116" i="5"/>
  <c r="M116" i="5"/>
  <c r="G116" i="5"/>
  <c r="L116" i="5"/>
  <c r="F116" i="5"/>
  <c r="K116" i="5"/>
  <c r="AH116" i="5"/>
  <c r="H117" i="5"/>
  <c r="M117" i="5" s="1"/>
  <c r="G117" i="5"/>
  <c r="L117" i="5"/>
  <c r="F117" i="5"/>
  <c r="K117" i="5" s="1"/>
  <c r="AH117" i="5"/>
  <c r="H118" i="5"/>
  <c r="M118" i="5" s="1"/>
  <c r="G118" i="5"/>
  <c r="L118" i="5"/>
  <c r="F118" i="5"/>
  <c r="K118" i="5" s="1"/>
  <c r="AH118" i="5"/>
  <c r="H119" i="5"/>
  <c r="M119" i="5"/>
  <c r="G119" i="5"/>
  <c r="F119" i="5"/>
  <c r="K119" i="5"/>
  <c r="AH119" i="5"/>
  <c r="H120" i="5"/>
  <c r="M120" i="5"/>
  <c r="G120" i="5"/>
  <c r="L120" i="5"/>
  <c r="F120" i="5"/>
  <c r="K120" i="5"/>
  <c r="AH120" i="5"/>
  <c r="H121" i="5"/>
  <c r="G121" i="5"/>
  <c r="L121" i="5"/>
  <c r="F121" i="5"/>
  <c r="K121" i="5" s="1"/>
  <c r="AH121" i="5"/>
  <c r="H122" i="5"/>
  <c r="G122" i="5"/>
  <c r="L122" i="5"/>
  <c r="F122" i="5"/>
  <c r="AH122" i="5"/>
  <c r="H123" i="5"/>
  <c r="M123" i="5"/>
  <c r="G123" i="5"/>
  <c r="L123" i="5" s="1"/>
  <c r="F123" i="5"/>
  <c r="K123" i="5"/>
  <c r="AH123" i="5"/>
  <c r="H124" i="5"/>
  <c r="M124" i="5"/>
  <c r="G124" i="5"/>
  <c r="J124" i="5" s="1"/>
  <c r="L124" i="5"/>
  <c r="F124" i="5"/>
  <c r="K124" i="5"/>
  <c r="AH124" i="5"/>
  <c r="H125" i="5"/>
  <c r="G125" i="5"/>
  <c r="L125" i="5"/>
  <c r="F125" i="5"/>
  <c r="AH125" i="5"/>
  <c r="H126" i="5"/>
  <c r="M126" i="5"/>
  <c r="G126" i="5"/>
  <c r="L126" i="5"/>
  <c r="F126" i="5"/>
  <c r="K126" i="5"/>
  <c r="AH126" i="5"/>
  <c r="H127" i="5"/>
  <c r="M127" i="5"/>
  <c r="G127" i="5"/>
  <c r="L127" i="5" s="1"/>
  <c r="F127" i="5"/>
  <c r="K127" i="5"/>
  <c r="AH127" i="5"/>
  <c r="H128" i="5"/>
  <c r="M128" i="5"/>
  <c r="G128" i="5"/>
  <c r="L128" i="5" s="1"/>
  <c r="F128" i="5"/>
  <c r="K128" i="5"/>
  <c r="AH128" i="5"/>
  <c r="H129" i="5"/>
  <c r="M129" i="5" s="1"/>
  <c r="G129" i="5"/>
  <c r="L129" i="5"/>
  <c r="F129" i="5"/>
  <c r="AH129" i="5"/>
  <c r="H130" i="5"/>
  <c r="M130" i="5"/>
  <c r="G130" i="5"/>
  <c r="L130" i="5"/>
  <c r="F130" i="5"/>
  <c r="K130" i="5"/>
  <c r="AH130" i="5"/>
  <c r="H131" i="5"/>
  <c r="M131" i="5"/>
  <c r="G131" i="5"/>
  <c r="F131" i="5"/>
  <c r="K131" i="5"/>
  <c r="AH131" i="5"/>
  <c r="H132" i="5"/>
  <c r="M132" i="5"/>
  <c r="G132" i="5"/>
  <c r="L132" i="5"/>
  <c r="F132" i="5"/>
  <c r="K132" i="5"/>
  <c r="AH132" i="5"/>
  <c r="H133" i="5"/>
  <c r="M133" i="5" s="1"/>
  <c r="G133" i="5"/>
  <c r="L133" i="5"/>
  <c r="F133" i="5"/>
  <c r="K133" i="5" s="1"/>
  <c r="AH133" i="5"/>
  <c r="H134" i="5"/>
  <c r="G134" i="5"/>
  <c r="L134" i="5"/>
  <c r="F134" i="5"/>
  <c r="AH134" i="5"/>
  <c r="H135" i="5"/>
  <c r="M135" i="5"/>
  <c r="G135" i="5"/>
  <c r="F135" i="5"/>
  <c r="K135" i="5"/>
  <c r="AH135" i="5"/>
  <c r="H136" i="5"/>
  <c r="M136" i="5"/>
  <c r="G136" i="5"/>
  <c r="L136" i="5"/>
  <c r="F136" i="5"/>
  <c r="K136" i="5"/>
  <c r="AH136" i="5"/>
  <c r="H137" i="5"/>
  <c r="G137" i="5"/>
  <c r="L137" i="5"/>
  <c r="F137" i="5"/>
  <c r="K137" i="5" s="1"/>
  <c r="AH137" i="5"/>
  <c r="H138" i="5"/>
  <c r="G138" i="5"/>
  <c r="L138" i="5"/>
  <c r="F138" i="5"/>
  <c r="AH138" i="5"/>
  <c r="H139" i="5"/>
  <c r="M139" i="5"/>
  <c r="G139" i="5"/>
  <c r="L139" i="5" s="1"/>
  <c r="F139" i="5"/>
  <c r="K139" i="5"/>
  <c r="AH139" i="5"/>
  <c r="H140" i="5"/>
  <c r="M140" i="5"/>
  <c r="G140" i="5"/>
  <c r="L140" i="5"/>
  <c r="F140" i="5"/>
  <c r="K140" i="5"/>
  <c r="AH140" i="5"/>
  <c r="H141" i="5"/>
  <c r="Z141" i="5" s="1"/>
  <c r="G141" i="5"/>
  <c r="L141" i="5"/>
  <c r="F141" i="5"/>
  <c r="AH141" i="5"/>
  <c r="H142" i="5"/>
  <c r="M142" i="5"/>
  <c r="G142" i="5"/>
  <c r="L142" i="5"/>
  <c r="F142" i="5"/>
  <c r="K142" i="5"/>
  <c r="AH142" i="5"/>
  <c r="H143" i="5"/>
  <c r="M143" i="5"/>
  <c r="G143" i="5"/>
  <c r="L143" i="5" s="1"/>
  <c r="F143" i="5"/>
  <c r="K143" i="5"/>
  <c r="AH143" i="5"/>
  <c r="H144" i="5"/>
  <c r="M144" i="5"/>
  <c r="G144" i="5"/>
  <c r="F144" i="5"/>
  <c r="K144" i="5"/>
  <c r="AH144" i="5"/>
  <c r="H145" i="5"/>
  <c r="M145" i="5" s="1"/>
  <c r="G145" i="5"/>
  <c r="L145" i="5"/>
  <c r="F145" i="5"/>
  <c r="AH145" i="5"/>
  <c r="H146" i="5"/>
  <c r="M146" i="5"/>
  <c r="G146" i="5"/>
  <c r="L146" i="5"/>
  <c r="F146" i="5"/>
  <c r="K146" i="5"/>
  <c r="AH146" i="5"/>
  <c r="H147" i="5"/>
  <c r="M147" i="5"/>
  <c r="G147" i="5"/>
  <c r="L147" i="5" s="1"/>
  <c r="F147" i="5"/>
  <c r="AH147" i="5"/>
  <c r="H148" i="5"/>
  <c r="M148" i="5"/>
  <c r="G148" i="5"/>
  <c r="L148" i="5"/>
  <c r="F148" i="5"/>
  <c r="K148" i="5"/>
  <c r="AH148" i="5"/>
  <c r="H149" i="5"/>
  <c r="M149" i="5" s="1"/>
  <c r="G149" i="5"/>
  <c r="F149" i="5"/>
  <c r="K149" i="5" s="1"/>
  <c r="AH149" i="5"/>
  <c r="H150" i="5"/>
  <c r="G150" i="5"/>
  <c r="L150" i="5"/>
  <c r="F150" i="5"/>
  <c r="AH150" i="5"/>
  <c r="H151" i="5"/>
  <c r="M151" i="5"/>
  <c r="G151" i="5"/>
  <c r="F151" i="5"/>
  <c r="K151" i="5"/>
  <c r="AH151" i="5"/>
  <c r="H152" i="5"/>
  <c r="M152" i="5"/>
  <c r="G152" i="5"/>
  <c r="L152" i="5"/>
  <c r="F152" i="5"/>
  <c r="K152" i="5"/>
  <c r="AH152" i="5"/>
  <c r="H153" i="5"/>
  <c r="G153" i="5"/>
  <c r="L153" i="5" s="1"/>
  <c r="F153" i="5"/>
  <c r="K153" i="5" s="1"/>
  <c r="AH153" i="5"/>
  <c r="H154" i="5"/>
  <c r="G154" i="5"/>
  <c r="L154" i="5"/>
  <c r="F154" i="5"/>
  <c r="AH154" i="5"/>
  <c r="H155" i="5"/>
  <c r="M155" i="5"/>
  <c r="G155" i="5"/>
  <c r="L155" i="5" s="1"/>
  <c r="F155" i="5"/>
  <c r="K155" i="5"/>
  <c r="AH155" i="5"/>
  <c r="H156" i="5"/>
  <c r="M156" i="5"/>
  <c r="G156" i="5"/>
  <c r="J156" i="5" s="1"/>
  <c r="L156" i="5"/>
  <c r="F156" i="5"/>
  <c r="K156" i="5"/>
  <c r="AH156" i="5"/>
  <c r="H157" i="5"/>
  <c r="G157" i="5"/>
  <c r="L157" i="5"/>
  <c r="F157" i="5"/>
  <c r="AH157" i="5"/>
  <c r="H158" i="5"/>
  <c r="M158" i="5"/>
  <c r="G158" i="5"/>
  <c r="L158" i="5"/>
  <c r="F158" i="5"/>
  <c r="K158" i="5"/>
  <c r="AH158" i="5"/>
  <c r="H159" i="5"/>
  <c r="G159" i="5"/>
  <c r="L159" i="5" s="1"/>
  <c r="F159" i="5"/>
  <c r="AH159" i="5"/>
  <c r="H160" i="5"/>
  <c r="M160" i="5"/>
  <c r="G160" i="5"/>
  <c r="L160" i="5" s="1"/>
  <c r="F160" i="5"/>
  <c r="K160" i="5"/>
  <c r="AH160" i="5"/>
  <c r="H161" i="5"/>
  <c r="M161" i="5" s="1"/>
  <c r="G161" i="5"/>
  <c r="L161" i="5"/>
  <c r="F161" i="5"/>
  <c r="AH161" i="5"/>
  <c r="H162" i="5"/>
  <c r="M162" i="5"/>
  <c r="G162" i="5"/>
  <c r="L162" i="5"/>
  <c r="F162" i="5"/>
  <c r="K162" i="5"/>
  <c r="AH162" i="5"/>
  <c r="H163" i="5"/>
  <c r="M163" i="5"/>
  <c r="G163" i="5"/>
  <c r="L163" i="5" s="1"/>
  <c r="F163" i="5"/>
  <c r="AH163" i="5"/>
  <c r="H164" i="5"/>
  <c r="M164" i="5"/>
  <c r="G164" i="5"/>
  <c r="L164" i="5"/>
  <c r="F164" i="5"/>
  <c r="K164" i="5"/>
  <c r="AH164" i="5"/>
  <c r="H165" i="5"/>
  <c r="M165" i="5" s="1"/>
  <c r="G165" i="5"/>
  <c r="J165" i="5" s="1"/>
  <c r="L165" i="5"/>
  <c r="F165" i="5"/>
  <c r="K165" i="5" s="1"/>
  <c r="AH165" i="5"/>
  <c r="H166" i="5"/>
  <c r="M166" i="5"/>
  <c r="G166" i="5"/>
  <c r="L166" i="5"/>
  <c r="F166" i="5"/>
  <c r="K166" i="5"/>
  <c r="AH166" i="5"/>
  <c r="H167" i="5"/>
  <c r="M167" i="5"/>
  <c r="G167" i="5"/>
  <c r="F167" i="5"/>
  <c r="K167" i="5"/>
  <c r="AH167" i="5"/>
  <c r="H168" i="5"/>
  <c r="M168" i="5"/>
  <c r="G168" i="5"/>
  <c r="L168" i="5"/>
  <c r="F168" i="5"/>
  <c r="K168" i="5"/>
  <c r="AH168" i="5"/>
  <c r="H169" i="5"/>
  <c r="G169" i="5"/>
  <c r="F169" i="5"/>
  <c r="K169" i="5" s="1"/>
  <c r="AH169" i="5"/>
  <c r="H170" i="5"/>
  <c r="G170" i="5"/>
  <c r="L170" i="5"/>
  <c r="F170" i="5"/>
  <c r="AH170" i="5"/>
  <c r="H171" i="5"/>
  <c r="AA171" i="5" s="1"/>
  <c r="AX171" i="5" s="1"/>
  <c r="AY171" i="5" s="1"/>
  <c r="G171" i="5"/>
  <c r="L171" i="5" s="1"/>
  <c r="F171" i="5"/>
  <c r="K171" i="5"/>
  <c r="AH171" i="5"/>
  <c r="H172" i="5"/>
  <c r="M172" i="5"/>
  <c r="G172" i="5"/>
  <c r="L172" i="5" s="1"/>
  <c r="F172" i="5"/>
  <c r="K172" i="5"/>
  <c r="AH172" i="5"/>
  <c r="H173" i="5"/>
  <c r="G173" i="5"/>
  <c r="L173" i="5"/>
  <c r="F173" i="5"/>
  <c r="AH173" i="5"/>
  <c r="H174" i="5"/>
  <c r="M174" i="5"/>
  <c r="G174" i="5"/>
  <c r="L174" i="5"/>
  <c r="F174" i="5"/>
  <c r="K174" i="5"/>
  <c r="AH174" i="5"/>
  <c r="H175" i="5"/>
  <c r="G175" i="5"/>
  <c r="L175" i="5" s="1"/>
  <c r="F175" i="5"/>
  <c r="K175" i="5"/>
  <c r="AH175" i="5"/>
  <c r="H176" i="5"/>
  <c r="M176" i="5"/>
  <c r="G176" i="5"/>
  <c r="L176" i="5" s="1"/>
  <c r="F176" i="5"/>
  <c r="K176" i="5"/>
  <c r="AH176" i="5"/>
  <c r="H177" i="5"/>
  <c r="M177" i="5" s="1"/>
  <c r="G177" i="5"/>
  <c r="L177" i="5"/>
  <c r="F177" i="5"/>
  <c r="AH177" i="5"/>
  <c r="H178" i="5"/>
  <c r="M178" i="5"/>
  <c r="G178" i="5"/>
  <c r="L178" i="5"/>
  <c r="F178" i="5"/>
  <c r="K178" i="5"/>
  <c r="AH178" i="5"/>
  <c r="H179" i="5"/>
  <c r="M179" i="5"/>
  <c r="G179" i="5"/>
  <c r="L179" i="5" s="1"/>
  <c r="F179" i="5"/>
  <c r="AH179" i="5"/>
  <c r="H180" i="5"/>
  <c r="M180" i="5"/>
  <c r="G180" i="5"/>
  <c r="L180" i="5"/>
  <c r="F180" i="5"/>
  <c r="K180" i="5"/>
  <c r="AH180" i="5"/>
  <c r="H181" i="5"/>
  <c r="M181" i="5" s="1"/>
  <c r="G181" i="5"/>
  <c r="F181" i="5"/>
  <c r="K181" i="5" s="1"/>
  <c r="AH181" i="5"/>
  <c r="H182" i="5"/>
  <c r="G182" i="5"/>
  <c r="L182" i="5"/>
  <c r="F182" i="5"/>
  <c r="AH182" i="5"/>
  <c r="H183" i="5"/>
  <c r="M183" i="5"/>
  <c r="G183" i="5"/>
  <c r="F183" i="5"/>
  <c r="K183" i="5"/>
  <c r="AH183" i="5"/>
  <c r="H184" i="5"/>
  <c r="M184" i="5"/>
  <c r="G184" i="5"/>
  <c r="L184" i="5"/>
  <c r="F184" i="5"/>
  <c r="K184" i="5"/>
  <c r="AH184" i="5"/>
  <c r="H185" i="5"/>
  <c r="G185" i="5"/>
  <c r="F185" i="5"/>
  <c r="K185" i="5" s="1"/>
  <c r="AH185" i="5"/>
  <c r="H186" i="5"/>
  <c r="G186" i="5"/>
  <c r="L186" i="5"/>
  <c r="F186" i="5"/>
  <c r="AH186" i="5"/>
  <c r="H187" i="5"/>
  <c r="Y187" i="5" s="1"/>
  <c r="M187" i="5"/>
  <c r="G187" i="5"/>
  <c r="L187" i="5" s="1"/>
  <c r="F187" i="5"/>
  <c r="K187" i="5"/>
  <c r="AH187" i="5"/>
  <c r="H188" i="5"/>
  <c r="M188" i="5"/>
  <c r="G188" i="5"/>
  <c r="L188" i="5"/>
  <c r="F188" i="5"/>
  <c r="K188" i="5"/>
  <c r="AH188" i="5"/>
  <c r="H189" i="5"/>
  <c r="G189" i="5"/>
  <c r="L189" i="5"/>
  <c r="F189" i="5"/>
  <c r="AH189" i="5"/>
  <c r="H190" i="5"/>
  <c r="M190" i="5"/>
  <c r="G190" i="5"/>
  <c r="L190" i="5"/>
  <c r="F190" i="5"/>
  <c r="K190" i="5"/>
  <c r="AH190" i="5"/>
  <c r="H191" i="5"/>
  <c r="G191" i="5"/>
  <c r="L191" i="5" s="1"/>
  <c r="F191" i="5"/>
  <c r="AH191" i="5"/>
  <c r="H192" i="5"/>
  <c r="M192" i="5"/>
  <c r="G192" i="5"/>
  <c r="L192" i="5" s="1"/>
  <c r="F192" i="5"/>
  <c r="K192" i="5"/>
  <c r="AH192" i="5"/>
  <c r="H193" i="5"/>
  <c r="M193" i="5" s="1"/>
  <c r="G193" i="5"/>
  <c r="L193" i="5"/>
  <c r="F193" i="5"/>
  <c r="AH193" i="5"/>
  <c r="H194" i="5"/>
  <c r="M194" i="5"/>
  <c r="G194" i="5"/>
  <c r="L194" i="5"/>
  <c r="F194" i="5"/>
  <c r="K194" i="5"/>
  <c r="AH194" i="5"/>
  <c r="H195" i="5"/>
  <c r="M195" i="5"/>
  <c r="G195" i="5"/>
  <c r="L195" i="5" s="1"/>
  <c r="F195" i="5"/>
  <c r="AH195" i="5"/>
  <c r="H196" i="5"/>
  <c r="M196" i="5"/>
  <c r="G196" i="5"/>
  <c r="L196" i="5"/>
  <c r="F196" i="5"/>
  <c r="K196" i="5"/>
  <c r="AH196" i="5"/>
  <c r="H197" i="5"/>
  <c r="M197" i="5" s="1"/>
  <c r="G197" i="5"/>
  <c r="L197" i="5"/>
  <c r="F197" i="5"/>
  <c r="K197" i="5" s="1"/>
  <c r="AH197" i="5"/>
  <c r="H198" i="5"/>
  <c r="M198" i="5"/>
  <c r="G198" i="5"/>
  <c r="L198" i="5"/>
  <c r="F198" i="5"/>
  <c r="K198" i="5"/>
  <c r="AH198" i="5"/>
  <c r="H199" i="5"/>
  <c r="M199" i="5"/>
  <c r="G199" i="5"/>
  <c r="L199" i="5" s="1"/>
  <c r="F199" i="5"/>
  <c r="K199" i="5"/>
  <c r="AH199" i="5"/>
  <c r="H200" i="5"/>
  <c r="M200" i="5"/>
  <c r="G200" i="5"/>
  <c r="L200" i="5"/>
  <c r="F200" i="5"/>
  <c r="K200" i="5"/>
  <c r="AH200" i="5"/>
  <c r="H201" i="5"/>
  <c r="G201" i="5"/>
  <c r="L201" i="5" s="1"/>
  <c r="F201" i="5"/>
  <c r="K201" i="5" s="1"/>
  <c r="AH201" i="5"/>
  <c r="H202" i="5"/>
  <c r="G202" i="5"/>
  <c r="L202" i="5"/>
  <c r="F202" i="5"/>
  <c r="AH202" i="5"/>
  <c r="H203" i="5"/>
  <c r="G203" i="5"/>
  <c r="L203" i="5" s="1"/>
  <c r="F203" i="5"/>
  <c r="K203" i="5"/>
  <c r="AH203" i="5"/>
  <c r="H204" i="5"/>
  <c r="M204" i="5"/>
  <c r="G204" i="5"/>
  <c r="J204" i="5" s="1"/>
  <c r="F204" i="5"/>
  <c r="K204" i="5"/>
  <c r="AH204" i="5"/>
  <c r="H205" i="5"/>
  <c r="G205" i="5"/>
  <c r="L205" i="5"/>
  <c r="F205" i="5"/>
  <c r="AK205" i="5" s="1"/>
  <c r="AH205" i="5"/>
  <c r="H206" i="5"/>
  <c r="M206" i="5"/>
  <c r="G206" i="5"/>
  <c r="L206" i="5"/>
  <c r="F206" i="5"/>
  <c r="K206" i="5"/>
  <c r="AH206" i="5"/>
  <c r="H207" i="5"/>
  <c r="G207" i="5"/>
  <c r="L207" i="5" s="1"/>
  <c r="F207" i="5"/>
  <c r="K207" i="5"/>
  <c r="AH207" i="5"/>
  <c r="H208" i="5"/>
  <c r="M208" i="5"/>
  <c r="G208" i="5"/>
  <c r="L208" i="5" s="1"/>
  <c r="F208" i="5"/>
  <c r="K208" i="5"/>
  <c r="AH208" i="5"/>
  <c r="H209" i="5"/>
  <c r="M209" i="5" s="1"/>
  <c r="G209" i="5"/>
  <c r="L209" i="5"/>
  <c r="F209" i="5"/>
  <c r="AH209" i="5"/>
  <c r="H210" i="5"/>
  <c r="M210" i="5"/>
  <c r="G210" i="5"/>
  <c r="L210" i="5"/>
  <c r="F210" i="5"/>
  <c r="K210" i="5"/>
  <c r="AH210" i="5"/>
  <c r="H211" i="5"/>
  <c r="M211" i="5"/>
  <c r="G211" i="5"/>
  <c r="L211" i="5" s="1"/>
  <c r="F211" i="5"/>
  <c r="AH211" i="5"/>
  <c r="H212" i="5"/>
  <c r="M212" i="5"/>
  <c r="G212" i="5"/>
  <c r="L212" i="5"/>
  <c r="F212" i="5"/>
  <c r="K212" i="5"/>
  <c r="AH212" i="5"/>
  <c r="H213" i="5"/>
  <c r="M213" i="5" s="1"/>
  <c r="G213" i="5"/>
  <c r="L213" i="5" s="1"/>
  <c r="F213" i="5"/>
  <c r="K213" i="5" s="1"/>
  <c r="AH213" i="5"/>
  <c r="H214" i="5"/>
  <c r="G214" i="5"/>
  <c r="L214" i="5"/>
  <c r="F214" i="5"/>
  <c r="AH214" i="5"/>
  <c r="H215" i="5"/>
  <c r="M215" i="5"/>
  <c r="G215" i="5"/>
  <c r="L215" i="5" s="1"/>
  <c r="F215" i="5"/>
  <c r="K215" i="5"/>
  <c r="AH215" i="5"/>
  <c r="H216" i="5"/>
  <c r="M216" i="5"/>
  <c r="G216" i="5"/>
  <c r="L216" i="5"/>
  <c r="F216" i="5"/>
  <c r="K216" i="5"/>
  <c r="AH216" i="5"/>
  <c r="H217" i="5"/>
  <c r="G217" i="5"/>
  <c r="L217" i="5" s="1"/>
  <c r="F217" i="5"/>
  <c r="K217" i="5" s="1"/>
  <c r="AH217" i="5"/>
  <c r="H218" i="5"/>
  <c r="G218" i="5"/>
  <c r="L218" i="5"/>
  <c r="F218" i="5"/>
  <c r="AH218" i="5"/>
  <c r="H219" i="5"/>
  <c r="AA219" i="5" s="1"/>
  <c r="M219" i="5"/>
  <c r="G219" i="5"/>
  <c r="L219" i="5" s="1"/>
  <c r="F219" i="5"/>
  <c r="K219" i="5"/>
  <c r="AH219" i="5"/>
  <c r="H220" i="5"/>
  <c r="M220" i="5"/>
  <c r="G220" i="5"/>
  <c r="L220" i="5"/>
  <c r="F220" i="5"/>
  <c r="K220" i="5"/>
  <c r="AH220" i="5"/>
  <c r="H221" i="5"/>
  <c r="M221" i="5" s="1"/>
  <c r="G221" i="5"/>
  <c r="L221" i="5"/>
  <c r="F221" i="5"/>
  <c r="AH221" i="5"/>
  <c r="H222" i="5"/>
  <c r="M222" i="5"/>
  <c r="G222" i="5"/>
  <c r="L222" i="5"/>
  <c r="F222" i="5"/>
  <c r="K222" i="5"/>
  <c r="AH222" i="5"/>
  <c r="H223" i="5"/>
  <c r="G223" i="5"/>
  <c r="L223" i="5" s="1"/>
  <c r="F223" i="5"/>
  <c r="AH223" i="5"/>
  <c r="H224" i="5"/>
  <c r="M224" i="5"/>
  <c r="G224" i="5"/>
  <c r="L224" i="5" s="1"/>
  <c r="F224" i="5"/>
  <c r="K224" i="5"/>
  <c r="AH224" i="5"/>
  <c r="H225" i="5"/>
  <c r="M225" i="5" s="1"/>
  <c r="G225" i="5"/>
  <c r="L225" i="5"/>
  <c r="F225" i="5"/>
  <c r="AH225" i="5"/>
  <c r="H226" i="5"/>
  <c r="M226" i="5"/>
  <c r="G226" i="5"/>
  <c r="L226" i="5"/>
  <c r="F226" i="5"/>
  <c r="K226" i="5"/>
  <c r="AH226" i="5"/>
  <c r="H227" i="5"/>
  <c r="M227" i="5"/>
  <c r="G227" i="5"/>
  <c r="L227" i="5" s="1"/>
  <c r="F227" i="5"/>
  <c r="AH227" i="5"/>
  <c r="H228" i="5"/>
  <c r="M228" i="5"/>
  <c r="G228" i="5"/>
  <c r="L228" i="5"/>
  <c r="F228" i="5"/>
  <c r="K228" i="5"/>
  <c r="AH228" i="5"/>
  <c r="H229" i="5"/>
  <c r="M229" i="5" s="1"/>
  <c r="G229" i="5"/>
  <c r="L229" i="5"/>
  <c r="F229" i="5"/>
  <c r="K229" i="5" s="1"/>
  <c r="AH229" i="5"/>
  <c r="H230" i="5"/>
  <c r="M230" i="5"/>
  <c r="G230" i="5"/>
  <c r="L230" i="5"/>
  <c r="F230" i="5"/>
  <c r="J230" i="5" s="1"/>
  <c r="K230" i="5"/>
  <c r="AH230" i="5"/>
  <c r="H231" i="5"/>
  <c r="M231" i="5"/>
  <c r="G231" i="5"/>
  <c r="F231" i="5"/>
  <c r="K231" i="5"/>
  <c r="AH231" i="5"/>
  <c r="H232" i="5"/>
  <c r="M232" i="5"/>
  <c r="G232" i="5"/>
  <c r="L232" i="5"/>
  <c r="F232" i="5"/>
  <c r="K232" i="5"/>
  <c r="AH232" i="5"/>
  <c r="H233" i="5"/>
  <c r="G233" i="5"/>
  <c r="F233" i="5"/>
  <c r="K233" i="5" s="1"/>
  <c r="AH233" i="5"/>
  <c r="H234" i="5"/>
  <c r="G234" i="5"/>
  <c r="L234" i="5"/>
  <c r="F234" i="5"/>
  <c r="K234" i="5" s="1"/>
  <c r="AH234" i="5"/>
  <c r="H235" i="5"/>
  <c r="Z235" i="5" s="1"/>
  <c r="G235" i="5"/>
  <c r="L235" i="5" s="1"/>
  <c r="F235" i="5"/>
  <c r="K235" i="5"/>
  <c r="AH235" i="5"/>
  <c r="H236" i="5"/>
  <c r="M236" i="5"/>
  <c r="G236" i="5"/>
  <c r="J236" i="5" s="1"/>
  <c r="F236" i="5"/>
  <c r="K236" i="5"/>
  <c r="AH236" i="5"/>
  <c r="H237" i="5"/>
  <c r="G237" i="5"/>
  <c r="L237" i="5"/>
  <c r="F237" i="5"/>
  <c r="AH237" i="5"/>
  <c r="H238" i="5"/>
  <c r="M238" i="5"/>
  <c r="G238" i="5"/>
  <c r="L238" i="5"/>
  <c r="F238" i="5"/>
  <c r="K238" i="5"/>
  <c r="AH238" i="5"/>
  <c r="H239" i="5"/>
  <c r="G239" i="5"/>
  <c r="L239" i="5" s="1"/>
  <c r="F239" i="5"/>
  <c r="K239" i="5"/>
  <c r="AH239" i="5"/>
  <c r="H240" i="5"/>
  <c r="M240" i="5"/>
  <c r="G240" i="5"/>
  <c r="L240" i="5" s="1"/>
  <c r="F240" i="5"/>
  <c r="K240" i="5"/>
  <c r="AH240" i="5"/>
  <c r="H241" i="5"/>
  <c r="M241" i="5" s="1"/>
  <c r="G241" i="5"/>
  <c r="L241" i="5"/>
  <c r="F241" i="5"/>
  <c r="K241" i="5" s="1"/>
  <c r="AH241" i="5"/>
  <c r="H242" i="5"/>
  <c r="M242" i="5"/>
  <c r="G242" i="5"/>
  <c r="L242" i="5"/>
  <c r="F242" i="5"/>
  <c r="K242" i="5"/>
  <c r="AH242" i="5"/>
  <c r="H243" i="5"/>
  <c r="M243" i="5"/>
  <c r="G243" i="5"/>
  <c r="L243" i="5" s="1"/>
  <c r="F243" i="5"/>
  <c r="AH243" i="5"/>
  <c r="H244" i="5"/>
  <c r="G244" i="5"/>
  <c r="L244" i="5"/>
  <c r="F244" i="5"/>
  <c r="AH244" i="5"/>
  <c r="H245" i="5"/>
  <c r="M245" i="5"/>
  <c r="G245" i="5"/>
  <c r="L245" i="5" s="1"/>
  <c r="F245" i="5"/>
  <c r="K245" i="5"/>
  <c r="AH245" i="5"/>
  <c r="H246" i="5"/>
  <c r="M246" i="5"/>
  <c r="G246" i="5"/>
  <c r="J246" i="5" s="1"/>
  <c r="F246" i="5"/>
  <c r="K246" i="5"/>
  <c r="AH246" i="5"/>
  <c r="H247" i="5"/>
  <c r="G247" i="5"/>
  <c r="L247" i="5"/>
  <c r="F247" i="5"/>
  <c r="AH247" i="5"/>
  <c r="H248" i="5"/>
  <c r="Y248" i="5" s="1"/>
  <c r="M248" i="5"/>
  <c r="G248" i="5"/>
  <c r="L248" i="5"/>
  <c r="F248" i="5"/>
  <c r="K248" i="5"/>
  <c r="AH248" i="5"/>
  <c r="H249" i="5"/>
  <c r="M249" i="5"/>
  <c r="G249" i="5"/>
  <c r="F249" i="5"/>
  <c r="K249" i="5"/>
  <c r="AH249" i="5"/>
  <c r="H250" i="5"/>
  <c r="M250" i="5"/>
  <c r="G250" i="5"/>
  <c r="L250" i="5" s="1"/>
  <c r="F250" i="5"/>
  <c r="K250" i="5"/>
  <c r="AH250" i="5"/>
  <c r="H251" i="5"/>
  <c r="G251" i="5"/>
  <c r="L251" i="5"/>
  <c r="F251" i="5"/>
  <c r="AH251" i="5"/>
  <c r="H252" i="5"/>
  <c r="AB252" i="5" s="1"/>
  <c r="M252" i="5"/>
  <c r="G252" i="5"/>
  <c r="L252" i="5"/>
  <c r="F252" i="5"/>
  <c r="K252" i="5"/>
  <c r="AH252" i="5"/>
  <c r="H253" i="5"/>
  <c r="M253" i="5"/>
  <c r="G253" i="5"/>
  <c r="L253" i="5" s="1"/>
  <c r="F253" i="5"/>
  <c r="K253" i="5"/>
  <c r="AH253" i="5"/>
  <c r="H254" i="5"/>
  <c r="M254" i="5"/>
  <c r="G254" i="5"/>
  <c r="L254" i="5"/>
  <c r="F254" i="5"/>
  <c r="K254" i="5"/>
  <c r="AH254" i="5"/>
  <c r="H255" i="5"/>
  <c r="G255" i="5"/>
  <c r="L255" i="5"/>
  <c r="F255" i="5"/>
  <c r="AH255" i="5"/>
  <c r="H256" i="5"/>
  <c r="M256" i="5"/>
  <c r="G256" i="5"/>
  <c r="L256" i="5"/>
  <c r="F256" i="5"/>
  <c r="K256" i="5"/>
  <c r="AH256" i="5"/>
  <c r="H257" i="5"/>
  <c r="M257" i="5"/>
  <c r="G257" i="5"/>
  <c r="F257" i="5"/>
  <c r="K257" i="5"/>
  <c r="AH257" i="5"/>
  <c r="H258" i="5"/>
  <c r="M258" i="5"/>
  <c r="G258" i="5"/>
  <c r="J258" i="5" s="1"/>
  <c r="L258" i="5"/>
  <c r="F258" i="5"/>
  <c r="K258" i="5"/>
  <c r="AH258" i="5"/>
  <c r="H259" i="5"/>
  <c r="G259" i="5"/>
  <c r="L259" i="5"/>
  <c r="F259" i="5"/>
  <c r="AH259" i="5"/>
  <c r="H260" i="5"/>
  <c r="G260" i="5"/>
  <c r="L260" i="5"/>
  <c r="F260" i="5"/>
  <c r="AH260" i="5"/>
  <c r="H261" i="5"/>
  <c r="M261" i="5"/>
  <c r="G261" i="5"/>
  <c r="L261" i="5" s="1"/>
  <c r="F261" i="5"/>
  <c r="K261" i="5"/>
  <c r="AH261" i="5"/>
  <c r="H262" i="5"/>
  <c r="M262" i="5"/>
  <c r="G262" i="5"/>
  <c r="J262" i="5" s="1"/>
  <c r="L262" i="5"/>
  <c r="F262" i="5"/>
  <c r="K262" i="5"/>
  <c r="AH262" i="5"/>
  <c r="H263" i="5"/>
  <c r="G263" i="5"/>
  <c r="L263" i="5"/>
  <c r="F263" i="5"/>
  <c r="AH263" i="5"/>
  <c r="H264" i="5"/>
  <c r="M264" i="5"/>
  <c r="G264" i="5"/>
  <c r="L264" i="5"/>
  <c r="F264" i="5"/>
  <c r="K264" i="5"/>
  <c r="AH264" i="5"/>
  <c r="H265" i="5"/>
  <c r="M265" i="5"/>
  <c r="G265" i="5"/>
  <c r="F265" i="5"/>
  <c r="K265" i="5"/>
  <c r="AH265" i="5"/>
  <c r="H266" i="5"/>
  <c r="M266" i="5"/>
  <c r="G266" i="5"/>
  <c r="L266" i="5" s="1"/>
  <c r="F266" i="5"/>
  <c r="K266" i="5"/>
  <c r="AH266" i="5"/>
  <c r="H267" i="5"/>
  <c r="G267" i="5"/>
  <c r="L267" i="5"/>
  <c r="F267" i="5"/>
  <c r="AH267" i="5"/>
  <c r="H268" i="5"/>
  <c r="AB268" i="5" s="1"/>
  <c r="M268" i="5"/>
  <c r="G268" i="5"/>
  <c r="L268" i="5"/>
  <c r="F268" i="5"/>
  <c r="K268" i="5"/>
  <c r="AH268" i="5"/>
  <c r="H269" i="5"/>
  <c r="M269" i="5"/>
  <c r="G269" i="5"/>
  <c r="F269" i="5"/>
  <c r="K269" i="5"/>
  <c r="AH269" i="5"/>
  <c r="H270" i="5"/>
  <c r="M270" i="5"/>
  <c r="G270" i="5"/>
  <c r="L270" i="5"/>
  <c r="F270" i="5"/>
  <c r="K270" i="5"/>
  <c r="AH270" i="5"/>
  <c r="H271" i="5"/>
  <c r="G271" i="5"/>
  <c r="L271" i="5"/>
  <c r="F271" i="5"/>
  <c r="AH271" i="5"/>
  <c r="H272" i="5"/>
  <c r="Y272" i="5" s="1"/>
  <c r="G272" i="5"/>
  <c r="L272" i="5"/>
  <c r="F272" i="5"/>
  <c r="K272" i="5" s="1"/>
  <c r="AH272" i="5"/>
  <c r="H273" i="5"/>
  <c r="M273" i="5"/>
  <c r="G273" i="5"/>
  <c r="F273" i="5"/>
  <c r="K273" i="5"/>
  <c r="AH273" i="5"/>
  <c r="H274" i="5"/>
  <c r="M274" i="5"/>
  <c r="G274" i="5"/>
  <c r="J274" i="5" s="1"/>
  <c r="L274" i="5"/>
  <c r="F274" i="5"/>
  <c r="K274" i="5"/>
  <c r="AH274" i="5"/>
  <c r="H275" i="5"/>
  <c r="G275" i="5"/>
  <c r="L275" i="5"/>
  <c r="F275" i="5"/>
  <c r="AH275" i="5"/>
  <c r="H276" i="5"/>
  <c r="G276" i="5"/>
  <c r="L276" i="5"/>
  <c r="F276" i="5"/>
  <c r="AH276" i="5"/>
  <c r="H277" i="5"/>
  <c r="M277" i="5"/>
  <c r="G277" i="5"/>
  <c r="L277" i="5" s="1"/>
  <c r="F277" i="5"/>
  <c r="K277" i="5"/>
  <c r="AH277" i="5"/>
  <c r="H278" i="5"/>
  <c r="M278" i="5"/>
  <c r="G278" i="5"/>
  <c r="J278" i="5" s="1"/>
  <c r="F278" i="5"/>
  <c r="K278" i="5"/>
  <c r="AH278" i="5"/>
  <c r="H279" i="5"/>
  <c r="G279" i="5"/>
  <c r="L279" i="5"/>
  <c r="F279" i="5"/>
  <c r="J279" i="5" s="1"/>
  <c r="AH279" i="5"/>
  <c r="H280" i="5"/>
  <c r="M280" i="5"/>
  <c r="G280" i="5"/>
  <c r="L280" i="5"/>
  <c r="F280" i="5"/>
  <c r="AK280" i="5" s="1"/>
  <c r="K280" i="5"/>
  <c r="AH280" i="5"/>
  <c r="H281" i="5"/>
  <c r="M281" i="5"/>
  <c r="G281" i="5"/>
  <c r="F281" i="5"/>
  <c r="K281" i="5"/>
  <c r="AH281" i="5"/>
  <c r="H282" i="5"/>
  <c r="M282" i="5"/>
  <c r="G282" i="5"/>
  <c r="F282" i="5"/>
  <c r="K282" i="5"/>
  <c r="AH282" i="5"/>
  <c r="H283" i="5"/>
  <c r="G283" i="5"/>
  <c r="L283" i="5"/>
  <c r="F283" i="5"/>
  <c r="AH283" i="5"/>
  <c r="H284" i="5"/>
  <c r="Y284" i="5" s="1"/>
  <c r="M284" i="5"/>
  <c r="G284" i="5"/>
  <c r="L284" i="5"/>
  <c r="F284" i="5"/>
  <c r="K284" i="5"/>
  <c r="AH284" i="5"/>
  <c r="H285" i="5"/>
  <c r="M285" i="5"/>
  <c r="G285" i="5"/>
  <c r="F285" i="5"/>
  <c r="K285" i="5"/>
  <c r="AH285" i="5"/>
  <c r="H286" i="5"/>
  <c r="M286" i="5"/>
  <c r="G286" i="5"/>
  <c r="L286" i="5"/>
  <c r="F286" i="5"/>
  <c r="K286" i="5"/>
  <c r="AH286" i="5"/>
  <c r="H287" i="5"/>
  <c r="G287" i="5"/>
  <c r="L287" i="5"/>
  <c r="F287" i="5"/>
  <c r="AH287" i="5"/>
  <c r="H288" i="5"/>
  <c r="Y288" i="5" s="1"/>
  <c r="M288" i="5"/>
  <c r="G288" i="5"/>
  <c r="L288" i="5"/>
  <c r="F288" i="5"/>
  <c r="K288" i="5"/>
  <c r="AH288" i="5"/>
  <c r="H289" i="5"/>
  <c r="AA289" i="5" s="1"/>
  <c r="M289" i="5"/>
  <c r="G289" i="5"/>
  <c r="F289" i="5"/>
  <c r="K289" i="5"/>
  <c r="AH289" i="5"/>
  <c r="H290" i="5"/>
  <c r="M290" i="5"/>
  <c r="G290" i="5"/>
  <c r="J290" i="5" s="1"/>
  <c r="L290" i="5"/>
  <c r="F290" i="5"/>
  <c r="K290" i="5"/>
  <c r="AH290" i="5"/>
  <c r="H291" i="5"/>
  <c r="G291" i="5"/>
  <c r="L291" i="5"/>
  <c r="F291" i="5"/>
  <c r="AH291" i="5"/>
  <c r="H292" i="5"/>
  <c r="G292" i="5"/>
  <c r="L292" i="5"/>
  <c r="F292" i="5"/>
  <c r="AH292" i="5"/>
  <c r="H293" i="5"/>
  <c r="AA293" i="5" s="1"/>
  <c r="M293" i="5"/>
  <c r="G293" i="5"/>
  <c r="L293" i="5" s="1"/>
  <c r="F293" i="5"/>
  <c r="K293" i="5"/>
  <c r="AH293" i="5"/>
  <c r="H294" i="5"/>
  <c r="M294" i="5"/>
  <c r="G294" i="5"/>
  <c r="J294" i="5" s="1"/>
  <c r="L294" i="5"/>
  <c r="F294" i="5"/>
  <c r="K294" i="5"/>
  <c r="AH294" i="5"/>
  <c r="H295" i="5"/>
  <c r="G295" i="5"/>
  <c r="L295" i="5"/>
  <c r="F295" i="5"/>
  <c r="AH295" i="5"/>
  <c r="H296" i="5"/>
  <c r="Y296" i="5" s="1"/>
  <c r="M296" i="5"/>
  <c r="G296" i="5"/>
  <c r="L296" i="5"/>
  <c r="F296" i="5"/>
  <c r="K296" i="5"/>
  <c r="AH296" i="5"/>
  <c r="H297" i="5"/>
  <c r="AA297" i="5" s="1"/>
  <c r="M297" i="5"/>
  <c r="G297" i="5"/>
  <c r="F297" i="5"/>
  <c r="K297" i="5"/>
  <c r="AH297" i="5"/>
  <c r="H298" i="5"/>
  <c r="M298" i="5"/>
  <c r="G298" i="5"/>
  <c r="F298" i="5"/>
  <c r="K298" i="5"/>
  <c r="AH298" i="5"/>
  <c r="H299" i="5"/>
  <c r="G299" i="5"/>
  <c r="L299" i="5"/>
  <c r="F299" i="5"/>
  <c r="AH299" i="5"/>
  <c r="H300" i="5"/>
  <c r="Y300" i="5" s="1"/>
  <c r="M300" i="5"/>
  <c r="G300" i="5"/>
  <c r="L300" i="5"/>
  <c r="F300" i="5"/>
  <c r="K300" i="5"/>
  <c r="AH300" i="5"/>
  <c r="H301" i="5"/>
  <c r="AA301" i="5" s="1"/>
  <c r="M301" i="5"/>
  <c r="G301" i="5"/>
  <c r="L301" i="5" s="1"/>
  <c r="F301" i="5"/>
  <c r="K301" i="5"/>
  <c r="AH301" i="5"/>
  <c r="H302" i="5"/>
  <c r="M302" i="5"/>
  <c r="G302" i="5"/>
  <c r="J302" i="5" s="1"/>
  <c r="L302" i="5"/>
  <c r="F302" i="5"/>
  <c r="K302" i="5"/>
  <c r="AH302" i="5"/>
  <c r="H303" i="5"/>
  <c r="G303" i="5"/>
  <c r="L303" i="5"/>
  <c r="F303" i="5"/>
  <c r="AH303" i="5"/>
  <c r="H304" i="5"/>
  <c r="G304" i="5"/>
  <c r="L304" i="5"/>
  <c r="F304" i="5"/>
  <c r="BB304" i="5" s="1"/>
  <c r="AH304" i="5"/>
  <c r="H305" i="5"/>
  <c r="AA305" i="5" s="1"/>
  <c r="M305" i="5"/>
  <c r="G305" i="5"/>
  <c r="L305" i="5" s="1"/>
  <c r="F305" i="5"/>
  <c r="K305" i="5"/>
  <c r="AH305" i="5"/>
  <c r="H306" i="5"/>
  <c r="M306" i="5"/>
  <c r="G306" i="5"/>
  <c r="J306" i="5" s="1"/>
  <c r="L306" i="5"/>
  <c r="F306" i="5"/>
  <c r="K306" i="5"/>
  <c r="AH306" i="5"/>
  <c r="H307" i="5"/>
  <c r="Z307" i="5" s="1"/>
  <c r="G307" i="5"/>
  <c r="L307" i="5"/>
  <c r="F307" i="5"/>
  <c r="AH307" i="5"/>
  <c r="H308" i="5"/>
  <c r="G308" i="5"/>
  <c r="L308" i="5"/>
  <c r="F308" i="5"/>
  <c r="AK308" i="5" s="1"/>
  <c r="AH308" i="5"/>
  <c r="H309" i="5"/>
  <c r="AA309" i="5" s="1"/>
  <c r="AX309" i="5" s="1"/>
  <c r="M309" i="5"/>
  <c r="G309" i="5"/>
  <c r="F309" i="5"/>
  <c r="K309" i="5"/>
  <c r="AH309" i="5"/>
  <c r="H310" i="5"/>
  <c r="M310" i="5"/>
  <c r="G310" i="5"/>
  <c r="J310" i="5" s="1"/>
  <c r="F310" i="5"/>
  <c r="K310" i="5"/>
  <c r="AH310" i="5"/>
  <c r="H311" i="5"/>
  <c r="G311" i="5"/>
  <c r="L311" i="5"/>
  <c r="F311" i="5"/>
  <c r="AH311" i="5"/>
  <c r="D34" i="4"/>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Z13" i="5"/>
  <c r="AA26" i="5"/>
  <c r="BD26" i="5" s="1"/>
  <c r="AA27" i="5"/>
  <c r="AA28" i="5"/>
  <c r="BD28" i="5" s="1"/>
  <c r="AA30" i="5"/>
  <c r="BD30" i="5"/>
  <c r="AA31" i="5"/>
  <c r="AA32" i="5"/>
  <c r="AA34" i="5"/>
  <c r="AA36" i="5"/>
  <c r="AX36" i="5" s="1"/>
  <c r="BD36" i="5"/>
  <c r="AA37" i="5"/>
  <c r="AA38" i="5"/>
  <c r="AA39" i="5"/>
  <c r="AX39" i="5" s="1"/>
  <c r="AA40" i="5"/>
  <c r="AX40" i="5" s="1"/>
  <c r="AA41" i="5"/>
  <c r="BD41" i="5" s="1"/>
  <c r="AA42" i="5"/>
  <c r="AA43" i="5"/>
  <c r="BD43" i="5" s="1"/>
  <c r="AA44" i="5"/>
  <c r="AA45" i="5"/>
  <c r="AA46" i="5"/>
  <c r="AA47" i="5"/>
  <c r="AA48" i="5"/>
  <c r="AX48" i="5" s="1"/>
  <c r="AA49" i="5"/>
  <c r="AA50" i="5"/>
  <c r="AA51" i="5"/>
  <c r="AA52" i="5"/>
  <c r="AX52" i="5" s="1"/>
  <c r="AA53" i="5"/>
  <c r="BD53" i="5" s="1"/>
  <c r="AA54" i="5"/>
  <c r="AA55" i="5"/>
  <c r="AA56" i="5"/>
  <c r="AX56" i="5" s="1"/>
  <c r="AA58" i="5"/>
  <c r="AA59" i="5"/>
  <c r="BD59" i="5"/>
  <c r="AA60" i="5"/>
  <c r="BD60" i="5" s="1"/>
  <c r="AA61" i="5"/>
  <c r="BD61" i="5" s="1"/>
  <c r="AA62" i="5"/>
  <c r="AA63" i="5"/>
  <c r="BD63" i="5" s="1"/>
  <c r="AA64" i="5"/>
  <c r="BD64" i="5" s="1"/>
  <c r="AA65" i="5"/>
  <c r="AA66" i="5"/>
  <c r="AX66" i="5" s="1"/>
  <c r="AA67" i="5"/>
  <c r="AA68" i="5"/>
  <c r="BD68" i="5" s="1"/>
  <c r="AA69" i="5"/>
  <c r="AA70" i="5"/>
  <c r="BD70" i="5" s="1"/>
  <c r="AA71" i="5"/>
  <c r="AA72" i="5"/>
  <c r="AX72" i="5" s="1"/>
  <c r="AA74" i="5"/>
  <c r="AX74" i="5" s="1"/>
  <c r="AA75" i="5"/>
  <c r="BD75" i="5" s="1"/>
  <c r="AA76" i="5"/>
  <c r="AA78" i="5"/>
  <c r="BD78" i="5" s="1"/>
  <c r="AA79" i="5"/>
  <c r="AX79" i="5" s="1"/>
  <c r="AA80" i="5"/>
  <c r="BD80" i="5" s="1"/>
  <c r="AA81" i="5"/>
  <c r="AA82" i="5"/>
  <c r="AA83" i="5"/>
  <c r="AA84" i="5"/>
  <c r="BD84" i="5" s="1"/>
  <c r="AA85" i="5"/>
  <c r="AA87" i="5"/>
  <c r="AX87" i="5" s="1"/>
  <c r="AA88" i="5"/>
  <c r="BD88" i="5" s="1"/>
  <c r="AA89" i="5"/>
  <c r="AA91" i="5"/>
  <c r="AA92" i="5"/>
  <c r="AA94" i="5"/>
  <c r="AA95" i="5"/>
  <c r="AX95" i="5" s="1"/>
  <c r="AA96" i="5"/>
  <c r="AA97" i="5"/>
  <c r="AA98" i="5"/>
  <c r="AA99" i="5"/>
  <c r="AA100" i="5"/>
  <c r="AA101" i="5"/>
  <c r="BD101" i="5" s="1"/>
  <c r="AA103" i="5"/>
  <c r="AA104" i="5"/>
  <c r="BC104" i="5" s="1"/>
  <c r="AA107" i="5"/>
  <c r="BD107" i="5" s="1"/>
  <c r="AA108" i="5"/>
  <c r="BD108" i="5" s="1"/>
  <c r="AA110" i="5"/>
  <c r="AA111" i="5"/>
  <c r="AA112" i="5"/>
  <c r="AA113" i="5"/>
  <c r="BD113" i="5" s="1"/>
  <c r="AA114" i="5"/>
  <c r="AA115" i="5"/>
  <c r="AA116" i="5"/>
  <c r="AA117" i="5"/>
  <c r="AA119" i="5"/>
  <c r="AA120" i="5"/>
  <c r="AX120" i="5" s="1"/>
  <c r="AA123" i="5"/>
  <c r="AA124" i="5"/>
  <c r="AA126" i="5"/>
  <c r="AA127" i="5"/>
  <c r="BD127" i="5" s="1"/>
  <c r="AA128" i="5"/>
  <c r="AA129" i="5"/>
  <c r="AA130" i="5"/>
  <c r="AA131" i="5"/>
  <c r="AA132" i="5"/>
  <c r="AA133" i="5"/>
  <c r="AA134" i="5"/>
  <c r="AA135" i="5"/>
  <c r="AA136" i="5"/>
  <c r="BD136" i="5" s="1"/>
  <c r="AA138" i="5"/>
  <c r="BD138" i="5" s="1"/>
  <c r="AA139" i="5"/>
  <c r="BD139" i="5" s="1"/>
  <c r="AA140" i="5"/>
  <c r="AA142" i="5"/>
  <c r="AA143" i="5"/>
  <c r="AA144" i="5"/>
  <c r="BD144" i="5" s="1"/>
  <c r="AA145" i="5"/>
  <c r="BD145" i="5" s="1"/>
  <c r="AA146" i="5"/>
  <c r="AA147" i="5"/>
  <c r="BD147" i="5" s="1"/>
  <c r="AA148" i="5"/>
  <c r="BD148" i="5"/>
  <c r="AA149" i="5"/>
  <c r="AA151" i="5"/>
  <c r="AA152" i="5"/>
  <c r="BD152" i="5" s="1"/>
  <c r="AA156" i="5"/>
  <c r="AA157" i="5"/>
  <c r="BD157" i="5" s="1"/>
  <c r="AA158" i="5"/>
  <c r="AA160" i="5"/>
  <c r="AA161" i="5"/>
  <c r="AA162" i="5"/>
  <c r="AA163" i="5"/>
  <c r="BD163" i="5" s="1"/>
  <c r="AA164" i="5"/>
  <c r="AA165" i="5"/>
  <c r="BD165" i="5" s="1"/>
  <c r="AA167" i="5"/>
  <c r="AA168" i="5"/>
  <c r="BD168" i="5"/>
  <c r="AA172" i="5"/>
  <c r="BD172" i="5" s="1"/>
  <c r="AA174" i="5"/>
  <c r="AA176" i="5"/>
  <c r="AA177" i="5"/>
  <c r="AA178" i="5"/>
  <c r="AX178" i="5" s="1"/>
  <c r="AA179" i="5"/>
  <c r="BD179" i="5" s="1"/>
  <c r="AA180" i="5"/>
  <c r="BC180" i="5" s="1"/>
  <c r="AA181" i="5"/>
  <c r="AX181" i="5" s="1"/>
  <c r="AA183" i="5"/>
  <c r="BD183" i="5" s="1"/>
  <c r="AA184" i="5"/>
  <c r="BD184" i="5" s="1"/>
  <c r="AA187" i="5"/>
  <c r="AA188" i="5"/>
  <c r="AA190" i="5"/>
  <c r="AA191" i="5"/>
  <c r="AA192" i="5"/>
  <c r="BD192" i="5" s="1"/>
  <c r="AA193" i="5"/>
  <c r="AA194" i="5"/>
  <c r="AA195" i="5"/>
  <c r="BD195" i="5"/>
  <c r="AA196" i="5"/>
  <c r="AA197" i="5"/>
  <c r="AA198" i="5"/>
  <c r="BD198" i="5" s="1"/>
  <c r="AA199" i="5"/>
  <c r="AX199" i="5" s="1"/>
  <c r="AA200" i="5"/>
  <c r="AA204" i="5"/>
  <c r="AA205" i="5"/>
  <c r="AA206" i="5"/>
  <c r="BD206" i="5" s="1"/>
  <c r="AA208" i="5"/>
  <c r="AA209" i="5"/>
  <c r="AA210" i="5"/>
  <c r="AA211" i="5"/>
  <c r="AX211" i="5" s="1"/>
  <c r="AA212" i="5"/>
  <c r="AX212" i="5" s="1"/>
  <c r="AA213" i="5"/>
  <c r="AL213" i="5" s="1"/>
  <c r="AA215" i="5"/>
  <c r="AA216" i="5"/>
  <c r="BD216" i="5" s="1"/>
  <c r="AA217" i="5"/>
  <c r="AA218" i="5"/>
  <c r="BD218" i="5" s="1"/>
  <c r="AA220" i="5"/>
  <c r="AA221" i="5"/>
  <c r="AA222" i="5"/>
  <c r="BD222" i="5" s="1"/>
  <c r="AA224" i="5"/>
  <c r="AA225" i="5"/>
  <c r="AA226" i="5"/>
  <c r="BD226" i="5" s="1"/>
  <c r="AA227" i="5"/>
  <c r="AA228" i="5"/>
  <c r="AA229" i="5"/>
  <c r="BD229" i="5" s="1"/>
  <c r="AA231" i="5"/>
  <c r="AA232" i="5"/>
  <c r="BD232" i="5" s="1"/>
  <c r="AA233" i="5"/>
  <c r="BD233" i="5" s="1"/>
  <c r="AA236" i="5"/>
  <c r="AA238" i="5"/>
  <c r="AX238" i="5" s="1"/>
  <c r="AA240" i="5"/>
  <c r="AX240" i="5" s="1"/>
  <c r="AA241" i="5"/>
  <c r="AA242" i="5"/>
  <c r="BD242" i="5" s="1"/>
  <c r="AA243" i="5"/>
  <c r="AA244" i="5"/>
  <c r="BD244" i="5" s="1"/>
  <c r="AA245" i="5"/>
  <c r="AA246" i="5"/>
  <c r="AA248" i="5"/>
  <c r="AA249" i="5"/>
  <c r="AA250" i="5"/>
  <c r="AA251" i="5"/>
  <c r="AA252" i="5"/>
  <c r="BD252" i="5" s="1"/>
  <c r="AA253" i="5"/>
  <c r="AA254" i="5"/>
  <c r="AA255" i="5"/>
  <c r="AA256" i="5"/>
  <c r="BD256" i="5" s="1"/>
  <c r="AA257" i="5"/>
  <c r="AX257" i="5" s="1"/>
  <c r="AA258" i="5"/>
  <c r="AA260" i="5"/>
  <c r="BD260" i="5" s="1"/>
  <c r="AA261" i="5"/>
  <c r="BD261" i="5" s="1"/>
  <c r="AA262" i="5"/>
  <c r="AA264" i="5"/>
  <c r="AA265" i="5"/>
  <c r="AA266" i="5"/>
  <c r="AA267" i="5"/>
  <c r="BD267" i="5" s="1"/>
  <c r="AA268" i="5"/>
  <c r="AA269" i="5"/>
  <c r="BD269" i="5" s="1"/>
  <c r="AA270" i="5"/>
  <c r="AA271" i="5"/>
  <c r="AA273" i="5"/>
  <c r="AA274" i="5"/>
  <c r="AA276" i="5"/>
  <c r="AX276" i="5" s="1"/>
  <c r="AA277" i="5"/>
  <c r="AA278" i="5"/>
  <c r="AA280" i="5"/>
  <c r="AA281" i="5"/>
  <c r="AA282" i="5"/>
  <c r="AX282" i="5" s="1"/>
  <c r="AA283" i="5"/>
  <c r="BD283" i="5" s="1"/>
  <c r="AA284" i="5"/>
  <c r="AA285" i="5"/>
  <c r="BD285" i="5" s="1"/>
  <c r="AA286" i="5"/>
  <c r="AX286" i="5" s="1"/>
  <c r="AA287" i="5"/>
  <c r="BD287" i="5" s="1"/>
  <c r="AA288" i="5"/>
  <c r="AA290" i="5"/>
  <c r="BD290" i="5" s="1"/>
  <c r="AA294" i="5"/>
  <c r="AA295" i="5"/>
  <c r="BD295" i="5" s="1"/>
  <c r="AA296" i="5"/>
  <c r="BD296" i="5" s="1"/>
  <c r="AA298" i="5"/>
  <c r="AA299" i="5"/>
  <c r="AX299" i="5" s="1"/>
  <c r="AA300" i="5"/>
  <c r="BD300" i="5" s="1"/>
  <c r="AA302" i="5"/>
  <c r="AA303" i="5"/>
  <c r="AA306" i="5"/>
  <c r="AA310" i="5"/>
  <c r="AA311" i="5"/>
  <c r="BD311" i="5" s="1"/>
  <c r="AE9" i="8"/>
  <c r="F2" i="11"/>
  <c r="D8" i="11"/>
  <c r="BH9" i="5"/>
  <c r="BH8" i="5"/>
  <c r="B15" i="11"/>
  <c r="B16" i="11"/>
  <c r="B14" i="11"/>
  <c r="E2" i="10"/>
  <c r="K2" i="8"/>
  <c r="O2" i="6"/>
  <c r="R9" i="8"/>
  <c r="Q9" i="8"/>
  <c r="O9" i="8"/>
  <c r="N9" i="8"/>
  <c r="M9" i="8"/>
  <c r="L9" i="8"/>
  <c r="K9" i="8"/>
  <c r="J9" i="8"/>
  <c r="E9" i="8"/>
  <c r="F9" i="8"/>
  <c r="G9" i="8"/>
  <c r="H9" i="8"/>
  <c r="I9" i="8"/>
  <c r="D9" i="8"/>
  <c r="A9" i="8"/>
  <c r="AD9" i="8"/>
  <c r="M9" i="6"/>
  <c r="L9" i="6"/>
  <c r="J9" i="6"/>
  <c r="E9" i="6"/>
  <c r="F9" i="6"/>
  <c r="D9" i="6"/>
  <c r="B114" i="7"/>
  <c r="W114" i="7"/>
  <c r="Z114" i="7"/>
  <c r="B115" i="7"/>
  <c r="W115" i="7"/>
  <c r="Z115" i="7"/>
  <c r="B116" i="7"/>
  <c r="W116" i="7"/>
  <c r="Z116" i="7"/>
  <c r="B117" i="7"/>
  <c r="W117" i="7"/>
  <c r="Z117" i="7"/>
  <c r="B118" i="7"/>
  <c r="W118" i="7"/>
  <c r="Z118" i="7"/>
  <c r="B119" i="7"/>
  <c r="W119" i="7"/>
  <c r="Z119" i="7"/>
  <c r="B120" i="7"/>
  <c r="W120" i="7"/>
  <c r="Z120" i="7"/>
  <c r="B121" i="7"/>
  <c r="W121" i="7"/>
  <c r="Z121" i="7"/>
  <c r="B122" i="7"/>
  <c r="W122" i="7"/>
  <c r="Z122" i="7"/>
  <c r="B123" i="7"/>
  <c r="W123" i="7"/>
  <c r="Z123" i="7"/>
  <c r="B124" i="7"/>
  <c r="W124" i="7"/>
  <c r="Z124" i="7"/>
  <c r="B125" i="7"/>
  <c r="W125" i="7"/>
  <c r="Z125" i="7"/>
  <c r="B126" i="7"/>
  <c r="W126" i="7"/>
  <c r="Z126" i="7"/>
  <c r="B127" i="7"/>
  <c r="W127" i="7"/>
  <c r="Z127" i="7"/>
  <c r="B128" i="7"/>
  <c r="W128" i="7"/>
  <c r="Z128" i="7"/>
  <c r="B129" i="7"/>
  <c r="W129" i="7"/>
  <c r="Z129" i="7"/>
  <c r="B130" i="7"/>
  <c r="W130" i="7"/>
  <c r="Z130" i="7"/>
  <c r="B131" i="7"/>
  <c r="W131" i="7"/>
  <c r="Z131" i="7"/>
  <c r="B132" i="7"/>
  <c r="W132" i="7"/>
  <c r="Z132" i="7"/>
  <c r="B133" i="7"/>
  <c r="W133" i="7"/>
  <c r="Z133" i="7"/>
  <c r="B134" i="7"/>
  <c r="W134" i="7"/>
  <c r="Z134" i="7"/>
  <c r="B135" i="7"/>
  <c r="W135" i="7"/>
  <c r="Z135" i="7"/>
  <c r="B136" i="7"/>
  <c r="W136" i="7"/>
  <c r="Z136" i="7"/>
  <c r="B137" i="7"/>
  <c r="W137" i="7"/>
  <c r="Z137" i="7"/>
  <c r="B138" i="7"/>
  <c r="W138" i="7"/>
  <c r="Z138" i="7"/>
  <c r="B139" i="7"/>
  <c r="W139" i="7"/>
  <c r="Z139" i="7"/>
  <c r="B140" i="7"/>
  <c r="W140" i="7"/>
  <c r="Z140" i="7"/>
  <c r="B141" i="7"/>
  <c r="W141" i="7"/>
  <c r="Z141" i="7"/>
  <c r="B142" i="7"/>
  <c r="W142" i="7"/>
  <c r="Z142" i="7"/>
  <c r="B143" i="7"/>
  <c r="W143" i="7"/>
  <c r="Z143" i="7"/>
  <c r="B144" i="7"/>
  <c r="W144" i="7"/>
  <c r="Z144" i="7"/>
  <c r="B145" i="7"/>
  <c r="W145" i="7"/>
  <c r="Z145" i="7"/>
  <c r="B146" i="7"/>
  <c r="W146" i="7"/>
  <c r="Z146" i="7"/>
  <c r="B147" i="7"/>
  <c r="W147" i="7"/>
  <c r="Z147" i="7"/>
  <c r="B148" i="7"/>
  <c r="W148" i="7"/>
  <c r="Z148" i="7"/>
  <c r="B149" i="7"/>
  <c r="W149" i="7"/>
  <c r="Z149" i="7"/>
  <c r="B150" i="7"/>
  <c r="W150" i="7"/>
  <c r="Z150" i="7"/>
  <c r="B151" i="7"/>
  <c r="W151" i="7"/>
  <c r="Z151" i="7"/>
  <c r="B152" i="7"/>
  <c r="W152" i="7"/>
  <c r="Z152" i="7"/>
  <c r="B153" i="7"/>
  <c r="W153" i="7"/>
  <c r="Z153" i="7"/>
  <c r="B154" i="7"/>
  <c r="W154" i="7"/>
  <c r="Z154" i="7"/>
  <c r="B155" i="7"/>
  <c r="W155" i="7"/>
  <c r="Z155" i="7"/>
  <c r="B156" i="7"/>
  <c r="W156" i="7"/>
  <c r="Z156" i="7"/>
  <c r="B157" i="7"/>
  <c r="W157" i="7"/>
  <c r="Z157" i="7"/>
  <c r="B158" i="7"/>
  <c r="W158" i="7"/>
  <c r="Z158" i="7"/>
  <c r="B159" i="7"/>
  <c r="W159" i="7"/>
  <c r="Z159" i="7"/>
  <c r="B160" i="7"/>
  <c r="W160" i="7"/>
  <c r="Z160" i="7"/>
  <c r="B161" i="7"/>
  <c r="W161" i="7"/>
  <c r="Z161" i="7"/>
  <c r="B162" i="7"/>
  <c r="W162" i="7"/>
  <c r="Z162" i="7"/>
  <c r="B163" i="7"/>
  <c r="W163" i="7"/>
  <c r="Z163" i="7"/>
  <c r="B164" i="7"/>
  <c r="W164" i="7"/>
  <c r="Z164" i="7"/>
  <c r="B165" i="7"/>
  <c r="W165" i="7"/>
  <c r="Z165" i="7"/>
  <c r="B166" i="7"/>
  <c r="W166" i="7"/>
  <c r="Z166" i="7"/>
  <c r="B167" i="7"/>
  <c r="W167" i="7"/>
  <c r="Z167" i="7"/>
  <c r="B168" i="7"/>
  <c r="W168" i="7"/>
  <c r="Z168" i="7"/>
  <c r="B169" i="7"/>
  <c r="W169" i="7"/>
  <c r="Z169" i="7"/>
  <c r="B170" i="7"/>
  <c r="W170" i="7"/>
  <c r="Z170" i="7"/>
  <c r="B171" i="7"/>
  <c r="W171" i="7"/>
  <c r="Z171" i="7"/>
  <c r="B172" i="7"/>
  <c r="W172" i="7"/>
  <c r="Z172" i="7"/>
  <c r="B173" i="7"/>
  <c r="W173" i="7"/>
  <c r="Z173" i="7"/>
  <c r="B174" i="7"/>
  <c r="W174" i="7"/>
  <c r="Z174" i="7"/>
  <c r="B175" i="7"/>
  <c r="W175" i="7"/>
  <c r="Z175" i="7"/>
  <c r="B176" i="7"/>
  <c r="W176" i="7"/>
  <c r="Z176" i="7"/>
  <c r="B177" i="7"/>
  <c r="W177" i="7"/>
  <c r="Z177" i="7"/>
  <c r="B178" i="7"/>
  <c r="W178" i="7"/>
  <c r="Z178" i="7"/>
  <c r="B179" i="7"/>
  <c r="W179" i="7"/>
  <c r="Z179" i="7"/>
  <c r="B180" i="7"/>
  <c r="W180" i="7"/>
  <c r="Z180" i="7"/>
  <c r="B181" i="7"/>
  <c r="W181" i="7"/>
  <c r="Z181" i="7"/>
  <c r="B182" i="7"/>
  <c r="W182" i="7"/>
  <c r="Z182" i="7"/>
  <c r="B183" i="7"/>
  <c r="W183" i="7"/>
  <c r="Z183" i="7"/>
  <c r="B184" i="7"/>
  <c r="W184" i="7"/>
  <c r="Z184" i="7"/>
  <c r="B185" i="7"/>
  <c r="W185" i="7"/>
  <c r="Z185" i="7"/>
  <c r="B186" i="7"/>
  <c r="W186" i="7"/>
  <c r="Z186" i="7"/>
  <c r="B187" i="7"/>
  <c r="W187" i="7"/>
  <c r="Z187" i="7"/>
  <c r="B188" i="7"/>
  <c r="W188" i="7"/>
  <c r="Z188" i="7"/>
  <c r="B189" i="7"/>
  <c r="W189" i="7"/>
  <c r="Z189" i="7"/>
  <c r="B190" i="7"/>
  <c r="W190" i="7"/>
  <c r="Z190" i="7"/>
  <c r="B191" i="7"/>
  <c r="W191" i="7"/>
  <c r="Z191" i="7"/>
  <c r="B192" i="7"/>
  <c r="W192" i="7"/>
  <c r="Z192" i="7"/>
  <c r="B193" i="7"/>
  <c r="W193" i="7"/>
  <c r="Z193" i="7"/>
  <c r="B194" i="7"/>
  <c r="W194" i="7"/>
  <c r="Z194" i="7"/>
  <c r="B195" i="7"/>
  <c r="W195" i="7"/>
  <c r="Z195" i="7"/>
  <c r="B196" i="7"/>
  <c r="W196" i="7"/>
  <c r="Z196" i="7"/>
  <c r="B197" i="7"/>
  <c r="W197" i="7"/>
  <c r="Z197" i="7"/>
  <c r="B198" i="7"/>
  <c r="W198" i="7"/>
  <c r="Z198" i="7"/>
  <c r="B199" i="7"/>
  <c r="W199" i="7"/>
  <c r="Z199" i="7"/>
  <c r="B200" i="7"/>
  <c r="W200" i="7"/>
  <c r="Z200" i="7"/>
  <c r="B201" i="7"/>
  <c r="W201" i="7"/>
  <c r="Z201" i="7"/>
  <c r="B202" i="7"/>
  <c r="W202" i="7"/>
  <c r="Z202" i="7"/>
  <c r="B203" i="7"/>
  <c r="W203" i="7"/>
  <c r="Z203" i="7"/>
  <c r="B204" i="7"/>
  <c r="W204" i="7"/>
  <c r="Z204" i="7"/>
  <c r="B205" i="7"/>
  <c r="W205" i="7"/>
  <c r="Z205" i="7"/>
  <c r="B206" i="7"/>
  <c r="W206" i="7"/>
  <c r="Z206" i="7"/>
  <c r="B207" i="7"/>
  <c r="W207" i="7"/>
  <c r="Z207" i="7"/>
  <c r="B208" i="7"/>
  <c r="W208" i="7"/>
  <c r="Z208" i="7"/>
  <c r="B209" i="7"/>
  <c r="W209" i="7"/>
  <c r="Z209" i="7"/>
  <c r="B210" i="7"/>
  <c r="W210" i="7"/>
  <c r="Z210" i="7"/>
  <c r="B211" i="7"/>
  <c r="W211" i="7"/>
  <c r="Z211" i="7"/>
  <c r="B212" i="7"/>
  <c r="W212" i="7"/>
  <c r="Z212" i="7"/>
  <c r="B213" i="7"/>
  <c r="W213" i="7"/>
  <c r="Z213" i="7"/>
  <c r="B214" i="7"/>
  <c r="W214" i="7"/>
  <c r="Z214" i="7"/>
  <c r="B215" i="7"/>
  <c r="W215" i="7"/>
  <c r="Z215" i="7"/>
  <c r="B216" i="7"/>
  <c r="W216" i="7"/>
  <c r="Z216" i="7"/>
  <c r="B217" i="7"/>
  <c r="W217" i="7"/>
  <c r="Z217" i="7"/>
  <c r="B218" i="7"/>
  <c r="W218" i="7"/>
  <c r="Z218" i="7"/>
  <c r="B219" i="7"/>
  <c r="W219" i="7"/>
  <c r="Z219" i="7"/>
  <c r="B220" i="7"/>
  <c r="W220" i="7"/>
  <c r="Z220" i="7"/>
  <c r="B221" i="7"/>
  <c r="W221" i="7"/>
  <c r="Z221" i="7"/>
  <c r="B222" i="7"/>
  <c r="W222" i="7"/>
  <c r="Z222" i="7"/>
  <c r="B223" i="7"/>
  <c r="W223" i="7"/>
  <c r="Z223" i="7"/>
  <c r="B224" i="7"/>
  <c r="W224" i="7"/>
  <c r="Z224" i="7"/>
  <c r="B225" i="7"/>
  <c r="W225" i="7"/>
  <c r="Z225" i="7"/>
  <c r="B226" i="7"/>
  <c r="W226" i="7"/>
  <c r="Z226" i="7"/>
  <c r="B227" i="7"/>
  <c r="W227" i="7"/>
  <c r="Z227" i="7"/>
  <c r="B228" i="7"/>
  <c r="W228" i="7"/>
  <c r="Z228" i="7"/>
  <c r="B229" i="7"/>
  <c r="W229" i="7"/>
  <c r="Z229" i="7"/>
  <c r="B230" i="7"/>
  <c r="W230" i="7"/>
  <c r="Z230" i="7"/>
  <c r="B231" i="7"/>
  <c r="W231" i="7"/>
  <c r="Z231" i="7"/>
  <c r="B232" i="7"/>
  <c r="W232" i="7"/>
  <c r="Z232" i="7"/>
  <c r="B233" i="7"/>
  <c r="W233" i="7"/>
  <c r="Z233" i="7"/>
  <c r="B234" i="7"/>
  <c r="W234" i="7"/>
  <c r="Z234" i="7"/>
  <c r="B235" i="7"/>
  <c r="W235" i="7"/>
  <c r="Z235" i="7"/>
  <c r="B236" i="7"/>
  <c r="W236" i="7"/>
  <c r="Z236" i="7"/>
  <c r="B237" i="7"/>
  <c r="W237" i="7"/>
  <c r="Z237" i="7"/>
  <c r="B238" i="7"/>
  <c r="W238" i="7"/>
  <c r="Z238" i="7"/>
  <c r="B239" i="7"/>
  <c r="W239" i="7"/>
  <c r="Z239" i="7"/>
  <c r="B240" i="7"/>
  <c r="W240" i="7"/>
  <c r="Z240" i="7"/>
  <c r="B241" i="7"/>
  <c r="W241" i="7"/>
  <c r="Z241" i="7"/>
  <c r="B242" i="7"/>
  <c r="W242" i="7"/>
  <c r="Z242" i="7"/>
  <c r="B243" i="7"/>
  <c r="W243" i="7"/>
  <c r="Z243" i="7"/>
  <c r="B244" i="7"/>
  <c r="W244" i="7"/>
  <c r="Z244" i="7"/>
  <c r="B245" i="7"/>
  <c r="W245" i="7"/>
  <c r="Z245" i="7"/>
  <c r="B246" i="7"/>
  <c r="W246" i="7"/>
  <c r="Z246" i="7"/>
  <c r="B247" i="7"/>
  <c r="W247" i="7"/>
  <c r="Z247" i="7"/>
  <c r="B248" i="7"/>
  <c r="W248" i="7"/>
  <c r="Z248" i="7"/>
  <c r="B249" i="7"/>
  <c r="W249" i="7"/>
  <c r="Z249" i="7"/>
  <c r="B250" i="7"/>
  <c r="W250" i="7"/>
  <c r="Z250" i="7"/>
  <c r="B251" i="7"/>
  <c r="W251" i="7"/>
  <c r="Z251" i="7"/>
  <c r="B252" i="7"/>
  <c r="W252" i="7"/>
  <c r="Z252" i="7"/>
  <c r="B253" i="7"/>
  <c r="W253" i="7"/>
  <c r="Z253" i="7"/>
  <c r="B254" i="7"/>
  <c r="W254" i="7"/>
  <c r="Z254" i="7"/>
  <c r="B255" i="7"/>
  <c r="W255" i="7"/>
  <c r="Z255" i="7"/>
  <c r="B256" i="7"/>
  <c r="W256" i="7"/>
  <c r="Z256" i="7"/>
  <c r="B257" i="7"/>
  <c r="W257" i="7"/>
  <c r="Z257" i="7"/>
  <c r="B258" i="7"/>
  <c r="W258" i="7"/>
  <c r="Z258" i="7"/>
  <c r="B259" i="7"/>
  <c r="W259" i="7"/>
  <c r="Z259" i="7"/>
  <c r="B260" i="7"/>
  <c r="W260" i="7"/>
  <c r="Z260" i="7"/>
  <c r="B261" i="7"/>
  <c r="W261" i="7"/>
  <c r="Z261" i="7"/>
  <c r="B262" i="7"/>
  <c r="W262" i="7"/>
  <c r="Z262" i="7"/>
  <c r="B263" i="7"/>
  <c r="W263" i="7"/>
  <c r="Z263" i="7"/>
  <c r="B264" i="7"/>
  <c r="W264" i="7"/>
  <c r="Z264" i="7"/>
  <c r="B265" i="7"/>
  <c r="W265" i="7"/>
  <c r="Z265" i="7"/>
  <c r="B266" i="7"/>
  <c r="W266" i="7"/>
  <c r="Z266" i="7"/>
  <c r="B267" i="7"/>
  <c r="W267" i="7"/>
  <c r="Z267" i="7"/>
  <c r="B268" i="7"/>
  <c r="W268" i="7"/>
  <c r="Z268" i="7"/>
  <c r="B269" i="7"/>
  <c r="W269" i="7"/>
  <c r="Z269" i="7"/>
  <c r="B270" i="7"/>
  <c r="W270" i="7"/>
  <c r="Z270" i="7"/>
  <c r="B271" i="7"/>
  <c r="W271" i="7"/>
  <c r="Z271" i="7"/>
  <c r="B272" i="7"/>
  <c r="W272" i="7"/>
  <c r="Z272" i="7"/>
  <c r="B273" i="7"/>
  <c r="W273" i="7"/>
  <c r="Z273" i="7"/>
  <c r="B274" i="7"/>
  <c r="W274" i="7"/>
  <c r="Z274" i="7"/>
  <c r="B275" i="7"/>
  <c r="W275" i="7"/>
  <c r="Z275" i="7"/>
  <c r="B276" i="7"/>
  <c r="W276" i="7"/>
  <c r="Z276" i="7"/>
  <c r="B277" i="7"/>
  <c r="W277" i="7"/>
  <c r="Z277" i="7"/>
  <c r="B278" i="7"/>
  <c r="W278" i="7"/>
  <c r="Z278" i="7"/>
  <c r="B279" i="7"/>
  <c r="W279" i="7"/>
  <c r="Z279" i="7"/>
  <c r="B280" i="7"/>
  <c r="W280" i="7"/>
  <c r="Z280" i="7"/>
  <c r="B281" i="7"/>
  <c r="W281" i="7"/>
  <c r="Z281" i="7"/>
  <c r="B282" i="7"/>
  <c r="W282" i="7"/>
  <c r="Z282" i="7"/>
  <c r="B283" i="7"/>
  <c r="W283" i="7"/>
  <c r="Z283" i="7"/>
  <c r="B284" i="7"/>
  <c r="W284" i="7"/>
  <c r="Z284" i="7"/>
  <c r="B285" i="7"/>
  <c r="W285" i="7"/>
  <c r="Z285" i="7"/>
  <c r="B286" i="7"/>
  <c r="W286" i="7"/>
  <c r="Z286" i="7"/>
  <c r="B287" i="7"/>
  <c r="W287" i="7"/>
  <c r="Z287" i="7"/>
  <c r="B288" i="7"/>
  <c r="W288" i="7"/>
  <c r="Z288" i="7"/>
  <c r="B289" i="7"/>
  <c r="W289" i="7"/>
  <c r="Z289" i="7"/>
  <c r="B290" i="7"/>
  <c r="W290" i="7"/>
  <c r="Z290" i="7"/>
  <c r="B291" i="7"/>
  <c r="W291" i="7"/>
  <c r="Z291" i="7"/>
  <c r="B292" i="7"/>
  <c r="W292" i="7"/>
  <c r="Z292" i="7"/>
  <c r="B293" i="7"/>
  <c r="W293" i="7"/>
  <c r="Z293" i="7"/>
  <c r="B294" i="7"/>
  <c r="W294" i="7"/>
  <c r="Z294" i="7"/>
  <c r="B295" i="7"/>
  <c r="W295" i="7"/>
  <c r="Z295" i="7"/>
  <c r="B296" i="7"/>
  <c r="W296" i="7"/>
  <c r="Z296" i="7"/>
  <c r="B297" i="7"/>
  <c r="W297" i="7"/>
  <c r="Z297" i="7"/>
  <c r="B298" i="7"/>
  <c r="W298" i="7"/>
  <c r="Z298" i="7"/>
  <c r="B299" i="7"/>
  <c r="W299" i="7"/>
  <c r="Z299" i="7"/>
  <c r="B300" i="7"/>
  <c r="W300" i="7"/>
  <c r="Z300" i="7"/>
  <c r="B301" i="7"/>
  <c r="W301" i="7"/>
  <c r="Z301" i="7"/>
  <c r="B302" i="7"/>
  <c r="W302" i="7"/>
  <c r="Z302" i="7"/>
  <c r="B303" i="7"/>
  <c r="W303" i="7"/>
  <c r="Z303" i="7"/>
  <c r="B304" i="7"/>
  <c r="W304" i="7"/>
  <c r="Z304" i="7"/>
  <c r="B305" i="7"/>
  <c r="W305" i="7"/>
  <c r="Z305" i="7"/>
  <c r="B306" i="7"/>
  <c r="W306" i="7"/>
  <c r="Z306" i="7"/>
  <c r="B307" i="7"/>
  <c r="W307" i="7"/>
  <c r="Z307" i="7"/>
  <c r="B308" i="7"/>
  <c r="W308" i="7"/>
  <c r="Z308" i="7"/>
  <c r="B309" i="7"/>
  <c r="W309" i="7"/>
  <c r="Z309" i="7"/>
  <c r="B310" i="7"/>
  <c r="W310" i="7"/>
  <c r="Z310" i="7"/>
  <c r="B311" i="7"/>
  <c r="W311" i="7"/>
  <c r="Z311" i="7"/>
  <c r="B312" i="7"/>
  <c r="W312" i="7"/>
  <c r="Z312" i="7"/>
  <c r="B313" i="7"/>
  <c r="W313" i="7"/>
  <c r="Z313" i="7"/>
  <c r="B314" i="7"/>
  <c r="W314" i="7"/>
  <c r="Z314" i="7"/>
  <c r="B315" i="7"/>
  <c r="W315" i="7"/>
  <c r="Z315" i="7"/>
  <c r="AA113" i="6"/>
  <c r="AB113" i="6"/>
  <c r="AC113" i="6"/>
  <c r="AD113" i="6"/>
  <c r="AE113" i="6"/>
  <c r="AF113" i="6"/>
  <c r="AH113" i="6"/>
  <c r="AI113" i="6"/>
  <c r="AA114" i="6"/>
  <c r="AB114" i="6"/>
  <c r="AC114" i="6"/>
  <c r="AD114" i="6"/>
  <c r="AE114" i="6"/>
  <c r="AF114" i="6"/>
  <c r="AH114" i="6"/>
  <c r="AI114" i="6"/>
  <c r="AA115" i="6"/>
  <c r="AB115" i="6"/>
  <c r="AC115" i="6"/>
  <c r="AD115" i="6"/>
  <c r="AE115" i="6"/>
  <c r="AF115" i="6"/>
  <c r="AH115" i="6"/>
  <c r="AI115" i="6"/>
  <c r="AA116" i="6"/>
  <c r="AB116" i="6"/>
  <c r="AC116" i="6"/>
  <c r="AD116" i="6"/>
  <c r="AE116" i="6"/>
  <c r="AF116" i="6"/>
  <c r="AH116" i="6"/>
  <c r="AI116" i="6"/>
  <c r="AA117" i="6"/>
  <c r="AB117" i="6"/>
  <c r="AC117" i="6"/>
  <c r="AD117" i="6"/>
  <c r="AE117" i="6"/>
  <c r="AF117" i="6"/>
  <c r="AH117" i="6"/>
  <c r="AI117" i="6"/>
  <c r="AA118" i="6"/>
  <c r="AB118" i="6"/>
  <c r="AC118" i="6"/>
  <c r="AD118" i="6"/>
  <c r="AE118" i="6"/>
  <c r="AF118" i="6"/>
  <c r="AH118" i="6"/>
  <c r="AI118" i="6"/>
  <c r="AA119" i="6"/>
  <c r="AB119" i="6"/>
  <c r="AC119" i="6"/>
  <c r="AD119" i="6"/>
  <c r="AE119" i="6"/>
  <c r="AF119" i="6"/>
  <c r="AH119" i="6"/>
  <c r="AI119" i="6"/>
  <c r="AA120" i="6"/>
  <c r="AB120" i="6"/>
  <c r="AC120" i="6"/>
  <c r="AD120" i="6"/>
  <c r="AE120" i="6"/>
  <c r="AF120" i="6"/>
  <c r="AH120" i="6"/>
  <c r="AI120" i="6"/>
  <c r="AA121" i="6"/>
  <c r="AB121" i="6"/>
  <c r="AC121" i="6"/>
  <c r="AD121" i="6"/>
  <c r="AE121" i="6"/>
  <c r="AF121" i="6"/>
  <c r="AH121" i="6"/>
  <c r="AI121" i="6"/>
  <c r="AA122" i="6"/>
  <c r="AB122" i="6"/>
  <c r="AC122" i="6"/>
  <c r="AD122" i="6"/>
  <c r="AE122" i="6"/>
  <c r="AF122" i="6"/>
  <c r="AH122" i="6"/>
  <c r="AI122" i="6"/>
  <c r="AA123" i="6"/>
  <c r="AB123" i="6"/>
  <c r="AC123" i="6"/>
  <c r="AD123" i="6"/>
  <c r="AE123" i="6"/>
  <c r="AF123" i="6"/>
  <c r="AH123" i="6"/>
  <c r="AI123" i="6"/>
  <c r="AA124" i="6"/>
  <c r="AB124" i="6"/>
  <c r="AC124" i="6"/>
  <c r="AD124" i="6"/>
  <c r="AE124" i="6"/>
  <c r="AF124" i="6"/>
  <c r="AH124" i="6"/>
  <c r="AI124" i="6"/>
  <c r="AA125" i="6"/>
  <c r="AB125" i="6"/>
  <c r="AC125" i="6"/>
  <c r="AD125" i="6"/>
  <c r="AE125" i="6"/>
  <c r="AF125" i="6"/>
  <c r="AH125" i="6"/>
  <c r="AI125" i="6"/>
  <c r="AA126" i="6"/>
  <c r="AB126" i="6"/>
  <c r="AC126" i="6"/>
  <c r="AD126" i="6"/>
  <c r="AE126" i="6"/>
  <c r="AF126" i="6"/>
  <c r="AH126" i="6"/>
  <c r="AI126" i="6"/>
  <c r="AA127" i="6"/>
  <c r="AB127" i="6"/>
  <c r="AC127" i="6"/>
  <c r="AD127" i="6"/>
  <c r="AE127" i="6"/>
  <c r="AF127" i="6"/>
  <c r="AH127" i="6"/>
  <c r="AI127" i="6"/>
  <c r="AA128" i="6"/>
  <c r="AB128" i="6"/>
  <c r="AC128" i="6"/>
  <c r="AD128" i="6"/>
  <c r="AE128" i="6"/>
  <c r="AF128" i="6"/>
  <c r="AH128" i="6"/>
  <c r="AI128" i="6"/>
  <c r="AA129" i="6"/>
  <c r="AB129" i="6"/>
  <c r="AC129" i="6"/>
  <c r="AD129" i="6"/>
  <c r="AE129" i="6"/>
  <c r="AF129" i="6"/>
  <c r="AH129" i="6"/>
  <c r="AI129" i="6"/>
  <c r="AA130" i="6"/>
  <c r="AB130" i="6"/>
  <c r="AC130" i="6"/>
  <c r="AD130" i="6"/>
  <c r="AE130" i="6"/>
  <c r="AF130" i="6"/>
  <c r="AH130" i="6"/>
  <c r="AI130" i="6"/>
  <c r="AA131" i="6"/>
  <c r="AB131" i="6"/>
  <c r="AC131" i="6"/>
  <c r="AD131" i="6"/>
  <c r="AE131" i="6"/>
  <c r="AF131" i="6"/>
  <c r="AH131" i="6"/>
  <c r="AI131" i="6"/>
  <c r="AA132" i="6"/>
  <c r="AB132" i="6"/>
  <c r="AC132" i="6"/>
  <c r="AD132" i="6"/>
  <c r="AE132" i="6"/>
  <c r="AF132" i="6"/>
  <c r="AH132" i="6"/>
  <c r="AI132" i="6"/>
  <c r="AA133" i="6"/>
  <c r="AB133" i="6"/>
  <c r="AC133" i="6"/>
  <c r="AD133" i="6"/>
  <c r="AE133" i="6"/>
  <c r="AF133" i="6"/>
  <c r="AH133" i="6"/>
  <c r="AI133" i="6"/>
  <c r="AA134" i="6"/>
  <c r="AB134" i="6"/>
  <c r="AC134" i="6"/>
  <c r="AD134" i="6"/>
  <c r="AE134" i="6"/>
  <c r="AF134" i="6"/>
  <c r="AH134" i="6"/>
  <c r="AI134" i="6"/>
  <c r="AA135" i="6"/>
  <c r="AB135" i="6"/>
  <c r="AC135" i="6"/>
  <c r="AD135" i="6"/>
  <c r="AE135" i="6"/>
  <c r="AF135" i="6"/>
  <c r="AH135" i="6"/>
  <c r="AI135" i="6"/>
  <c r="AA136" i="6"/>
  <c r="AB136" i="6"/>
  <c r="AC136" i="6"/>
  <c r="AD136" i="6"/>
  <c r="AE136" i="6"/>
  <c r="AF136" i="6"/>
  <c r="AH136" i="6"/>
  <c r="AI136" i="6"/>
  <c r="AA137" i="6"/>
  <c r="AB137" i="6"/>
  <c r="AC137" i="6"/>
  <c r="AD137" i="6"/>
  <c r="AE137" i="6"/>
  <c r="AF137" i="6"/>
  <c r="AH137" i="6"/>
  <c r="AI137" i="6"/>
  <c r="AA138" i="6"/>
  <c r="AB138" i="6"/>
  <c r="AC138" i="6"/>
  <c r="AD138" i="6"/>
  <c r="AE138" i="6"/>
  <c r="AF138" i="6"/>
  <c r="AH138" i="6"/>
  <c r="AI138" i="6"/>
  <c r="AA139" i="6"/>
  <c r="AB139" i="6"/>
  <c r="AC139" i="6"/>
  <c r="AD139" i="6"/>
  <c r="AE139" i="6"/>
  <c r="AF139" i="6"/>
  <c r="AH139" i="6"/>
  <c r="AI139" i="6"/>
  <c r="AA140" i="6"/>
  <c r="AB140" i="6"/>
  <c r="AC140" i="6"/>
  <c r="AD140" i="6"/>
  <c r="AE140" i="6"/>
  <c r="AF140" i="6"/>
  <c r="AH140" i="6"/>
  <c r="AI140" i="6"/>
  <c r="AA141" i="6"/>
  <c r="AB141" i="6"/>
  <c r="AC141" i="6"/>
  <c r="AD141" i="6"/>
  <c r="AE141" i="6"/>
  <c r="AF141" i="6"/>
  <c r="AH141" i="6"/>
  <c r="AI141" i="6"/>
  <c r="AA142" i="6"/>
  <c r="AB142" i="6"/>
  <c r="AC142" i="6"/>
  <c r="AD142" i="6"/>
  <c r="AE142" i="6"/>
  <c r="AF142" i="6"/>
  <c r="AH142" i="6"/>
  <c r="AI142" i="6"/>
  <c r="AA143" i="6"/>
  <c r="AB143" i="6"/>
  <c r="AC143" i="6"/>
  <c r="AD143" i="6"/>
  <c r="AE143" i="6"/>
  <c r="AF143" i="6"/>
  <c r="AH143" i="6"/>
  <c r="AI143" i="6"/>
  <c r="AA144" i="6"/>
  <c r="AB144" i="6"/>
  <c r="AC144" i="6"/>
  <c r="AD144" i="6"/>
  <c r="AE144" i="6"/>
  <c r="AF144" i="6"/>
  <c r="AH144" i="6"/>
  <c r="AI144" i="6"/>
  <c r="AA145" i="6"/>
  <c r="AB145" i="6"/>
  <c r="AC145" i="6"/>
  <c r="AD145" i="6"/>
  <c r="AE145" i="6"/>
  <c r="AF145" i="6"/>
  <c r="AH145" i="6"/>
  <c r="AI145" i="6"/>
  <c r="AA146" i="6"/>
  <c r="AB146" i="6"/>
  <c r="AC146" i="6"/>
  <c r="AD146" i="6"/>
  <c r="AE146" i="6"/>
  <c r="AF146" i="6"/>
  <c r="AH146" i="6"/>
  <c r="AI146" i="6"/>
  <c r="AA147" i="6"/>
  <c r="AB147" i="6"/>
  <c r="AC147" i="6"/>
  <c r="AD147" i="6"/>
  <c r="AE147" i="6"/>
  <c r="AF147" i="6"/>
  <c r="AH147" i="6"/>
  <c r="AI147" i="6"/>
  <c r="AA148" i="6"/>
  <c r="AB148" i="6"/>
  <c r="AC148" i="6"/>
  <c r="AD148" i="6"/>
  <c r="AE148" i="6"/>
  <c r="AF148" i="6"/>
  <c r="AH148" i="6"/>
  <c r="AI148" i="6"/>
  <c r="AA149" i="6"/>
  <c r="AB149" i="6"/>
  <c r="AC149" i="6"/>
  <c r="AD149" i="6"/>
  <c r="AE149" i="6"/>
  <c r="AF149" i="6"/>
  <c r="AH149" i="6"/>
  <c r="AI149" i="6"/>
  <c r="AA150" i="6"/>
  <c r="AB150" i="6"/>
  <c r="AC150" i="6"/>
  <c r="AD150" i="6"/>
  <c r="AE150" i="6"/>
  <c r="AF150" i="6"/>
  <c r="AH150" i="6"/>
  <c r="AI150" i="6"/>
  <c r="AA151" i="6"/>
  <c r="AB151" i="6"/>
  <c r="AC151" i="6"/>
  <c r="AD151" i="6"/>
  <c r="AE151" i="6"/>
  <c r="AF151" i="6"/>
  <c r="AH151" i="6"/>
  <c r="AI151" i="6"/>
  <c r="AA152" i="6"/>
  <c r="AB152" i="6"/>
  <c r="AC152" i="6"/>
  <c r="AD152" i="6"/>
  <c r="AE152" i="6"/>
  <c r="AF152" i="6"/>
  <c r="AH152" i="6"/>
  <c r="AI152" i="6"/>
  <c r="AA153" i="6"/>
  <c r="AB153" i="6"/>
  <c r="AC153" i="6"/>
  <c r="AD153" i="6"/>
  <c r="AE153" i="6"/>
  <c r="AF153" i="6"/>
  <c r="AH153" i="6"/>
  <c r="AI153" i="6"/>
  <c r="AA154" i="6"/>
  <c r="AB154" i="6"/>
  <c r="AC154" i="6"/>
  <c r="AD154" i="6"/>
  <c r="AE154" i="6"/>
  <c r="AF154" i="6"/>
  <c r="AH154" i="6"/>
  <c r="AI154" i="6"/>
  <c r="AA155" i="6"/>
  <c r="AB155" i="6"/>
  <c r="AC155" i="6"/>
  <c r="AD155" i="6"/>
  <c r="AE155" i="6"/>
  <c r="AF155" i="6"/>
  <c r="AH155" i="6"/>
  <c r="AI155" i="6"/>
  <c r="AA156" i="6"/>
  <c r="AB156" i="6"/>
  <c r="AC156" i="6"/>
  <c r="AD156" i="6"/>
  <c r="AE156" i="6"/>
  <c r="AF156" i="6"/>
  <c r="AH156" i="6"/>
  <c r="AI156" i="6"/>
  <c r="AA157" i="6"/>
  <c r="AB157" i="6"/>
  <c r="AC157" i="6"/>
  <c r="AD157" i="6"/>
  <c r="AE157" i="6"/>
  <c r="AF157" i="6"/>
  <c r="AH157" i="6"/>
  <c r="AI157" i="6"/>
  <c r="AA158" i="6"/>
  <c r="AB158" i="6"/>
  <c r="AC158" i="6"/>
  <c r="AD158" i="6"/>
  <c r="AE158" i="6"/>
  <c r="AF158" i="6"/>
  <c r="AH158" i="6"/>
  <c r="AI158" i="6"/>
  <c r="AA159" i="6"/>
  <c r="AB159" i="6"/>
  <c r="AC159" i="6"/>
  <c r="AD159" i="6"/>
  <c r="AE159" i="6"/>
  <c r="AF159" i="6"/>
  <c r="AH159" i="6"/>
  <c r="AI159" i="6"/>
  <c r="AA160" i="6"/>
  <c r="AB160" i="6"/>
  <c r="AC160" i="6"/>
  <c r="AD160" i="6"/>
  <c r="AE160" i="6"/>
  <c r="AF160" i="6"/>
  <c r="AH160" i="6"/>
  <c r="AI160" i="6"/>
  <c r="AA161" i="6"/>
  <c r="AB161" i="6"/>
  <c r="AC161" i="6"/>
  <c r="AD161" i="6"/>
  <c r="AE161" i="6"/>
  <c r="AF161" i="6"/>
  <c r="AH161" i="6"/>
  <c r="AI161" i="6"/>
  <c r="AA162" i="6"/>
  <c r="AB162" i="6"/>
  <c r="AC162" i="6"/>
  <c r="AD162" i="6"/>
  <c r="AE162" i="6"/>
  <c r="AF162" i="6"/>
  <c r="AH162" i="6"/>
  <c r="AI162" i="6"/>
  <c r="AA163" i="6"/>
  <c r="AB163" i="6"/>
  <c r="AC163" i="6"/>
  <c r="AD163" i="6"/>
  <c r="AE163" i="6"/>
  <c r="AF163" i="6"/>
  <c r="AH163" i="6"/>
  <c r="AI163" i="6"/>
  <c r="AA164" i="6"/>
  <c r="AB164" i="6"/>
  <c r="AC164" i="6"/>
  <c r="AD164" i="6"/>
  <c r="AE164" i="6"/>
  <c r="AF164" i="6"/>
  <c r="AH164" i="6"/>
  <c r="AI164" i="6"/>
  <c r="AA165" i="6"/>
  <c r="AB165" i="6"/>
  <c r="AC165" i="6"/>
  <c r="AD165" i="6"/>
  <c r="AE165" i="6"/>
  <c r="AF165" i="6"/>
  <c r="AH165" i="6"/>
  <c r="AI165" i="6"/>
  <c r="AA166" i="6"/>
  <c r="AB166" i="6"/>
  <c r="AC166" i="6"/>
  <c r="AD166" i="6"/>
  <c r="AE166" i="6"/>
  <c r="AF166" i="6"/>
  <c r="AH166" i="6"/>
  <c r="AI166" i="6"/>
  <c r="AA167" i="6"/>
  <c r="AB167" i="6"/>
  <c r="AC167" i="6"/>
  <c r="AD167" i="6"/>
  <c r="AE167" i="6"/>
  <c r="AF167" i="6"/>
  <c r="AH167" i="6"/>
  <c r="AI167" i="6"/>
  <c r="AA168" i="6"/>
  <c r="AB168" i="6"/>
  <c r="AC168" i="6"/>
  <c r="AD168" i="6"/>
  <c r="AE168" i="6"/>
  <c r="AF168" i="6"/>
  <c r="AH168" i="6"/>
  <c r="AI168" i="6"/>
  <c r="AA169" i="6"/>
  <c r="AB169" i="6"/>
  <c r="AC169" i="6"/>
  <c r="AD169" i="6"/>
  <c r="AE169" i="6"/>
  <c r="AF169" i="6"/>
  <c r="AH169" i="6"/>
  <c r="AI169" i="6"/>
  <c r="AA170" i="6"/>
  <c r="AB170" i="6"/>
  <c r="AC170" i="6"/>
  <c r="AD170" i="6"/>
  <c r="AE170" i="6"/>
  <c r="AF170" i="6"/>
  <c r="AH170" i="6"/>
  <c r="AI170" i="6"/>
  <c r="AA171" i="6"/>
  <c r="AB171" i="6"/>
  <c r="AC171" i="6"/>
  <c r="AD171" i="6"/>
  <c r="AE171" i="6"/>
  <c r="AF171" i="6"/>
  <c r="AH171" i="6"/>
  <c r="AI171" i="6"/>
  <c r="AA172" i="6"/>
  <c r="AB172" i="6"/>
  <c r="AC172" i="6"/>
  <c r="AD172" i="6"/>
  <c r="AE172" i="6"/>
  <c r="AF172" i="6"/>
  <c r="AH172" i="6"/>
  <c r="AI172" i="6"/>
  <c r="AA173" i="6"/>
  <c r="AB173" i="6"/>
  <c r="AC173" i="6"/>
  <c r="AD173" i="6"/>
  <c r="AE173" i="6"/>
  <c r="AF173" i="6"/>
  <c r="AH173" i="6"/>
  <c r="AI173" i="6"/>
  <c r="AA174" i="6"/>
  <c r="AB174" i="6"/>
  <c r="AC174" i="6"/>
  <c r="AD174" i="6"/>
  <c r="AE174" i="6"/>
  <c r="AF174" i="6"/>
  <c r="AH174" i="6"/>
  <c r="AI174" i="6"/>
  <c r="AA175" i="6"/>
  <c r="AB175" i="6"/>
  <c r="AC175" i="6"/>
  <c r="AD175" i="6"/>
  <c r="AE175" i="6"/>
  <c r="AF175" i="6"/>
  <c r="AH175" i="6"/>
  <c r="AI175" i="6"/>
  <c r="AA176" i="6"/>
  <c r="AB176" i="6"/>
  <c r="AC176" i="6"/>
  <c r="AD176" i="6"/>
  <c r="AE176" i="6"/>
  <c r="AF176" i="6"/>
  <c r="AH176" i="6"/>
  <c r="AI176" i="6"/>
  <c r="AA177" i="6"/>
  <c r="AB177" i="6"/>
  <c r="AC177" i="6"/>
  <c r="AD177" i="6"/>
  <c r="AE177" i="6"/>
  <c r="AF177" i="6"/>
  <c r="AH177" i="6"/>
  <c r="AI177" i="6"/>
  <c r="AA178" i="6"/>
  <c r="AB178" i="6"/>
  <c r="AC178" i="6"/>
  <c r="AD178" i="6"/>
  <c r="AE178" i="6"/>
  <c r="AF178" i="6"/>
  <c r="AH178" i="6"/>
  <c r="AI178" i="6"/>
  <c r="AA179" i="6"/>
  <c r="AB179" i="6"/>
  <c r="AC179" i="6"/>
  <c r="AD179" i="6"/>
  <c r="AE179" i="6"/>
  <c r="AF179" i="6"/>
  <c r="AH179" i="6"/>
  <c r="AI179" i="6"/>
  <c r="AA180" i="6"/>
  <c r="AB180" i="6"/>
  <c r="AC180" i="6"/>
  <c r="AD180" i="6"/>
  <c r="AE180" i="6"/>
  <c r="AF180" i="6"/>
  <c r="AH180" i="6"/>
  <c r="AI180" i="6"/>
  <c r="AA181" i="6"/>
  <c r="AB181" i="6"/>
  <c r="AC181" i="6"/>
  <c r="AD181" i="6"/>
  <c r="AE181" i="6"/>
  <c r="AF181" i="6"/>
  <c r="AH181" i="6"/>
  <c r="AI181" i="6"/>
  <c r="AA182" i="6"/>
  <c r="AB182" i="6"/>
  <c r="AC182" i="6"/>
  <c r="AD182" i="6"/>
  <c r="AE182" i="6"/>
  <c r="AF182" i="6"/>
  <c r="AH182" i="6"/>
  <c r="AI182" i="6"/>
  <c r="AA183" i="6"/>
  <c r="AB183" i="6"/>
  <c r="AC183" i="6"/>
  <c r="AD183" i="6"/>
  <c r="AE183" i="6"/>
  <c r="AF183" i="6"/>
  <c r="AH183" i="6"/>
  <c r="AI183" i="6"/>
  <c r="AA184" i="6"/>
  <c r="AB184" i="6"/>
  <c r="AC184" i="6"/>
  <c r="AD184" i="6"/>
  <c r="AE184" i="6"/>
  <c r="AF184" i="6"/>
  <c r="AH184" i="6"/>
  <c r="AI184" i="6"/>
  <c r="AA185" i="6"/>
  <c r="AB185" i="6"/>
  <c r="AC185" i="6"/>
  <c r="AD185" i="6"/>
  <c r="AE185" i="6"/>
  <c r="AF185" i="6"/>
  <c r="AH185" i="6"/>
  <c r="AI185" i="6"/>
  <c r="AA186" i="6"/>
  <c r="AB186" i="6"/>
  <c r="AC186" i="6"/>
  <c r="AD186" i="6"/>
  <c r="AE186" i="6"/>
  <c r="AF186" i="6"/>
  <c r="AH186" i="6"/>
  <c r="AI186" i="6"/>
  <c r="AA187" i="6"/>
  <c r="AB187" i="6"/>
  <c r="AC187" i="6"/>
  <c r="AD187" i="6"/>
  <c r="AE187" i="6"/>
  <c r="AF187" i="6"/>
  <c r="AH187" i="6"/>
  <c r="AI187" i="6"/>
  <c r="AA188" i="6"/>
  <c r="AB188" i="6"/>
  <c r="AC188" i="6"/>
  <c r="AD188" i="6"/>
  <c r="AE188" i="6"/>
  <c r="AF188" i="6"/>
  <c r="AH188" i="6"/>
  <c r="AI188" i="6"/>
  <c r="AA189" i="6"/>
  <c r="AB189" i="6"/>
  <c r="AC189" i="6"/>
  <c r="AD189" i="6"/>
  <c r="AE189" i="6"/>
  <c r="AF189" i="6"/>
  <c r="AH189" i="6"/>
  <c r="AI189" i="6"/>
  <c r="AA190" i="6"/>
  <c r="AB190" i="6"/>
  <c r="AC190" i="6"/>
  <c r="AD190" i="6"/>
  <c r="AE190" i="6"/>
  <c r="AF190" i="6"/>
  <c r="AH190" i="6"/>
  <c r="AI190" i="6"/>
  <c r="AA191" i="6"/>
  <c r="AB191" i="6"/>
  <c r="AC191" i="6"/>
  <c r="AD191" i="6"/>
  <c r="AE191" i="6"/>
  <c r="AF191" i="6"/>
  <c r="AH191" i="6"/>
  <c r="AI191" i="6"/>
  <c r="AA192" i="6"/>
  <c r="AB192" i="6"/>
  <c r="AC192" i="6"/>
  <c r="AD192" i="6"/>
  <c r="AE192" i="6"/>
  <c r="AF192" i="6"/>
  <c r="AH192" i="6"/>
  <c r="AI192" i="6"/>
  <c r="AA193" i="6"/>
  <c r="AB193" i="6"/>
  <c r="AC193" i="6"/>
  <c r="AD193" i="6"/>
  <c r="AE193" i="6"/>
  <c r="AF193" i="6"/>
  <c r="AH193" i="6"/>
  <c r="AI193" i="6"/>
  <c r="AA194" i="6"/>
  <c r="AB194" i="6"/>
  <c r="AC194" i="6"/>
  <c r="AD194" i="6"/>
  <c r="AE194" i="6"/>
  <c r="AF194" i="6"/>
  <c r="AH194" i="6"/>
  <c r="AI194" i="6"/>
  <c r="AA195" i="6"/>
  <c r="AB195" i="6"/>
  <c r="AC195" i="6"/>
  <c r="AD195" i="6"/>
  <c r="AE195" i="6"/>
  <c r="AF195" i="6"/>
  <c r="AH195" i="6"/>
  <c r="AI195" i="6"/>
  <c r="AA196" i="6"/>
  <c r="AB196" i="6"/>
  <c r="AC196" i="6"/>
  <c r="AD196" i="6"/>
  <c r="AE196" i="6"/>
  <c r="AF196" i="6"/>
  <c r="AH196" i="6"/>
  <c r="AI196" i="6"/>
  <c r="AA197" i="6"/>
  <c r="AB197" i="6"/>
  <c r="AC197" i="6"/>
  <c r="AD197" i="6"/>
  <c r="AE197" i="6"/>
  <c r="AF197" i="6"/>
  <c r="AH197" i="6"/>
  <c r="AI197" i="6"/>
  <c r="AA198" i="6"/>
  <c r="AB198" i="6"/>
  <c r="AC198" i="6"/>
  <c r="AD198" i="6"/>
  <c r="AE198" i="6"/>
  <c r="AF198" i="6"/>
  <c r="AH198" i="6"/>
  <c r="AI198" i="6"/>
  <c r="AA199" i="6"/>
  <c r="AB199" i="6"/>
  <c r="AC199" i="6"/>
  <c r="AD199" i="6"/>
  <c r="AE199" i="6"/>
  <c r="AF199" i="6"/>
  <c r="AH199" i="6"/>
  <c r="AI199" i="6"/>
  <c r="AA200" i="6"/>
  <c r="AB200" i="6"/>
  <c r="AC200" i="6"/>
  <c r="AD200" i="6"/>
  <c r="AE200" i="6"/>
  <c r="AF200" i="6"/>
  <c r="AH200" i="6"/>
  <c r="AI200" i="6"/>
  <c r="AA201" i="6"/>
  <c r="AB201" i="6"/>
  <c r="AC201" i="6"/>
  <c r="AD201" i="6"/>
  <c r="AE201" i="6"/>
  <c r="AF201" i="6"/>
  <c r="AH201" i="6"/>
  <c r="AI201" i="6"/>
  <c r="AA202" i="6"/>
  <c r="AB202" i="6"/>
  <c r="AC202" i="6"/>
  <c r="AD202" i="6"/>
  <c r="AE202" i="6"/>
  <c r="AF202" i="6"/>
  <c r="AH202" i="6"/>
  <c r="AI202" i="6"/>
  <c r="AA203" i="6"/>
  <c r="AB203" i="6"/>
  <c r="AC203" i="6"/>
  <c r="AD203" i="6"/>
  <c r="AE203" i="6"/>
  <c r="AF203" i="6"/>
  <c r="AH203" i="6"/>
  <c r="AI203" i="6"/>
  <c r="AA204" i="6"/>
  <c r="AB204" i="6"/>
  <c r="AC204" i="6"/>
  <c r="AD204" i="6"/>
  <c r="AE204" i="6"/>
  <c r="AF204" i="6"/>
  <c r="AH204" i="6"/>
  <c r="AI204" i="6"/>
  <c r="AA205" i="6"/>
  <c r="AB205" i="6"/>
  <c r="AC205" i="6"/>
  <c r="AD205" i="6"/>
  <c r="AE205" i="6"/>
  <c r="AF205" i="6"/>
  <c r="AH205" i="6"/>
  <c r="AI205" i="6"/>
  <c r="AA206" i="6"/>
  <c r="AB206" i="6"/>
  <c r="AC206" i="6"/>
  <c r="AD206" i="6"/>
  <c r="AE206" i="6"/>
  <c r="AF206" i="6"/>
  <c r="AH206" i="6"/>
  <c r="AI206" i="6"/>
  <c r="AA207" i="6"/>
  <c r="AB207" i="6"/>
  <c r="AC207" i="6"/>
  <c r="AD207" i="6"/>
  <c r="AE207" i="6"/>
  <c r="AF207" i="6"/>
  <c r="AH207" i="6"/>
  <c r="AI207" i="6"/>
  <c r="AA208" i="6"/>
  <c r="AB208" i="6"/>
  <c r="AC208" i="6"/>
  <c r="AD208" i="6"/>
  <c r="AE208" i="6"/>
  <c r="AF208" i="6"/>
  <c r="AH208" i="6"/>
  <c r="AI208" i="6"/>
  <c r="AA209" i="6"/>
  <c r="AB209" i="6"/>
  <c r="AC209" i="6"/>
  <c r="AD209" i="6"/>
  <c r="AE209" i="6"/>
  <c r="AF209" i="6"/>
  <c r="AH209" i="6"/>
  <c r="AI209" i="6"/>
  <c r="AA210" i="6"/>
  <c r="AB210" i="6"/>
  <c r="AC210" i="6"/>
  <c r="AD210" i="6"/>
  <c r="AE210" i="6"/>
  <c r="AF210" i="6"/>
  <c r="AH210" i="6"/>
  <c r="AI210" i="6"/>
  <c r="AA211" i="6"/>
  <c r="AB211" i="6"/>
  <c r="AC211" i="6"/>
  <c r="AD211" i="6"/>
  <c r="AE211" i="6"/>
  <c r="AF211" i="6"/>
  <c r="AH211" i="6"/>
  <c r="AI211" i="6"/>
  <c r="AA212" i="6"/>
  <c r="AB212" i="6"/>
  <c r="AC212" i="6"/>
  <c r="AD212" i="6"/>
  <c r="AE212" i="6"/>
  <c r="AF212" i="6"/>
  <c r="AH212" i="6"/>
  <c r="AI212" i="6"/>
  <c r="AA213" i="6"/>
  <c r="AB213" i="6"/>
  <c r="AC213" i="6"/>
  <c r="AD213" i="6"/>
  <c r="AE213" i="6"/>
  <c r="AF213" i="6"/>
  <c r="AH213" i="6"/>
  <c r="AI213" i="6"/>
  <c r="AA214" i="6"/>
  <c r="AB214" i="6"/>
  <c r="AC214" i="6"/>
  <c r="AD214" i="6"/>
  <c r="AE214" i="6"/>
  <c r="AF214" i="6"/>
  <c r="AH214" i="6"/>
  <c r="AI214" i="6"/>
  <c r="AA215" i="6"/>
  <c r="AB215" i="6"/>
  <c r="AC215" i="6"/>
  <c r="AD215" i="6"/>
  <c r="AE215" i="6"/>
  <c r="AF215" i="6"/>
  <c r="AH215" i="6"/>
  <c r="AI215" i="6"/>
  <c r="AA216" i="6"/>
  <c r="AB216" i="6"/>
  <c r="AC216" i="6"/>
  <c r="AD216" i="6"/>
  <c r="AE216" i="6"/>
  <c r="AF216" i="6"/>
  <c r="AH216" i="6"/>
  <c r="AI216" i="6"/>
  <c r="AA217" i="6"/>
  <c r="AB217" i="6"/>
  <c r="AC217" i="6"/>
  <c r="AD217" i="6"/>
  <c r="AE217" i="6"/>
  <c r="AF217" i="6"/>
  <c r="AH217" i="6"/>
  <c r="AI217" i="6"/>
  <c r="AA218" i="6"/>
  <c r="AB218" i="6"/>
  <c r="AC218" i="6"/>
  <c r="AD218" i="6"/>
  <c r="AE218" i="6"/>
  <c r="AF218" i="6"/>
  <c r="AH218" i="6"/>
  <c r="AI218" i="6"/>
  <c r="AA219" i="6"/>
  <c r="AB219" i="6"/>
  <c r="AC219" i="6"/>
  <c r="AD219" i="6"/>
  <c r="AE219" i="6"/>
  <c r="AF219" i="6"/>
  <c r="AH219" i="6"/>
  <c r="AI219" i="6"/>
  <c r="AA220" i="6"/>
  <c r="AB220" i="6"/>
  <c r="AC220" i="6"/>
  <c r="AD220" i="6"/>
  <c r="AE220" i="6"/>
  <c r="AF220" i="6"/>
  <c r="AH220" i="6"/>
  <c r="AI220" i="6"/>
  <c r="AA221" i="6"/>
  <c r="AB221" i="6"/>
  <c r="AC221" i="6"/>
  <c r="AD221" i="6"/>
  <c r="AE221" i="6"/>
  <c r="AF221" i="6"/>
  <c r="AH221" i="6"/>
  <c r="AI221" i="6"/>
  <c r="AA222" i="6"/>
  <c r="AB222" i="6"/>
  <c r="AC222" i="6"/>
  <c r="AD222" i="6"/>
  <c r="AE222" i="6"/>
  <c r="AF222" i="6"/>
  <c r="AH222" i="6"/>
  <c r="AI222" i="6"/>
  <c r="AA223" i="6"/>
  <c r="AB223" i="6"/>
  <c r="AC223" i="6"/>
  <c r="AD223" i="6"/>
  <c r="AE223" i="6"/>
  <c r="AF223" i="6"/>
  <c r="AH223" i="6"/>
  <c r="AI223" i="6"/>
  <c r="AA224" i="6"/>
  <c r="AB224" i="6"/>
  <c r="AC224" i="6"/>
  <c r="AD224" i="6"/>
  <c r="AE224" i="6"/>
  <c r="AF224" i="6"/>
  <c r="AH224" i="6"/>
  <c r="AI224" i="6"/>
  <c r="AA225" i="6"/>
  <c r="AB225" i="6"/>
  <c r="AC225" i="6"/>
  <c r="AD225" i="6"/>
  <c r="AE225" i="6"/>
  <c r="AF225" i="6"/>
  <c r="AH225" i="6"/>
  <c r="AI225" i="6"/>
  <c r="AA226" i="6"/>
  <c r="AB226" i="6"/>
  <c r="AC226" i="6"/>
  <c r="AD226" i="6"/>
  <c r="AE226" i="6"/>
  <c r="AF226" i="6"/>
  <c r="AH226" i="6"/>
  <c r="AI226" i="6"/>
  <c r="AA227" i="6"/>
  <c r="AB227" i="6"/>
  <c r="AC227" i="6"/>
  <c r="AD227" i="6"/>
  <c r="AE227" i="6"/>
  <c r="AF227" i="6"/>
  <c r="AH227" i="6"/>
  <c r="AI227" i="6"/>
  <c r="AA228" i="6"/>
  <c r="AB228" i="6"/>
  <c r="AC228" i="6"/>
  <c r="AD228" i="6"/>
  <c r="AE228" i="6"/>
  <c r="AF228" i="6"/>
  <c r="AH228" i="6"/>
  <c r="AI228" i="6"/>
  <c r="AA229" i="6"/>
  <c r="AB229" i="6"/>
  <c r="AC229" i="6"/>
  <c r="AD229" i="6"/>
  <c r="AE229" i="6"/>
  <c r="AF229" i="6"/>
  <c r="AH229" i="6"/>
  <c r="AI229" i="6"/>
  <c r="AA230" i="6"/>
  <c r="AB230" i="6"/>
  <c r="AC230" i="6"/>
  <c r="AD230" i="6"/>
  <c r="AE230" i="6"/>
  <c r="AF230" i="6"/>
  <c r="AH230" i="6"/>
  <c r="AI230" i="6"/>
  <c r="AA231" i="6"/>
  <c r="AB231" i="6"/>
  <c r="AC231" i="6"/>
  <c r="AD231" i="6"/>
  <c r="AE231" i="6"/>
  <c r="AF231" i="6"/>
  <c r="AH231" i="6"/>
  <c r="AI231" i="6"/>
  <c r="AA232" i="6"/>
  <c r="AB232" i="6"/>
  <c r="AC232" i="6"/>
  <c r="AD232" i="6"/>
  <c r="AE232" i="6"/>
  <c r="AF232" i="6"/>
  <c r="AH232" i="6"/>
  <c r="AI232" i="6"/>
  <c r="AA233" i="6"/>
  <c r="AB233" i="6"/>
  <c r="AC233" i="6"/>
  <c r="AD233" i="6"/>
  <c r="AE233" i="6"/>
  <c r="AF233" i="6"/>
  <c r="AH233" i="6"/>
  <c r="AI233" i="6"/>
  <c r="AA234" i="6"/>
  <c r="AB234" i="6"/>
  <c r="AC234" i="6"/>
  <c r="AD234" i="6"/>
  <c r="AE234" i="6"/>
  <c r="AF234" i="6"/>
  <c r="AH234" i="6"/>
  <c r="AI234" i="6"/>
  <c r="AA235" i="6"/>
  <c r="AB235" i="6"/>
  <c r="AC235" i="6"/>
  <c r="AD235" i="6"/>
  <c r="AE235" i="6"/>
  <c r="AF235" i="6"/>
  <c r="AH235" i="6"/>
  <c r="AI235" i="6"/>
  <c r="AA236" i="6"/>
  <c r="AB236" i="6"/>
  <c r="AC236" i="6"/>
  <c r="AD236" i="6"/>
  <c r="AE236" i="6"/>
  <c r="AF236" i="6"/>
  <c r="AH236" i="6"/>
  <c r="AI236" i="6"/>
  <c r="AA237" i="6"/>
  <c r="AB237" i="6"/>
  <c r="AC237" i="6"/>
  <c r="AD237" i="6"/>
  <c r="AE237" i="6"/>
  <c r="AF237" i="6"/>
  <c r="AH237" i="6"/>
  <c r="AI237" i="6"/>
  <c r="AA238" i="6"/>
  <c r="AB238" i="6"/>
  <c r="AC238" i="6"/>
  <c r="AD238" i="6"/>
  <c r="AE238" i="6"/>
  <c r="AF238" i="6"/>
  <c r="AH238" i="6"/>
  <c r="AI238" i="6"/>
  <c r="AA239" i="6"/>
  <c r="AB239" i="6"/>
  <c r="AC239" i="6"/>
  <c r="AD239" i="6"/>
  <c r="AE239" i="6"/>
  <c r="AF239" i="6"/>
  <c r="AH239" i="6"/>
  <c r="AI239" i="6"/>
  <c r="AA240" i="6"/>
  <c r="AB240" i="6"/>
  <c r="AC240" i="6"/>
  <c r="AD240" i="6"/>
  <c r="AE240" i="6"/>
  <c r="AF240" i="6"/>
  <c r="AH240" i="6"/>
  <c r="AI240" i="6"/>
  <c r="AA241" i="6"/>
  <c r="AB241" i="6"/>
  <c r="AC241" i="6"/>
  <c r="AD241" i="6"/>
  <c r="AE241" i="6"/>
  <c r="AF241" i="6"/>
  <c r="AH241" i="6"/>
  <c r="AI241" i="6"/>
  <c r="AA242" i="6"/>
  <c r="AB242" i="6"/>
  <c r="AC242" i="6"/>
  <c r="AD242" i="6"/>
  <c r="AE242" i="6"/>
  <c r="AF242" i="6"/>
  <c r="AH242" i="6"/>
  <c r="AI242" i="6"/>
  <c r="AA243" i="6"/>
  <c r="AB243" i="6"/>
  <c r="AC243" i="6"/>
  <c r="AD243" i="6"/>
  <c r="AE243" i="6"/>
  <c r="AF243" i="6"/>
  <c r="AH243" i="6"/>
  <c r="AI243" i="6"/>
  <c r="AA244" i="6"/>
  <c r="AB244" i="6"/>
  <c r="AC244" i="6"/>
  <c r="AD244" i="6"/>
  <c r="AE244" i="6"/>
  <c r="AF244" i="6"/>
  <c r="AH244" i="6"/>
  <c r="AI244" i="6"/>
  <c r="AA245" i="6"/>
  <c r="AB245" i="6"/>
  <c r="AC245" i="6"/>
  <c r="AD245" i="6"/>
  <c r="AE245" i="6"/>
  <c r="AF245" i="6"/>
  <c r="AH245" i="6"/>
  <c r="AI245" i="6"/>
  <c r="AA246" i="6"/>
  <c r="AB246" i="6"/>
  <c r="AC246" i="6"/>
  <c r="AD246" i="6"/>
  <c r="AE246" i="6"/>
  <c r="AF246" i="6"/>
  <c r="AH246" i="6"/>
  <c r="AI246" i="6"/>
  <c r="AA247" i="6"/>
  <c r="AB247" i="6"/>
  <c r="AC247" i="6"/>
  <c r="AD247" i="6"/>
  <c r="AE247" i="6"/>
  <c r="AF247" i="6"/>
  <c r="AH247" i="6"/>
  <c r="AI247" i="6"/>
  <c r="AA248" i="6"/>
  <c r="AB248" i="6"/>
  <c r="AC248" i="6"/>
  <c r="AD248" i="6"/>
  <c r="AE248" i="6"/>
  <c r="AF248" i="6"/>
  <c r="AH248" i="6"/>
  <c r="AI248" i="6"/>
  <c r="AA249" i="6"/>
  <c r="AB249" i="6"/>
  <c r="AC249" i="6"/>
  <c r="AD249" i="6"/>
  <c r="AE249" i="6"/>
  <c r="AF249" i="6"/>
  <c r="AH249" i="6"/>
  <c r="AI249" i="6"/>
  <c r="AA250" i="6"/>
  <c r="AB250" i="6"/>
  <c r="AC250" i="6"/>
  <c r="AD250" i="6"/>
  <c r="AE250" i="6"/>
  <c r="AF250" i="6"/>
  <c r="AH250" i="6"/>
  <c r="AI250" i="6"/>
  <c r="AA251" i="6"/>
  <c r="AB251" i="6"/>
  <c r="AC251" i="6"/>
  <c r="AD251" i="6"/>
  <c r="AE251" i="6"/>
  <c r="AF251" i="6"/>
  <c r="AH251" i="6"/>
  <c r="AI251" i="6"/>
  <c r="AA252" i="6"/>
  <c r="AB252" i="6"/>
  <c r="AC252" i="6"/>
  <c r="AD252" i="6"/>
  <c r="AE252" i="6"/>
  <c r="AF252" i="6"/>
  <c r="AH252" i="6"/>
  <c r="AI252" i="6"/>
  <c r="AA253" i="6"/>
  <c r="AB253" i="6"/>
  <c r="AC253" i="6"/>
  <c r="AD253" i="6"/>
  <c r="AE253" i="6"/>
  <c r="AF253" i="6"/>
  <c r="AH253" i="6"/>
  <c r="AI253" i="6"/>
  <c r="AA254" i="6"/>
  <c r="AB254" i="6"/>
  <c r="AC254" i="6"/>
  <c r="AD254" i="6"/>
  <c r="AE254" i="6"/>
  <c r="AF254" i="6"/>
  <c r="AH254" i="6"/>
  <c r="AI254" i="6"/>
  <c r="AA255" i="6"/>
  <c r="AB255" i="6"/>
  <c r="AC255" i="6"/>
  <c r="AD255" i="6"/>
  <c r="AE255" i="6"/>
  <c r="AF255" i="6"/>
  <c r="AH255" i="6"/>
  <c r="AI255" i="6"/>
  <c r="AA256" i="6"/>
  <c r="AB256" i="6"/>
  <c r="AC256" i="6"/>
  <c r="AD256" i="6"/>
  <c r="AE256" i="6"/>
  <c r="AF256" i="6"/>
  <c r="AH256" i="6"/>
  <c r="AI256" i="6"/>
  <c r="AA257" i="6"/>
  <c r="AB257" i="6"/>
  <c r="AC257" i="6"/>
  <c r="AD257" i="6"/>
  <c r="AE257" i="6"/>
  <c r="AF257" i="6"/>
  <c r="AH257" i="6"/>
  <c r="AI257" i="6"/>
  <c r="AA258" i="6"/>
  <c r="AB258" i="6"/>
  <c r="AC258" i="6"/>
  <c r="AD258" i="6"/>
  <c r="AE258" i="6"/>
  <c r="AF258" i="6"/>
  <c r="AH258" i="6"/>
  <c r="AI258" i="6"/>
  <c r="AA259" i="6"/>
  <c r="AB259" i="6"/>
  <c r="AC259" i="6"/>
  <c r="AD259" i="6"/>
  <c r="AE259" i="6"/>
  <c r="AF259" i="6"/>
  <c r="AH259" i="6"/>
  <c r="AI259" i="6"/>
  <c r="AA260" i="6"/>
  <c r="AB260" i="6"/>
  <c r="AC260" i="6"/>
  <c r="AD260" i="6"/>
  <c r="AE260" i="6"/>
  <c r="AF260" i="6"/>
  <c r="AH260" i="6"/>
  <c r="AI260" i="6"/>
  <c r="AA261" i="6"/>
  <c r="AB261" i="6"/>
  <c r="AC261" i="6"/>
  <c r="AD261" i="6"/>
  <c r="AE261" i="6"/>
  <c r="AF261" i="6"/>
  <c r="AH261" i="6"/>
  <c r="AI261" i="6"/>
  <c r="AA262" i="6"/>
  <c r="AB262" i="6"/>
  <c r="AC262" i="6"/>
  <c r="AD262" i="6"/>
  <c r="AE262" i="6"/>
  <c r="AF262" i="6"/>
  <c r="AH262" i="6"/>
  <c r="AI262" i="6"/>
  <c r="AA263" i="6"/>
  <c r="AB263" i="6"/>
  <c r="AC263" i="6"/>
  <c r="AD263" i="6"/>
  <c r="AE263" i="6"/>
  <c r="AF263" i="6"/>
  <c r="AH263" i="6"/>
  <c r="AI263" i="6"/>
  <c r="AA264" i="6"/>
  <c r="AB264" i="6"/>
  <c r="AC264" i="6"/>
  <c r="AD264" i="6"/>
  <c r="AE264" i="6"/>
  <c r="AF264" i="6"/>
  <c r="AH264" i="6"/>
  <c r="AI264" i="6"/>
  <c r="AA265" i="6"/>
  <c r="AB265" i="6"/>
  <c r="AC265" i="6"/>
  <c r="AD265" i="6"/>
  <c r="AE265" i="6"/>
  <c r="AF265" i="6"/>
  <c r="AH265" i="6"/>
  <c r="AI265" i="6"/>
  <c r="AA266" i="6"/>
  <c r="AB266" i="6"/>
  <c r="AC266" i="6"/>
  <c r="AD266" i="6"/>
  <c r="AE266" i="6"/>
  <c r="AF266" i="6"/>
  <c r="AH266" i="6"/>
  <c r="AI266" i="6"/>
  <c r="AA267" i="6"/>
  <c r="AB267" i="6"/>
  <c r="AC267" i="6"/>
  <c r="AD267" i="6"/>
  <c r="AE267" i="6"/>
  <c r="AF267" i="6"/>
  <c r="AH267" i="6"/>
  <c r="AI267" i="6"/>
  <c r="AA268" i="6"/>
  <c r="AB268" i="6"/>
  <c r="AC268" i="6"/>
  <c r="AD268" i="6"/>
  <c r="AE268" i="6"/>
  <c r="AF268" i="6"/>
  <c r="AH268" i="6"/>
  <c r="AI268" i="6"/>
  <c r="AA269" i="6"/>
  <c r="AB269" i="6"/>
  <c r="AC269" i="6"/>
  <c r="AD269" i="6"/>
  <c r="AE269" i="6"/>
  <c r="AF269" i="6"/>
  <c r="AH269" i="6"/>
  <c r="AI269" i="6"/>
  <c r="AA270" i="6"/>
  <c r="AB270" i="6"/>
  <c r="AC270" i="6"/>
  <c r="AD270" i="6"/>
  <c r="AE270" i="6"/>
  <c r="AF270" i="6"/>
  <c r="AH270" i="6"/>
  <c r="AI270" i="6"/>
  <c r="AA271" i="6"/>
  <c r="AB271" i="6"/>
  <c r="AC271" i="6"/>
  <c r="AD271" i="6"/>
  <c r="AE271" i="6"/>
  <c r="AF271" i="6"/>
  <c r="AH271" i="6"/>
  <c r="AI271" i="6"/>
  <c r="AA272" i="6"/>
  <c r="AB272" i="6"/>
  <c r="AC272" i="6"/>
  <c r="AD272" i="6"/>
  <c r="AE272" i="6"/>
  <c r="AF272" i="6"/>
  <c r="AH272" i="6"/>
  <c r="AI272" i="6"/>
  <c r="AA273" i="6"/>
  <c r="AB273" i="6"/>
  <c r="AC273" i="6"/>
  <c r="AD273" i="6"/>
  <c r="AE273" i="6"/>
  <c r="AF273" i="6"/>
  <c r="AH273" i="6"/>
  <c r="AI273" i="6"/>
  <c r="AA274" i="6"/>
  <c r="AB274" i="6"/>
  <c r="AC274" i="6"/>
  <c r="AD274" i="6"/>
  <c r="AE274" i="6"/>
  <c r="AF274" i="6"/>
  <c r="AH274" i="6"/>
  <c r="AI274" i="6"/>
  <c r="AA275" i="6"/>
  <c r="AB275" i="6"/>
  <c r="AC275" i="6"/>
  <c r="AD275" i="6"/>
  <c r="AE275" i="6"/>
  <c r="AF275" i="6"/>
  <c r="AH275" i="6"/>
  <c r="AI275" i="6"/>
  <c r="AA276" i="6"/>
  <c r="AB276" i="6"/>
  <c r="AC276" i="6"/>
  <c r="AD276" i="6"/>
  <c r="AE276" i="6"/>
  <c r="AF276" i="6"/>
  <c r="AH276" i="6"/>
  <c r="AI276" i="6"/>
  <c r="AA277" i="6"/>
  <c r="AB277" i="6"/>
  <c r="AC277" i="6"/>
  <c r="AD277" i="6"/>
  <c r="AE277" i="6"/>
  <c r="AF277" i="6"/>
  <c r="AH277" i="6"/>
  <c r="AI277" i="6"/>
  <c r="AA278" i="6"/>
  <c r="AB278" i="6"/>
  <c r="AC278" i="6"/>
  <c r="AD278" i="6"/>
  <c r="AE278" i="6"/>
  <c r="AF278" i="6"/>
  <c r="AH278" i="6"/>
  <c r="AI278" i="6"/>
  <c r="AA279" i="6"/>
  <c r="AB279" i="6"/>
  <c r="AC279" i="6"/>
  <c r="AD279" i="6"/>
  <c r="AE279" i="6"/>
  <c r="AF279" i="6"/>
  <c r="AH279" i="6"/>
  <c r="AI279" i="6"/>
  <c r="AA280" i="6"/>
  <c r="AB280" i="6"/>
  <c r="AC280" i="6"/>
  <c r="AD280" i="6"/>
  <c r="AE280" i="6"/>
  <c r="AF280" i="6"/>
  <c r="AH280" i="6"/>
  <c r="AI280" i="6"/>
  <c r="AA281" i="6"/>
  <c r="AB281" i="6"/>
  <c r="AC281" i="6"/>
  <c r="AD281" i="6"/>
  <c r="AE281" i="6"/>
  <c r="AF281" i="6"/>
  <c r="AH281" i="6"/>
  <c r="AI281" i="6"/>
  <c r="AA282" i="6"/>
  <c r="AB282" i="6"/>
  <c r="AC282" i="6"/>
  <c r="AD282" i="6"/>
  <c r="AE282" i="6"/>
  <c r="AF282" i="6"/>
  <c r="AH282" i="6"/>
  <c r="AI282" i="6"/>
  <c r="AA283" i="6"/>
  <c r="AB283" i="6"/>
  <c r="AC283" i="6"/>
  <c r="AD283" i="6"/>
  <c r="AE283" i="6"/>
  <c r="AF283" i="6"/>
  <c r="AH283" i="6"/>
  <c r="AI283" i="6"/>
  <c r="AA284" i="6"/>
  <c r="AB284" i="6"/>
  <c r="AC284" i="6"/>
  <c r="AD284" i="6"/>
  <c r="AE284" i="6"/>
  <c r="AF284" i="6"/>
  <c r="AH284" i="6"/>
  <c r="AI284" i="6"/>
  <c r="AA285" i="6"/>
  <c r="AB285" i="6"/>
  <c r="AC285" i="6"/>
  <c r="AD285" i="6"/>
  <c r="AE285" i="6"/>
  <c r="AF285" i="6"/>
  <c r="AH285" i="6"/>
  <c r="AI285" i="6"/>
  <c r="AA286" i="6"/>
  <c r="AB286" i="6"/>
  <c r="AC286" i="6"/>
  <c r="AD286" i="6"/>
  <c r="AE286" i="6"/>
  <c r="AF286" i="6"/>
  <c r="AH286" i="6"/>
  <c r="AI286" i="6"/>
  <c r="AA287" i="6"/>
  <c r="AB287" i="6"/>
  <c r="AC287" i="6"/>
  <c r="AD287" i="6"/>
  <c r="AE287" i="6"/>
  <c r="AF287" i="6"/>
  <c r="AH287" i="6"/>
  <c r="AI287" i="6"/>
  <c r="AA288" i="6"/>
  <c r="AB288" i="6"/>
  <c r="AC288" i="6"/>
  <c r="AD288" i="6"/>
  <c r="AE288" i="6"/>
  <c r="AF288" i="6"/>
  <c r="AH288" i="6"/>
  <c r="AI288" i="6"/>
  <c r="AA289" i="6"/>
  <c r="AB289" i="6"/>
  <c r="AC289" i="6"/>
  <c r="AD289" i="6"/>
  <c r="AE289" i="6"/>
  <c r="AF289" i="6"/>
  <c r="AH289" i="6"/>
  <c r="AI289" i="6"/>
  <c r="AA290" i="6"/>
  <c r="AB290" i="6"/>
  <c r="AC290" i="6"/>
  <c r="AD290" i="6"/>
  <c r="AE290" i="6"/>
  <c r="AF290" i="6"/>
  <c r="AH290" i="6"/>
  <c r="AI290" i="6"/>
  <c r="AA291" i="6"/>
  <c r="AB291" i="6"/>
  <c r="AC291" i="6"/>
  <c r="AD291" i="6"/>
  <c r="AE291" i="6"/>
  <c r="AF291" i="6"/>
  <c r="AH291" i="6"/>
  <c r="AI291" i="6"/>
  <c r="AA292" i="6"/>
  <c r="AB292" i="6"/>
  <c r="AC292" i="6"/>
  <c r="AD292" i="6"/>
  <c r="AE292" i="6"/>
  <c r="AF292" i="6"/>
  <c r="AH292" i="6"/>
  <c r="AI292" i="6"/>
  <c r="AA293" i="6"/>
  <c r="AB293" i="6"/>
  <c r="AC293" i="6"/>
  <c r="AD293" i="6"/>
  <c r="AE293" i="6"/>
  <c r="AF293" i="6"/>
  <c r="AH293" i="6"/>
  <c r="AI293" i="6"/>
  <c r="AA294" i="6"/>
  <c r="AB294" i="6"/>
  <c r="AC294" i="6"/>
  <c r="AD294" i="6"/>
  <c r="AE294" i="6"/>
  <c r="AF294" i="6"/>
  <c r="AH294" i="6"/>
  <c r="AI294" i="6"/>
  <c r="AA295" i="6"/>
  <c r="AB295" i="6"/>
  <c r="AC295" i="6"/>
  <c r="AD295" i="6"/>
  <c r="AE295" i="6"/>
  <c r="AF295" i="6"/>
  <c r="AH295" i="6"/>
  <c r="AI295" i="6"/>
  <c r="AA296" i="6"/>
  <c r="AB296" i="6"/>
  <c r="AC296" i="6"/>
  <c r="AD296" i="6"/>
  <c r="AE296" i="6"/>
  <c r="AF296" i="6"/>
  <c r="AH296" i="6"/>
  <c r="AI296" i="6"/>
  <c r="AA297" i="6"/>
  <c r="AB297" i="6"/>
  <c r="AC297" i="6"/>
  <c r="AD297" i="6"/>
  <c r="AE297" i="6"/>
  <c r="AF297" i="6"/>
  <c r="AH297" i="6"/>
  <c r="AI297" i="6"/>
  <c r="AA298" i="6"/>
  <c r="AB298" i="6"/>
  <c r="AC298" i="6"/>
  <c r="AD298" i="6"/>
  <c r="AE298" i="6"/>
  <c r="AF298" i="6"/>
  <c r="AH298" i="6"/>
  <c r="AI298" i="6"/>
  <c r="AA299" i="6"/>
  <c r="AB299" i="6"/>
  <c r="AC299" i="6"/>
  <c r="AD299" i="6"/>
  <c r="AE299" i="6"/>
  <c r="AF299" i="6"/>
  <c r="AH299" i="6"/>
  <c r="AI299" i="6"/>
  <c r="AA300" i="6"/>
  <c r="AB300" i="6"/>
  <c r="AC300" i="6"/>
  <c r="AD300" i="6"/>
  <c r="AE300" i="6"/>
  <c r="AF300" i="6"/>
  <c r="AH300" i="6"/>
  <c r="AI300" i="6"/>
  <c r="AA301" i="6"/>
  <c r="AB301" i="6"/>
  <c r="AC301" i="6"/>
  <c r="AD301" i="6"/>
  <c r="AE301" i="6"/>
  <c r="AF301" i="6"/>
  <c r="AH301" i="6"/>
  <c r="AI301" i="6"/>
  <c r="AA302" i="6"/>
  <c r="AB302" i="6"/>
  <c r="AC302" i="6"/>
  <c r="AD302" i="6"/>
  <c r="AE302" i="6"/>
  <c r="AF302" i="6"/>
  <c r="AH302" i="6"/>
  <c r="AI302" i="6"/>
  <c r="AA303" i="6"/>
  <c r="AB303" i="6"/>
  <c r="AC303" i="6"/>
  <c r="AD303" i="6"/>
  <c r="AE303" i="6"/>
  <c r="AF303" i="6"/>
  <c r="AH303" i="6"/>
  <c r="AI303" i="6"/>
  <c r="AA304" i="6"/>
  <c r="AB304" i="6"/>
  <c r="AC304" i="6"/>
  <c r="AD304" i="6"/>
  <c r="AE304" i="6"/>
  <c r="AF304" i="6"/>
  <c r="AH304" i="6"/>
  <c r="AI304" i="6"/>
  <c r="AA305" i="6"/>
  <c r="AB305" i="6"/>
  <c r="AC305" i="6"/>
  <c r="AD305" i="6"/>
  <c r="AE305" i="6"/>
  <c r="AF305" i="6"/>
  <c r="AH305" i="6"/>
  <c r="AI305" i="6"/>
  <c r="AA306" i="6"/>
  <c r="AB306" i="6"/>
  <c r="AC306" i="6"/>
  <c r="AD306" i="6"/>
  <c r="AE306" i="6"/>
  <c r="AF306" i="6"/>
  <c r="AH306" i="6"/>
  <c r="AI306" i="6"/>
  <c r="AA307" i="6"/>
  <c r="AB307" i="6"/>
  <c r="AC307" i="6"/>
  <c r="AD307" i="6"/>
  <c r="AE307" i="6"/>
  <c r="AF307" i="6"/>
  <c r="AH307" i="6"/>
  <c r="AI307" i="6"/>
  <c r="AA308" i="6"/>
  <c r="AB308" i="6"/>
  <c r="AC308" i="6"/>
  <c r="AD308" i="6"/>
  <c r="AE308" i="6"/>
  <c r="AF308" i="6"/>
  <c r="AH308" i="6"/>
  <c r="AI308" i="6"/>
  <c r="AA309" i="6"/>
  <c r="AB309" i="6"/>
  <c r="AC309" i="6"/>
  <c r="AD309" i="6"/>
  <c r="AE309" i="6"/>
  <c r="AF309" i="6"/>
  <c r="AH309" i="6"/>
  <c r="AI309" i="6"/>
  <c r="AA310" i="6"/>
  <c r="AB310" i="6"/>
  <c r="AC310" i="6"/>
  <c r="AD310" i="6"/>
  <c r="AE310" i="6"/>
  <c r="AF310" i="6"/>
  <c r="AH310" i="6"/>
  <c r="AI310" i="6"/>
  <c r="AA311" i="6"/>
  <c r="AB311" i="6"/>
  <c r="AC311" i="6"/>
  <c r="AD311" i="6"/>
  <c r="AE311" i="6"/>
  <c r="AF311" i="6"/>
  <c r="AH311" i="6"/>
  <c r="AI311" i="6"/>
  <c r="AA312" i="6"/>
  <c r="AB312" i="6"/>
  <c r="AC312" i="6"/>
  <c r="AD312" i="6"/>
  <c r="AE312" i="6"/>
  <c r="AF312" i="6"/>
  <c r="AH312" i="6"/>
  <c r="AI312" i="6"/>
  <c r="C111" i="5"/>
  <c r="D111" i="5"/>
  <c r="E111" i="5"/>
  <c r="C112" i="5"/>
  <c r="D112" i="5"/>
  <c r="E112" i="5"/>
  <c r="AB112" i="5"/>
  <c r="Y112" i="5"/>
  <c r="Z112" i="5"/>
  <c r="C113" i="5"/>
  <c r="D113" i="5"/>
  <c r="E113" i="5"/>
  <c r="Y113" i="5"/>
  <c r="C114" i="5"/>
  <c r="D114" i="5"/>
  <c r="E114" i="5"/>
  <c r="Z114" i="5"/>
  <c r="C115" i="5"/>
  <c r="D115" i="5"/>
  <c r="E115" i="5"/>
  <c r="Z115" i="5"/>
  <c r="C116" i="5"/>
  <c r="D116" i="5"/>
  <c r="E116" i="5"/>
  <c r="C117" i="5"/>
  <c r="D117" i="5"/>
  <c r="E117" i="5"/>
  <c r="AB117" i="5"/>
  <c r="C118" i="5"/>
  <c r="D118" i="5"/>
  <c r="E118" i="5"/>
  <c r="C119" i="5"/>
  <c r="D119" i="5"/>
  <c r="E119" i="5"/>
  <c r="Z119" i="5"/>
  <c r="C120" i="5"/>
  <c r="D120" i="5"/>
  <c r="E120" i="5"/>
  <c r="C121" i="5"/>
  <c r="D121" i="5"/>
  <c r="E121" i="5"/>
  <c r="J121" i="5"/>
  <c r="C122" i="5"/>
  <c r="D122" i="5"/>
  <c r="E122" i="5"/>
  <c r="C123" i="5"/>
  <c r="D123" i="5"/>
  <c r="E123" i="5"/>
  <c r="J123" i="5"/>
  <c r="AM123" i="5"/>
  <c r="C124" i="5"/>
  <c r="D124" i="5"/>
  <c r="E124" i="5"/>
  <c r="C125" i="5"/>
  <c r="D125" i="5"/>
  <c r="E125" i="5"/>
  <c r="AB125" i="5"/>
  <c r="C126" i="5"/>
  <c r="D126" i="5"/>
  <c r="E126" i="5"/>
  <c r="C127" i="5"/>
  <c r="D127" i="5"/>
  <c r="E127" i="5"/>
  <c r="C128" i="5"/>
  <c r="D128" i="5"/>
  <c r="E128" i="5"/>
  <c r="C129" i="5"/>
  <c r="D129" i="5"/>
  <c r="E129" i="5"/>
  <c r="C130" i="5"/>
  <c r="D130" i="5"/>
  <c r="E130" i="5"/>
  <c r="AB130" i="5"/>
  <c r="C131" i="5"/>
  <c r="D131" i="5"/>
  <c r="E131" i="5"/>
  <c r="C132" i="5"/>
  <c r="D132" i="5"/>
  <c r="E132" i="5"/>
  <c r="AB132" i="5"/>
  <c r="Z132" i="5"/>
  <c r="C133" i="5"/>
  <c r="D133" i="5"/>
  <c r="E133" i="5"/>
  <c r="Z133" i="5"/>
  <c r="C134" i="5"/>
  <c r="D134" i="5"/>
  <c r="E134" i="5"/>
  <c r="C135" i="5"/>
  <c r="D135" i="5"/>
  <c r="E135" i="5"/>
  <c r="Z135" i="5"/>
  <c r="C136" i="5"/>
  <c r="D136" i="5"/>
  <c r="E136" i="5"/>
  <c r="Z136" i="5"/>
  <c r="C137" i="5"/>
  <c r="D137" i="5"/>
  <c r="E137" i="5"/>
  <c r="C138" i="5"/>
  <c r="D138" i="5"/>
  <c r="E138" i="5"/>
  <c r="C139" i="5"/>
  <c r="D139" i="5"/>
  <c r="E139" i="5"/>
  <c r="C140" i="5"/>
  <c r="D140" i="5"/>
  <c r="E140" i="5"/>
  <c r="C141" i="5"/>
  <c r="D141" i="5"/>
  <c r="E141" i="5"/>
  <c r="C142" i="5"/>
  <c r="D142" i="5"/>
  <c r="E142" i="5"/>
  <c r="J142" i="5"/>
  <c r="C143" i="5"/>
  <c r="D143" i="5"/>
  <c r="E143" i="5"/>
  <c r="C144" i="5"/>
  <c r="D144" i="5"/>
  <c r="E144" i="5"/>
  <c r="AB144" i="5"/>
  <c r="Z144" i="5"/>
  <c r="C145" i="5"/>
  <c r="D145" i="5"/>
  <c r="E145" i="5"/>
  <c r="J145" i="5"/>
  <c r="C146" i="5"/>
  <c r="D146" i="5"/>
  <c r="E146" i="5"/>
  <c r="Z146" i="5"/>
  <c r="C147" i="5"/>
  <c r="D147" i="5"/>
  <c r="E147" i="5"/>
  <c r="C148" i="5"/>
  <c r="D148" i="5"/>
  <c r="E148" i="5"/>
  <c r="Z148" i="5"/>
  <c r="C149" i="5"/>
  <c r="D149" i="5"/>
  <c r="E149" i="5"/>
  <c r="C150" i="5"/>
  <c r="D150" i="5"/>
  <c r="E150" i="5"/>
  <c r="C151" i="5"/>
  <c r="D151" i="5"/>
  <c r="E151" i="5"/>
  <c r="AB151" i="5"/>
  <c r="C152" i="5"/>
  <c r="D152" i="5"/>
  <c r="E152" i="5"/>
  <c r="Z152" i="5"/>
  <c r="C153" i="5"/>
  <c r="D153" i="5"/>
  <c r="E153" i="5"/>
  <c r="Z153" i="5"/>
  <c r="C154" i="5"/>
  <c r="D154" i="5"/>
  <c r="E154" i="5"/>
  <c r="C155" i="5"/>
  <c r="D155" i="5"/>
  <c r="E155" i="5"/>
  <c r="C156" i="5"/>
  <c r="D156" i="5"/>
  <c r="E156" i="5"/>
  <c r="AB156" i="5"/>
  <c r="C157" i="5"/>
  <c r="D157" i="5"/>
  <c r="E157" i="5"/>
  <c r="C158" i="5"/>
  <c r="D158" i="5"/>
  <c r="E158" i="5"/>
  <c r="C159" i="5"/>
  <c r="D159" i="5"/>
  <c r="E159" i="5"/>
  <c r="Z159" i="5"/>
  <c r="C160" i="5"/>
  <c r="D160" i="5"/>
  <c r="E160" i="5"/>
  <c r="AM160" i="5"/>
  <c r="C161" i="5"/>
  <c r="D161" i="5"/>
  <c r="E161" i="5"/>
  <c r="J161" i="5"/>
  <c r="AB161" i="5"/>
  <c r="C162" i="5"/>
  <c r="D162" i="5"/>
  <c r="E162" i="5"/>
  <c r="BB162" i="5"/>
  <c r="A8" i="5"/>
  <c r="C163" i="5"/>
  <c r="D163" i="5"/>
  <c r="E163" i="5"/>
  <c r="C164" i="5"/>
  <c r="D164" i="5"/>
  <c r="E164" i="5"/>
  <c r="C165" i="5"/>
  <c r="D165" i="5"/>
  <c r="E165" i="5"/>
  <c r="C166" i="5"/>
  <c r="D166" i="5"/>
  <c r="E166" i="5"/>
  <c r="C167" i="5"/>
  <c r="D167" i="5"/>
  <c r="E167" i="5"/>
  <c r="AM167" i="5"/>
  <c r="C168" i="5"/>
  <c r="D168" i="5"/>
  <c r="E168" i="5"/>
  <c r="AM168" i="5"/>
  <c r="C169" i="5"/>
  <c r="D169" i="5"/>
  <c r="E169" i="5"/>
  <c r="C170" i="5"/>
  <c r="D170" i="5"/>
  <c r="E170" i="5"/>
  <c r="C171" i="5"/>
  <c r="D171" i="5"/>
  <c r="E171" i="5"/>
  <c r="AM171" i="5"/>
  <c r="C172" i="5"/>
  <c r="D172" i="5"/>
  <c r="E172" i="5"/>
  <c r="J172" i="5"/>
  <c r="C173" i="5"/>
  <c r="D173" i="5"/>
  <c r="E173" i="5"/>
  <c r="C174" i="5"/>
  <c r="D174" i="5"/>
  <c r="E174" i="5"/>
  <c r="C175" i="5"/>
  <c r="D175" i="5"/>
  <c r="E175" i="5"/>
  <c r="C176" i="5"/>
  <c r="D176" i="5"/>
  <c r="E176" i="5"/>
  <c r="C177" i="5"/>
  <c r="D177" i="5"/>
  <c r="E177" i="5"/>
  <c r="Z177" i="5"/>
  <c r="C178" i="5"/>
  <c r="D178" i="5"/>
  <c r="E178" i="5"/>
  <c r="Z178" i="5"/>
  <c r="C179" i="5"/>
  <c r="D179" i="5"/>
  <c r="E179" i="5"/>
  <c r="C180" i="5"/>
  <c r="D180" i="5"/>
  <c r="E180" i="5"/>
  <c r="J180" i="5"/>
  <c r="C181" i="5"/>
  <c r="D181" i="5"/>
  <c r="E181" i="5"/>
  <c r="C182" i="5"/>
  <c r="D182" i="5"/>
  <c r="E182" i="5"/>
  <c r="C183" i="5"/>
  <c r="D183" i="5"/>
  <c r="E183" i="5"/>
  <c r="C184" i="5"/>
  <c r="D184" i="5"/>
  <c r="E184" i="5"/>
  <c r="C185" i="5"/>
  <c r="D185" i="5"/>
  <c r="E185" i="5"/>
  <c r="C186" i="5"/>
  <c r="D186" i="5"/>
  <c r="E186" i="5"/>
  <c r="C187" i="5"/>
  <c r="D187" i="5"/>
  <c r="E187" i="5"/>
  <c r="C188" i="5"/>
  <c r="D188" i="5"/>
  <c r="E188" i="5"/>
  <c r="J188" i="5"/>
  <c r="AB188" i="5"/>
  <c r="AM188" i="5"/>
  <c r="C189" i="5"/>
  <c r="D189" i="5"/>
  <c r="E189" i="5"/>
  <c r="C190" i="5"/>
  <c r="D190" i="5"/>
  <c r="E190" i="5"/>
  <c r="J190" i="5"/>
  <c r="Y190" i="5"/>
  <c r="C191" i="5"/>
  <c r="D191" i="5"/>
  <c r="E191" i="5"/>
  <c r="C192" i="5"/>
  <c r="D192" i="5"/>
  <c r="E192" i="5"/>
  <c r="Z192" i="5"/>
  <c r="C193" i="5"/>
  <c r="D193" i="5"/>
  <c r="E193" i="5"/>
  <c r="Z193" i="5"/>
  <c r="C194" i="5"/>
  <c r="D194" i="5"/>
  <c r="E194" i="5"/>
  <c r="BB194" i="5"/>
  <c r="C195" i="5"/>
  <c r="D195" i="5"/>
  <c r="E195" i="5"/>
  <c r="Z195" i="5"/>
  <c r="AM195" i="5"/>
  <c r="C196" i="5"/>
  <c r="D196" i="5"/>
  <c r="E196" i="5"/>
  <c r="C197" i="5"/>
  <c r="D197" i="5"/>
  <c r="E197" i="5"/>
  <c r="AK197" i="5"/>
  <c r="J197" i="5"/>
  <c r="Y197" i="5"/>
  <c r="AO197" i="5" s="1"/>
  <c r="AQ197" i="5" s="1"/>
  <c r="A6" i="5"/>
  <c r="AM197" i="5"/>
  <c r="A7" i="5"/>
  <c r="A5" i="5"/>
  <c r="C198" i="5"/>
  <c r="D198" i="5"/>
  <c r="E198" i="5"/>
  <c r="Y198" i="5"/>
  <c r="C199" i="5"/>
  <c r="D199" i="5"/>
  <c r="E199" i="5"/>
  <c r="AB199" i="5"/>
  <c r="C200" i="5"/>
  <c r="D200" i="5"/>
  <c r="E200" i="5"/>
  <c r="C201" i="5"/>
  <c r="D201" i="5"/>
  <c r="E201" i="5"/>
  <c r="C202" i="5"/>
  <c r="D202" i="5"/>
  <c r="E202" i="5"/>
  <c r="C203" i="5"/>
  <c r="D203" i="5"/>
  <c r="E203" i="5"/>
  <c r="C204" i="5"/>
  <c r="D204" i="5"/>
  <c r="E204" i="5"/>
  <c r="Z204" i="5"/>
  <c r="C205" i="5"/>
  <c r="D205" i="5"/>
  <c r="E205" i="5"/>
  <c r="C206" i="5"/>
  <c r="D206" i="5"/>
  <c r="E206" i="5"/>
  <c r="C207" i="5"/>
  <c r="D207" i="5"/>
  <c r="E207" i="5"/>
  <c r="J207" i="5"/>
  <c r="C208" i="5"/>
  <c r="D208" i="5"/>
  <c r="E208" i="5"/>
  <c r="Y208" i="5"/>
  <c r="C209" i="5"/>
  <c r="D209" i="5"/>
  <c r="E209" i="5"/>
  <c r="Y209" i="5"/>
  <c r="AB209" i="5"/>
  <c r="C210" i="5"/>
  <c r="D210" i="5"/>
  <c r="E210" i="5"/>
  <c r="C211" i="5"/>
  <c r="D211" i="5"/>
  <c r="E211" i="5"/>
  <c r="C212" i="5"/>
  <c r="D212" i="5"/>
  <c r="E212" i="5"/>
  <c r="AV212" i="5"/>
  <c r="C213" i="5"/>
  <c r="D213" i="5"/>
  <c r="E213" i="5"/>
  <c r="AM213" i="5"/>
  <c r="C214" i="5"/>
  <c r="D214" i="5"/>
  <c r="E214" i="5"/>
  <c r="C215" i="5"/>
  <c r="D215" i="5"/>
  <c r="E215" i="5"/>
  <c r="J215" i="5"/>
  <c r="Y215" i="5"/>
  <c r="C216" i="5"/>
  <c r="D216" i="5"/>
  <c r="E216" i="5"/>
  <c r="Z216" i="5"/>
  <c r="C217" i="5"/>
  <c r="D217" i="5"/>
  <c r="E217" i="5"/>
  <c r="C218" i="5"/>
  <c r="D218" i="5"/>
  <c r="E218" i="5"/>
  <c r="C219" i="5"/>
  <c r="D219" i="5"/>
  <c r="E219" i="5"/>
  <c r="J219" i="5"/>
  <c r="Z219" i="5"/>
  <c r="C220" i="5"/>
  <c r="D220" i="5"/>
  <c r="E220" i="5"/>
  <c r="C221" i="5"/>
  <c r="D221" i="5"/>
  <c r="E221" i="5"/>
  <c r="C222" i="5"/>
  <c r="D222" i="5"/>
  <c r="E222" i="5"/>
  <c r="AB222" i="5"/>
  <c r="C223" i="5"/>
  <c r="D223" i="5"/>
  <c r="E223" i="5"/>
  <c r="C224" i="5"/>
  <c r="D224" i="5"/>
  <c r="E224" i="5"/>
  <c r="C225" i="5"/>
  <c r="D225" i="5"/>
  <c r="E225" i="5"/>
  <c r="C226" i="5"/>
  <c r="D226" i="5"/>
  <c r="E226" i="5"/>
  <c r="J226" i="5"/>
  <c r="Z226" i="5"/>
  <c r="C227" i="5"/>
  <c r="D227" i="5"/>
  <c r="E227" i="5"/>
  <c r="C228" i="5"/>
  <c r="D228" i="5"/>
  <c r="E228" i="5"/>
  <c r="AB228" i="5"/>
  <c r="C229" i="5"/>
  <c r="D229" i="5"/>
  <c r="E229" i="5"/>
  <c r="Y229" i="5"/>
  <c r="C230" i="5"/>
  <c r="D230" i="5"/>
  <c r="E230" i="5"/>
  <c r="C231" i="5"/>
  <c r="D231" i="5"/>
  <c r="E231" i="5"/>
  <c r="C232" i="5"/>
  <c r="D232" i="5"/>
  <c r="E232" i="5"/>
  <c r="C233" i="5"/>
  <c r="D233" i="5"/>
  <c r="E233" i="5"/>
  <c r="AB233" i="5"/>
  <c r="C234" i="5"/>
  <c r="D234" i="5"/>
  <c r="E234" i="5"/>
  <c r="Z234" i="5"/>
  <c r="C235" i="5"/>
  <c r="D235" i="5"/>
  <c r="E235" i="5"/>
  <c r="C236" i="5"/>
  <c r="D236" i="5"/>
  <c r="E236" i="5"/>
  <c r="Z236" i="5"/>
  <c r="C237" i="5"/>
  <c r="D237" i="5"/>
  <c r="E237" i="5"/>
  <c r="C238" i="5"/>
  <c r="D238" i="5"/>
  <c r="E238" i="5"/>
  <c r="C239" i="5"/>
  <c r="D239" i="5"/>
  <c r="E239" i="5"/>
  <c r="Z239" i="5"/>
  <c r="C240" i="5"/>
  <c r="D240" i="5"/>
  <c r="E240" i="5"/>
  <c r="C241" i="5"/>
  <c r="D241" i="5"/>
  <c r="E241" i="5"/>
  <c r="C242" i="5"/>
  <c r="D242" i="5"/>
  <c r="E242" i="5"/>
  <c r="J242" i="5"/>
  <c r="Y242" i="5"/>
  <c r="C243" i="5"/>
  <c r="D243" i="5"/>
  <c r="E243" i="5"/>
  <c r="Y243" i="5"/>
  <c r="C244" i="5"/>
  <c r="D244" i="5"/>
  <c r="E244" i="5"/>
  <c r="Z244" i="5"/>
  <c r="C245" i="5"/>
  <c r="D245" i="5"/>
  <c r="E245" i="5"/>
  <c r="J245" i="5"/>
  <c r="AB245" i="5"/>
  <c r="C246" i="5"/>
  <c r="D246" i="5"/>
  <c r="E246" i="5"/>
  <c r="Z246" i="5"/>
  <c r="C247" i="5"/>
  <c r="D247" i="5"/>
  <c r="E247" i="5"/>
  <c r="C248" i="5"/>
  <c r="D248" i="5"/>
  <c r="E248" i="5"/>
  <c r="C249" i="5"/>
  <c r="D249" i="5"/>
  <c r="E249" i="5"/>
  <c r="C250" i="5"/>
  <c r="D250" i="5"/>
  <c r="E250" i="5"/>
  <c r="C251" i="5"/>
  <c r="D251" i="5"/>
  <c r="E251" i="5"/>
  <c r="C252" i="5"/>
  <c r="D252" i="5"/>
  <c r="E252" i="5"/>
  <c r="J252" i="5"/>
  <c r="C253" i="5"/>
  <c r="D253" i="5"/>
  <c r="E253" i="5"/>
  <c r="C254" i="5"/>
  <c r="D254" i="5"/>
  <c r="E254" i="5"/>
  <c r="C255" i="5"/>
  <c r="D255" i="5"/>
  <c r="E255" i="5"/>
  <c r="C256" i="5"/>
  <c r="D256" i="5"/>
  <c r="E256" i="5"/>
  <c r="C257" i="5"/>
  <c r="D257" i="5"/>
  <c r="E257" i="5"/>
  <c r="C258" i="5"/>
  <c r="D258" i="5"/>
  <c r="E258" i="5"/>
  <c r="C259" i="5"/>
  <c r="D259" i="5"/>
  <c r="E259" i="5"/>
  <c r="C260" i="5"/>
  <c r="D260" i="5"/>
  <c r="E260" i="5"/>
  <c r="C261" i="5"/>
  <c r="D261" i="5"/>
  <c r="E261" i="5"/>
  <c r="J261" i="5"/>
  <c r="C262" i="5"/>
  <c r="D262" i="5"/>
  <c r="E262" i="5"/>
  <c r="AB262" i="5"/>
  <c r="C263" i="5"/>
  <c r="D263" i="5"/>
  <c r="E263" i="5"/>
  <c r="C264" i="5"/>
  <c r="D264" i="5"/>
  <c r="E264" i="5"/>
  <c r="AB264" i="5"/>
  <c r="C265" i="5"/>
  <c r="D265" i="5"/>
  <c r="E265" i="5"/>
  <c r="C266" i="5"/>
  <c r="D266" i="5"/>
  <c r="E266" i="5"/>
  <c r="J266" i="5"/>
  <c r="C267" i="5"/>
  <c r="D267" i="5"/>
  <c r="E267" i="5"/>
  <c r="C268" i="5"/>
  <c r="D268" i="5"/>
  <c r="E268" i="5"/>
  <c r="C269" i="5"/>
  <c r="D269" i="5"/>
  <c r="E269" i="5"/>
  <c r="AB269" i="5"/>
  <c r="C270" i="5"/>
  <c r="D270" i="5"/>
  <c r="E270" i="5"/>
  <c r="Y270" i="5"/>
  <c r="C271" i="5"/>
  <c r="D271" i="5"/>
  <c r="E271" i="5"/>
  <c r="AK271" i="5"/>
  <c r="C272" i="5"/>
  <c r="D272" i="5"/>
  <c r="E272" i="5"/>
  <c r="C273" i="5"/>
  <c r="D273" i="5"/>
  <c r="E273" i="5"/>
  <c r="Y273" i="5"/>
  <c r="C274" i="5"/>
  <c r="D274" i="5"/>
  <c r="E274" i="5"/>
  <c r="Y274" i="5"/>
  <c r="C275" i="5"/>
  <c r="D275" i="5"/>
  <c r="E275" i="5"/>
  <c r="C276" i="5"/>
  <c r="D276" i="5"/>
  <c r="E276" i="5"/>
  <c r="C277" i="5"/>
  <c r="D277" i="5"/>
  <c r="E277" i="5"/>
  <c r="Y277" i="5"/>
  <c r="C278" i="5"/>
  <c r="D278" i="5"/>
  <c r="E278" i="5"/>
  <c r="C279" i="5"/>
  <c r="D279" i="5"/>
  <c r="E279" i="5"/>
  <c r="C280" i="5"/>
  <c r="D280" i="5"/>
  <c r="E280" i="5"/>
  <c r="C281" i="5"/>
  <c r="D281" i="5"/>
  <c r="E281" i="5"/>
  <c r="Y281" i="5"/>
  <c r="AB281" i="5"/>
  <c r="C282" i="5"/>
  <c r="D282" i="5"/>
  <c r="E282" i="5"/>
  <c r="Y282" i="5"/>
  <c r="C283" i="5"/>
  <c r="D283" i="5"/>
  <c r="E283" i="5"/>
  <c r="C284" i="5"/>
  <c r="D284" i="5"/>
  <c r="E284" i="5"/>
  <c r="C285" i="5"/>
  <c r="D285" i="5"/>
  <c r="E285" i="5"/>
  <c r="Y285" i="5"/>
  <c r="C286" i="5"/>
  <c r="D286" i="5"/>
  <c r="E286" i="5"/>
  <c r="Y286" i="5"/>
  <c r="C287" i="5"/>
  <c r="D287" i="5"/>
  <c r="E287" i="5"/>
  <c r="C288" i="5"/>
  <c r="D288" i="5"/>
  <c r="E288" i="5"/>
  <c r="C289" i="5"/>
  <c r="D289" i="5"/>
  <c r="E289" i="5"/>
  <c r="C290" i="5"/>
  <c r="D290" i="5"/>
  <c r="E290" i="5"/>
  <c r="Y290" i="5"/>
  <c r="C291" i="5"/>
  <c r="D291" i="5"/>
  <c r="E291" i="5"/>
  <c r="C292" i="5"/>
  <c r="D292" i="5"/>
  <c r="E292" i="5"/>
  <c r="C293" i="5"/>
  <c r="D293" i="5"/>
  <c r="E293" i="5"/>
  <c r="Y293" i="5"/>
  <c r="C294" i="5"/>
  <c r="D294" i="5"/>
  <c r="E294" i="5"/>
  <c r="Y294" i="5"/>
  <c r="C295" i="5"/>
  <c r="D295" i="5"/>
  <c r="E295" i="5"/>
  <c r="C296" i="5"/>
  <c r="D296" i="5"/>
  <c r="E296" i="5"/>
  <c r="C297" i="5"/>
  <c r="D297" i="5"/>
  <c r="E297" i="5"/>
  <c r="AB297" i="5"/>
  <c r="C298" i="5"/>
  <c r="D298" i="5"/>
  <c r="E298" i="5"/>
  <c r="Y298" i="5"/>
  <c r="C299" i="5"/>
  <c r="D299" i="5"/>
  <c r="E299" i="5"/>
  <c r="C300" i="5"/>
  <c r="D300" i="5"/>
  <c r="E300" i="5"/>
  <c r="C301" i="5"/>
  <c r="D301" i="5"/>
  <c r="E301" i="5"/>
  <c r="Y301" i="5"/>
  <c r="C302" i="5"/>
  <c r="D302" i="5"/>
  <c r="E302" i="5"/>
  <c r="Y302" i="5"/>
  <c r="C303" i="5"/>
  <c r="D303" i="5"/>
  <c r="E303" i="5"/>
  <c r="C304" i="5"/>
  <c r="D304" i="5"/>
  <c r="E304" i="5"/>
  <c r="C305" i="5"/>
  <c r="D305" i="5"/>
  <c r="E305" i="5"/>
  <c r="Y305" i="5"/>
  <c r="C306" i="5"/>
  <c r="D306" i="5"/>
  <c r="E306" i="5"/>
  <c r="Y306" i="5"/>
  <c r="C307" i="5"/>
  <c r="D307" i="5"/>
  <c r="E307" i="5"/>
  <c r="C308" i="5"/>
  <c r="D308" i="5"/>
  <c r="E308" i="5"/>
  <c r="C309" i="5"/>
  <c r="D309" i="5"/>
  <c r="E309" i="5"/>
  <c r="Y309" i="5"/>
  <c r="C310" i="5"/>
  <c r="D310" i="5"/>
  <c r="E310" i="5"/>
  <c r="Y310" i="5"/>
  <c r="C311" i="5"/>
  <c r="D311" i="5"/>
  <c r="E311" i="5"/>
  <c r="E11" i="8"/>
  <c r="F11" i="8"/>
  <c r="G11" i="8"/>
  <c r="H11" i="8"/>
  <c r="I11" i="8"/>
  <c r="D11" i="8"/>
  <c r="A11" i="8"/>
  <c r="J284" i="5"/>
  <c r="BB281" i="5"/>
  <c r="AM258" i="5"/>
  <c r="AM212" i="5"/>
  <c r="J212" i="5"/>
  <c r="BB209" i="5"/>
  <c r="AK200" i="5"/>
  <c r="J200" i="5"/>
  <c r="AK164" i="5"/>
  <c r="AL164" i="5" s="1"/>
  <c r="J164" i="5"/>
  <c r="AV144" i="5"/>
  <c r="J140" i="5"/>
  <c r="BB124" i="5"/>
  <c r="BB293" i="5"/>
  <c r="J293" i="5"/>
  <c r="BB286" i="5"/>
  <c r="J286" i="5"/>
  <c r="BB274" i="5"/>
  <c r="AM271" i="5"/>
  <c r="J271" i="5"/>
  <c r="J253" i="5"/>
  <c r="J250" i="5"/>
  <c r="AK246" i="5"/>
  <c r="AK241" i="5"/>
  <c r="J241" i="5"/>
  <c r="AK238" i="5"/>
  <c r="J238" i="5"/>
  <c r="J229" i="5"/>
  <c r="AV218" i="5"/>
  <c r="AM208" i="5"/>
  <c r="J208" i="5"/>
  <c r="AV206" i="5"/>
  <c r="J206" i="5"/>
  <c r="BB203" i="5"/>
  <c r="J203" i="5"/>
  <c r="J196" i="5"/>
  <c r="AK194" i="5"/>
  <c r="J194" i="5"/>
  <c r="AK191" i="5"/>
  <c r="AL191" i="5" s="1"/>
  <c r="AV182" i="5"/>
  <c r="BB181" i="5"/>
  <c r="BC181" i="5" s="1"/>
  <c r="J177" i="5"/>
  <c r="J174" i="5"/>
  <c r="AM169" i="5"/>
  <c r="AV167" i="5"/>
  <c r="J153" i="5"/>
  <c r="J148" i="5"/>
  <c r="BB144" i="5"/>
  <c r="J143" i="5"/>
  <c r="AK139" i="5"/>
  <c r="J139" i="5"/>
  <c r="J137" i="5"/>
  <c r="J132" i="5"/>
  <c r="J128" i="5"/>
  <c r="J120" i="5"/>
  <c r="J116" i="5"/>
  <c r="AK112" i="5"/>
  <c r="J112" i="5"/>
  <c r="AK236" i="5"/>
  <c r="AK234" i="5"/>
  <c r="J234" i="5"/>
  <c r="AM222" i="5"/>
  <c r="J222" i="5"/>
  <c r="AM192" i="5"/>
  <c r="J192" i="5"/>
  <c r="AK158" i="5"/>
  <c r="J158" i="5"/>
  <c r="AK129" i="5"/>
  <c r="J129" i="5"/>
  <c r="BB117" i="5"/>
  <c r="J117" i="5"/>
  <c r="BB277" i="5"/>
  <c r="J277" i="5"/>
  <c r="AV249" i="5"/>
  <c r="AK240" i="5"/>
  <c r="BB235" i="5"/>
  <c r="J235" i="5"/>
  <c r="AK232" i="5"/>
  <c r="J232" i="5"/>
  <c r="AK228" i="5"/>
  <c r="J228" i="5"/>
  <c r="AV224" i="5"/>
  <c r="J224" i="5"/>
  <c r="J217" i="5"/>
  <c r="AM210" i="5"/>
  <c r="J210" i="5"/>
  <c r="AM207" i="5"/>
  <c r="AK199" i="5"/>
  <c r="AV184" i="5"/>
  <c r="J184" i="5"/>
  <c r="AK176" i="5"/>
  <c r="AK171" i="5"/>
  <c r="J171" i="5"/>
  <c r="J160" i="5"/>
  <c r="AK156" i="5"/>
  <c r="AL156" i="5" s="1"/>
  <c r="AK152" i="5"/>
  <c r="J152" i="5"/>
  <c r="AK144" i="5"/>
  <c r="AK138" i="5"/>
  <c r="AV136" i="5"/>
  <c r="J136" i="5"/>
  <c r="BB133" i="5"/>
  <c r="BC133" i="5" s="1"/>
  <c r="J133" i="5"/>
  <c r="AM127" i="5"/>
  <c r="J127" i="5"/>
  <c r="AK111" i="5"/>
  <c r="J111" i="5"/>
  <c r="BB294" i="5"/>
  <c r="BC294" i="5" s="1"/>
  <c r="AK254" i="5"/>
  <c r="J254" i="5"/>
  <c r="J251" i="5"/>
  <c r="AM175" i="5"/>
  <c r="J175" i="5"/>
  <c r="AK126" i="5"/>
  <c r="J126" i="5"/>
  <c r="J305" i="5"/>
  <c r="BB297" i="5"/>
  <c r="J300" i="5"/>
  <c r="J292" i="5"/>
  <c r="BB285" i="5"/>
  <c r="BB280" i="5"/>
  <c r="J280" i="5"/>
  <c r="BB273" i="5"/>
  <c r="J270" i="5"/>
  <c r="AK309" i="5"/>
  <c r="AL309" i="5" s="1"/>
  <c r="AM303" i="5"/>
  <c r="J303" i="5"/>
  <c r="AM291" i="5"/>
  <c r="J291" i="5"/>
  <c r="J264" i="5"/>
  <c r="AK262" i="5"/>
  <c r="J255" i="5"/>
  <c r="AK242" i="5"/>
  <c r="BB239" i="5"/>
  <c r="BB234" i="5"/>
  <c r="BB231" i="5"/>
  <c r="Z220" i="5"/>
  <c r="BB220" i="5"/>
  <c r="J220" i="5"/>
  <c r="J216" i="5"/>
  <c r="BB213" i="5"/>
  <c r="J213" i="5"/>
  <c r="AB212" i="5"/>
  <c r="AV204" i="5"/>
  <c r="AV201" i="5"/>
  <c r="AK195" i="5"/>
  <c r="J189" i="5"/>
  <c r="BB187" i="5"/>
  <c r="BC187" i="5" s="1"/>
  <c r="J187" i="5"/>
  <c r="BB179" i="5"/>
  <c r="BC179" i="5" s="1"/>
  <c r="J178" i="5"/>
  <c r="AV172" i="5"/>
  <c r="AW172" i="5" s="1"/>
  <c r="J170" i="5"/>
  <c r="J168" i="5"/>
  <c r="AV162" i="5"/>
  <c r="J162" i="5"/>
  <c r="BB155" i="5"/>
  <c r="J155" i="5"/>
  <c r="AK149" i="5"/>
  <c r="J146" i="5"/>
  <c r="BB135" i="5"/>
  <c r="AK130" i="5"/>
  <c r="J130" i="5"/>
  <c r="AK114" i="5"/>
  <c r="J114" i="5"/>
  <c r="Z188" i="5"/>
  <c r="Y144" i="5"/>
  <c r="Y132" i="5"/>
  <c r="AK277" i="5"/>
  <c r="AB273" i="5"/>
  <c r="BB222" i="5"/>
  <c r="BB199" i="5"/>
  <c r="BB167" i="5"/>
  <c r="Y130" i="5"/>
  <c r="Z228" i="5"/>
  <c r="BB206" i="5"/>
  <c r="BC206" i="5" s="1"/>
  <c r="AM182" i="5"/>
  <c r="AV171" i="5"/>
  <c r="AV169" i="5"/>
  <c r="BB168" i="5"/>
  <c r="BB159" i="5"/>
  <c r="BB136" i="5"/>
  <c r="AV286" i="5"/>
  <c r="AW286" i="5" s="1"/>
  <c r="AB242" i="5"/>
  <c r="AB208" i="5"/>
  <c r="AM206" i="5"/>
  <c r="AM199" i="5"/>
  <c r="AB159" i="5"/>
  <c r="AV156" i="5"/>
  <c r="AB136" i="5"/>
  <c r="AV294" i="5"/>
  <c r="Y278" i="5"/>
  <c r="AV256" i="5"/>
  <c r="AW256" i="5" s="1"/>
  <c r="AV253" i="5"/>
  <c r="Z208" i="5"/>
  <c r="AM203" i="5"/>
  <c r="Z199" i="5"/>
  <c r="BB197" i="5"/>
  <c r="BB176" i="5"/>
  <c r="BC176" i="5" s="1"/>
  <c r="AV158" i="5"/>
  <c r="BB149" i="5"/>
  <c r="AB240" i="5"/>
  <c r="Z240" i="5"/>
  <c r="AV214" i="5"/>
  <c r="AM183" i="5"/>
  <c r="BB183" i="5"/>
  <c r="AK299" i="5"/>
  <c r="BB290" i="5"/>
  <c r="BC290" i="5" s="1"/>
  <c r="AV290" i="5"/>
  <c r="BB282" i="5"/>
  <c r="AV282" i="5"/>
  <c r="AB266" i="5"/>
  <c r="AK261" i="5"/>
  <c r="AK255" i="5"/>
  <c r="AB227" i="5"/>
  <c r="Z227" i="5"/>
  <c r="Z206" i="5"/>
  <c r="BB298" i="5"/>
  <c r="AV298" i="5"/>
  <c r="AW298" i="5" s="1"/>
  <c r="BB289" i="5"/>
  <c r="AM289" i="5"/>
  <c r="BB278" i="5"/>
  <c r="BC278" i="5" s="1"/>
  <c r="AV278" i="5"/>
  <c r="AK278" i="5"/>
  <c r="AK264" i="5"/>
  <c r="AL264" i="5" s="1"/>
  <c r="AB253" i="5"/>
  <c r="AB236" i="5"/>
  <c r="Y236" i="5"/>
  <c r="AM215" i="5"/>
  <c r="AV202" i="5"/>
  <c r="AM202" i="5"/>
  <c r="Z200" i="5"/>
  <c r="AM166" i="5"/>
  <c r="Z161" i="5"/>
  <c r="Y161" i="5"/>
  <c r="AM157" i="5"/>
  <c r="AM146" i="5"/>
  <c r="BB146" i="5"/>
  <c r="AV146" i="5"/>
  <c r="BB305" i="5"/>
  <c r="AK305" i="5"/>
  <c r="AM265" i="5"/>
  <c r="AV265" i="5"/>
  <c r="AB254" i="5"/>
  <c r="AK226" i="5"/>
  <c r="BB226" i="5"/>
  <c r="AV180" i="5"/>
  <c r="BB180" i="5"/>
  <c r="AK180" i="5"/>
  <c r="AM297" i="5"/>
  <c r="AV280" i="5"/>
  <c r="AV270" i="5"/>
  <c r="Z242" i="5"/>
  <c r="AB229" i="5"/>
  <c r="Z225" i="5"/>
  <c r="AK206" i="5"/>
  <c r="BB200" i="5"/>
  <c r="BB195" i="5"/>
  <c r="AB163" i="5"/>
  <c r="AV274" i="5"/>
  <c r="BB241" i="5"/>
  <c r="AM162" i="5"/>
  <c r="AV152" i="5"/>
  <c r="AK127" i="5"/>
  <c r="AM310" i="5"/>
  <c r="Y289" i="5"/>
  <c r="Z241" i="5"/>
  <c r="AB241" i="5"/>
  <c r="Z196" i="5"/>
  <c r="Y196" i="5"/>
  <c r="AV153" i="5"/>
  <c r="AM153" i="5"/>
  <c r="AV120" i="5"/>
  <c r="AM120" i="5"/>
  <c r="BB120" i="5"/>
  <c r="AM306" i="5"/>
  <c r="BB302" i="5"/>
  <c r="AM293" i="5"/>
  <c r="AB279" i="5"/>
  <c r="BB266" i="5"/>
  <c r="AV266" i="5"/>
  <c r="AK266" i="5"/>
  <c r="BB250" i="5"/>
  <c r="AK250" i="5"/>
  <c r="Y213" i="5"/>
  <c r="AB213" i="5"/>
  <c r="AK184" i="5"/>
  <c r="BB184" i="5"/>
  <c r="AM184" i="5"/>
  <c r="AB134" i="5"/>
  <c r="AM302" i="5"/>
  <c r="AB299" i="5"/>
  <c r="BB295" i="5"/>
  <c r="AK293" i="5"/>
  <c r="AB289" i="5"/>
  <c r="AM285" i="5"/>
  <c r="Y280" i="5"/>
  <c r="AM257" i="5"/>
  <c r="AV257" i="5"/>
  <c r="AW257" i="5" s="1"/>
  <c r="BB238" i="5"/>
  <c r="BB230" i="5"/>
  <c r="AV221" i="5"/>
  <c r="AK190" i="5"/>
  <c r="AL190" i="5" s="1"/>
  <c r="AM190" i="5"/>
  <c r="Y183" i="5"/>
  <c r="AB183" i="5"/>
  <c r="Z183" i="5"/>
  <c r="Y151" i="5"/>
  <c r="Z151" i="5"/>
  <c r="AB146" i="5"/>
  <c r="Y146" i="5"/>
  <c r="AM128" i="5"/>
  <c r="AK128" i="5"/>
  <c r="AL128" i="5" s="1"/>
  <c r="AK302" i="5"/>
  <c r="Y297" i="5"/>
  <c r="AV288" i="5"/>
  <c r="AK285" i="5"/>
  <c r="AM266" i="5"/>
  <c r="AV261" i="5"/>
  <c r="AW261" i="5" s="1"/>
  <c r="AB258" i="5"/>
  <c r="AB225" i="5"/>
  <c r="Y225" i="5"/>
  <c r="Z213" i="5"/>
  <c r="AV208" i="5"/>
  <c r="Z175" i="5"/>
  <c r="BB150" i="5"/>
  <c r="Z140" i="5"/>
  <c r="AB140" i="5"/>
  <c r="Y140" i="5"/>
  <c r="AM124" i="5"/>
  <c r="AV124" i="5"/>
  <c r="AK204" i="5"/>
  <c r="BB204" i="5"/>
  <c r="Y202" i="5"/>
  <c r="AV142" i="5"/>
  <c r="AM136" i="5"/>
  <c r="Y238" i="5"/>
  <c r="AB238" i="5"/>
  <c r="AV215" i="5"/>
  <c r="AK189" i="5"/>
  <c r="BB189" i="5"/>
  <c r="AB179" i="5"/>
  <c r="AV160" i="5"/>
  <c r="BB160" i="5"/>
  <c r="AM158" i="5"/>
  <c r="AM156" i="5"/>
  <c r="AM148" i="5"/>
  <c r="AK148" i="5"/>
  <c r="AK136" i="5"/>
  <c r="AB113" i="5"/>
  <c r="AB302" i="5"/>
  <c r="AK297" i="5"/>
  <c r="AB293" i="5"/>
  <c r="AK289" i="5"/>
  <c r="AB285" i="5"/>
  <c r="AK282" i="5"/>
  <c r="AK281" i="5"/>
  <c r="AB277" i="5"/>
  <c r="AK274" i="5"/>
  <c r="AK273" i="5"/>
  <c r="AB261" i="5"/>
  <c r="BB258" i="5"/>
  <c r="AK258" i="5"/>
  <c r="AK253" i="5"/>
  <c r="Y240" i="5"/>
  <c r="Y235" i="5"/>
  <c r="AK229" i="5"/>
  <c r="BB229" i="5"/>
  <c r="Y228" i="5"/>
  <c r="Y227" i="5"/>
  <c r="AB220" i="5"/>
  <c r="Y220" i="5"/>
  <c r="Y212" i="5"/>
  <c r="Z212" i="5"/>
  <c r="Z209" i="5"/>
  <c r="AM204" i="5"/>
  <c r="AM200" i="5"/>
  <c r="Y199" i="5"/>
  <c r="Y188" i="5"/>
  <c r="AM180" i="5"/>
  <c r="Z179" i="5"/>
  <c r="AV177" i="5"/>
  <c r="AV168" i="5"/>
  <c r="AK168" i="5"/>
  <c r="AK167" i="5"/>
  <c r="AV163" i="5"/>
  <c r="AW163" i="5" s="1"/>
  <c r="AK160" i="5"/>
  <c r="AV148" i="5"/>
  <c r="AM144" i="5"/>
  <c r="AK118" i="5"/>
  <c r="Z113" i="5"/>
  <c r="AB257" i="5"/>
  <c r="Y250" i="5"/>
  <c r="Z250" i="5"/>
  <c r="AB243" i="5"/>
  <c r="Z243" i="5"/>
  <c r="Y232" i="5"/>
  <c r="AB231" i="5"/>
  <c r="Z231" i="5"/>
  <c r="AM217" i="5"/>
  <c r="BB217" i="5"/>
  <c r="BB216" i="5"/>
  <c r="AM211" i="5"/>
  <c r="BB185" i="5"/>
  <c r="AK185" i="5"/>
  <c r="AM185" i="5"/>
  <c r="AV178" i="5"/>
  <c r="AM178" i="5"/>
  <c r="Z147" i="5"/>
  <c r="AB147" i="5"/>
  <c r="Y147" i="5"/>
  <c r="AB131" i="5"/>
  <c r="Y131" i="5"/>
  <c r="AK116" i="5"/>
  <c r="BB116" i="5"/>
  <c r="Z111" i="5"/>
  <c r="Y111" i="5"/>
  <c r="AM111" i="5"/>
  <c r="BB311" i="5"/>
  <c r="AB311" i="5"/>
  <c r="AK310" i="5"/>
  <c r="AM307" i="5"/>
  <c r="BB306" i="5"/>
  <c r="AB306" i="5"/>
  <c r="BB270" i="5"/>
  <c r="AK270" i="5"/>
  <c r="Z249" i="5"/>
  <c r="AB249" i="5"/>
  <c r="AB248" i="5"/>
  <c r="AB232" i="5"/>
  <c r="Y231" i="5"/>
  <c r="BB178" i="5"/>
  <c r="Y143" i="5"/>
  <c r="AB143" i="5"/>
  <c r="AB305" i="5"/>
  <c r="AV281" i="5"/>
  <c r="AV277" i="5"/>
  <c r="AV275" i="5"/>
  <c r="AV273" i="5"/>
  <c r="AW273" i="5" s="1"/>
  <c r="Y269" i="5"/>
  <c r="AV269" i="5"/>
  <c r="AB265" i="5"/>
  <c r="BB265" i="5"/>
  <c r="AK265" i="5"/>
  <c r="BB257" i="5"/>
  <c r="AK257" i="5"/>
  <c r="AB250" i="5"/>
  <c r="AV250" i="5"/>
  <c r="AM250" i="5"/>
  <c r="Z248" i="5"/>
  <c r="AB246" i="5"/>
  <c r="BB246" i="5"/>
  <c r="Z232" i="5"/>
  <c r="AB219" i="5"/>
  <c r="Y219" i="5"/>
  <c r="Y216" i="5"/>
  <c r="AK178" i="5"/>
  <c r="Z131" i="5"/>
  <c r="AM131" i="5"/>
  <c r="AV131" i="5"/>
  <c r="AK131" i="5"/>
  <c r="BB131" i="5"/>
  <c r="AB115" i="5"/>
  <c r="Y114" i="5"/>
  <c r="AB114" i="5"/>
  <c r="AB111" i="5"/>
  <c r="BB310" i="5"/>
  <c r="AB310" i="5"/>
  <c r="AB309" i="5"/>
  <c r="AK306" i="5"/>
  <c r="AB301" i="5"/>
  <c r="AK298" i="5"/>
  <c r="AV297" i="5"/>
  <c r="AK294" i="5"/>
  <c r="AV293" i="5"/>
  <c r="AK290" i="5"/>
  <c r="AV289" i="5"/>
  <c r="AK286" i="5"/>
  <c r="AV285" i="5"/>
  <c r="AB283" i="5"/>
  <c r="AM281" i="5"/>
  <c r="AM277" i="5"/>
  <c r="AM275" i="5"/>
  <c r="AM273" i="5"/>
  <c r="AM270" i="5"/>
  <c r="AM269" i="5"/>
  <c r="AV255" i="5"/>
  <c r="AV246" i="5"/>
  <c r="Z245" i="5"/>
  <c r="AK233" i="5"/>
  <c r="BB233" i="5"/>
  <c r="BB224" i="5"/>
  <c r="AK224" i="5"/>
  <c r="AV217" i="5"/>
  <c r="AB216" i="5"/>
  <c r="BB186" i="5"/>
  <c r="AK181" i="5"/>
  <c r="AV181" i="5"/>
  <c r="AK172" i="5"/>
  <c r="BB172" i="5"/>
  <c r="BC172" i="5" s="1"/>
  <c r="AM172" i="5"/>
  <c r="Y164" i="5"/>
  <c r="Z164" i="5"/>
  <c r="AB164" i="5"/>
  <c r="Z143" i="5"/>
  <c r="AV143" i="5"/>
  <c r="AW143" i="5" s="1"/>
  <c r="AB138" i="5"/>
  <c r="AK210" i="5"/>
  <c r="BB210" i="5"/>
  <c r="AK196" i="5"/>
  <c r="AM196" i="5"/>
  <c r="Y179" i="5"/>
  <c r="AM176" i="5"/>
  <c r="AV176" i="5"/>
  <c r="AM135" i="5"/>
  <c r="AV135" i="5"/>
  <c r="AK135" i="5"/>
  <c r="AM133" i="5"/>
  <c r="AK133" i="5"/>
  <c r="AL133" i="5" s="1"/>
  <c r="AV133" i="5"/>
  <c r="AV123" i="5"/>
  <c r="AK123" i="5"/>
  <c r="AM119" i="5"/>
  <c r="AV119" i="5"/>
  <c r="AK119" i="5"/>
  <c r="BB119" i="5"/>
  <c r="AV258" i="5"/>
  <c r="AV210" i="5"/>
  <c r="Z210" i="5"/>
  <c r="Y201" i="5"/>
  <c r="AB198" i="5"/>
  <c r="Z198" i="5"/>
  <c r="BB196" i="5"/>
  <c r="AB192" i="5"/>
  <c r="Y192" i="5"/>
  <c r="AK153" i="5"/>
  <c r="BB153" i="5"/>
  <c r="AB152" i="5"/>
  <c r="BB152" i="5"/>
  <c r="AV149" i="5"/>
  <c r="AB142" i="5"/>
  <c r="AB135" i="5"/>
  <c r="Y135" i="5"/>
  <c r="Y133" i="5"/>
  <c r="AB133" i="5"/>
  <c r="BB123" i="5"/>
  <c r="AB119" i="5"/>
  <c r="Y119" i="5"/>
  <c r="AM194" i="5"/>
  <c r="BB148" i="5"/>
  <c r="AK124" i="5"/>
  <c r="AK120" i="5"/>
  <c r="BB171" i="5"/>
  <c r="BB268" i="5"/>
  <c r="AV268" i="5"/>
  <c r="BB252" i="5"/>
  <c r="BC252" i="5" s="1"/>
  <c r="AV248" i="5"/>
  <c r="AM225" i="5"/>
  <c r="AK225" i="5"/>
  <c r="AM301" i="5"/>
  <c r="AV301" i="5"/>
  <c r="BB248" i="5"/>
  <c r="AK245" i="5"/>
  <c r="AV245" i="5"/>
  <c r="AM309" i="5"/>
  <c r="AV309" i="5"/>
  <c r="AW309" i="5" s="1"/>
  <c r="BB301" i="5"/>
  <c r="AV243" i="5"/>
  <c r="AM219" i="5"/>
  <c r="BB219" i="5"/>
  <c r="AV219" i="5"/>
  <c r="AK219" i="5"/>
  <c r="BB309" i="5"/>
  <c r="AM305" i="5"/>
  <c r="AV305" i="5"/>
  <c r="AK301" i="5"/>
  <c r="AL301" i="5" s="1"/>
  <c r="AB207" i="5"/>
  <c r="AB194" i="5"/>
  <c r="Y158" i="5"/>
  <c r="AB158" i="5"/>
  <c r="AM155" i="5"/>
  <c r="AK155" i="5"/>
  <c r="AK147" i="5"/>
  <c r="AV147" i="5"/>
  <c r="AW147" i="5" s="1"/>
  <c r="Z139" i="5"/>
  <c r="AB139" i="5"/>
  <c r="Y139" i="5"/>
  <c r="BB262" i="5"/>
  <c r="AM262" i="5"/>
  <c r="BB254" i="5"/>
  <c r="AM254" i="5"/>
  <c r="Z238" i="5"/>
  <c r="AM220" i="5"/>
  <c r="AV220" i="5"/>
  <c r="AK213" i="5"/>
  <c r="AV213" i="5"/>
  <c r="BB201" i="5"/>
  <c r="AK201" i="5"/>
  <c r="AK188" i="5"/>
  <c r="BB188" i="5"/>
  <c r="BC188" i="5" s="1"/>
  <c r="Z158" i="5"/>
  <c r="Y128" i="5"/>
  <c r="AV306" i="5"/>
  <c r="AW306" i="5" s="1"/>
  <c r="BB267" i="5"/>
  <c r="BC267" i="5" s="1"/>
  <c r="AK267" i="5"/>
  <c r="AL267" i="5" s="1"/>
  <c r="AV262" i="5"/>
  <c r="AK259" i="5"/>
  <c r="AV254" i="5"/>
  <c r="AK251" i="5"/>
  <c r="Y249" i="5"/>
  <c r="Y246" i="5"/>
  <c r="AM246" i="5"/>
  <c r="AR246" i="5" s="1"/>
  <c r="BB236" i="5"/>
  <c r="AM234" i="5"/>
  <c r="AB234" i="5"/>
  <c r="BB232" i="5"/>
  <c r="BB228" i="5"/>
  <c r="AB226" i="5"/>
  <c r="AB224" i="5"/>
  <c r="Y224" i="5"/>
  <c r="Z215" i="5"/>
  <c r="AK215" i="5"/>
  <c r="AL215" i="5" s="1"/>
  <c r="Y204" i="5"/>
  <c r="AB204" i="5"/>
  <c r="AM201" i="5"/>
  <c r="AM198" i="5"/>
  <c r="AB197" i="5"/>
  <c r="AB195" i="5"/>
  <c r="Y195" i="5"/>
  <c r="AB190" i="5"/>
  <c r="Z190" i="5"/>
  <c r="AV175" i="5"/>
  <c r="Z162" i="5"/>
  <c r="AB162" i="5"/>
  <c r="Y162" i="5"/>
  <c r="Y157" i="5"/>
  <c r="AB157" i="5"/>
  <c r="AB149" i="5"/>
  <c r="Y149" i="5"/>
  <c r="AB145" i="5"/>
  <c r="Z145" i="5"/>
  <c r="Y145" i="5"/>
  <c r="Y129" i="5"/>
  <c r="AM122" i="5"/>
  <c r="BB122" i="5"/>
  <c r="Y211" i="5"/>
  <c r="AB211" i="5"/>
  <c r="Z194" i="5"/>
  <c r="AK183" i="5"/>
  <c r="AV183" i="5"/>
  <c r="Z163" i="5"/>
  <c r="Y163" i="5"/>
  <c r="AK141" i="5"/>
  <c r="AB300" i="5"/>
  <c r="Z223" i="5"/>
  <c r="Z222" i="5"/>
  <c r="AK222" i="5"/>
  <c r="Y222" i="5"/>
  <c r="Z221" i="5"/>
  <c r="AM216" i="5"/>
  <c r="AK216" i="5"/>
  <c r="AV216" i="5"/>
  <c r="Z211" i="5"/>
  <c r="Y210" i="5"/>
  <c r="AB210" i="5"/>
  <c r="AK209" i="5"/>
  <c r="Y206" i="5"/>
  <c r="AB206" i="5"/>
  <c r="AK203" i="5"/>
  <c r="AV203" i="5"/>
  <c r="AB200" i="5"/>
  <c r="Y200" i="5"/>
  <c r="Y194" i="5"/>
  <c r="AB193" i="5"/>
  <c r="AK192" i="5"/>
  <c r="BB192" i="5"/>
  <c r="BC192" i="5" s="1"/>
  <c r="AV166" i="5"/>
  <c r="Y156" i="5"/>
  <c r="Z156" i="5"/>
  <c r="AV155" i="5"/>
  <c r="AV121" i="5"/>
  <c r="BB121" i="5"/>
  <c r="AK121" i="5"/>
  <c r="AM121" i="5"/>
  <c r="Z116" i="5"/>
  <c r="AB116" i="5"/>
  <c r="Y116" i="5"/>
  <c r="AV310" i="5"/>
  <c r="AV302" i="5"/>
  <c r="AV303" i="5"/>
  <c r="AM298" i="5"/>
  <c r="AM296" i="5"/>
  <c r="AM294" i="5"/>
  <c r="AM290" i="5"/>
  <c r="AM288" i="5"/>
  <c r="AM286" i="5"/>
  <c r="AM282" i="5"/>
  <c r="AM280" i="5"/>
  <c r="AM278" i="5"/>
  <c r="AM274" i="5"/>
  <c r="AM272" i="5"/>
  <c r="BB269" i="5"/>
  <c r="AK269" i="5"/>
  <c r="BB264" i="5"/>
  <c r="BB261" i="5"/>
  <c r="AM261" i="5"/>
  <c r="AV259" i="5"/>
  <c r="BB255" i="5"/>
  <c r="BC255" i="5" s="1"/>
  <c r="BB253" i="5"/>
  <c r="AM253" i="5"/>
  <c r="AK249" i="5"/>
  <c r="Y245" i="5"/>
  <c r="Y241" i="5"/>
  <c r="AK235" i="5"/>
  <c r="Z233" i="5"/>
  <c r="AK231" i="5"/>
  <c r="Z229" i="5"/>
  <c r="AK227" i="5"/>
  <c r="Y226" i="5"/>
  <c r="Z224" i="5"/>
  <c r="Y223" i="5"/>
  <c r="Y221" i="5"/>
  <c r="AK220" i="5"/>
  <c r="AB215" i="5"/>
  <c r="AK212" i="5"/>
  <c r="BB212" i="5"/>
  <c r="AK208" i="5"/>
  <c r="BB208" i="5"/>
  <c r="Z205" i="5"/>
  <c r="AK202" i="5"/>
  <c r="BB202" i="5"/>
  <c r="Z197" i="5"/>
  <c r="AB196" i="5"/>
  <c r="Y193" i="5"/>
  <c r="AB191" i="5"/>
  <c r="AM191" i="5"/>
  <c r="AB187" i="5"/>
  <c r="Z187" i="5"/>
  <c r="AK179" i="5"/>
  <c r="AV179" i="5"/>
  <c r="Y178" i="5"/>
  <c r="AM174" i="5"/>
  <c r="AK174" i="5"/>
  <c r="AV174" i="5"/>
  <c r="BB174" i="5"/>
  <c r="AK165" i="5"/>
  <c r="AV165" i="5"/>
  <c r="BB165" i="5"/>
  <c r="BC165" i="5" s="1"/>
  <c r="AM165" i="5"/>
  <c r="BB164" i="5"/>
  <c r="AV164" i="5"/>
  <c r="Y160" i="5"/>
  <c r="AB160" i="5"/>
  <c r="Z160" i="5"/>
  <c r="Z149" i="5"/>
  <c r="AM137" i="5"/>
  <c r="AV137" i="5"/>
  <c r="AK137" i="5"/>
  <c r="BB137" i="5"/>
  <c r="Y117" i="5"/>
  <c r="AO117" i="5" s="1"/>
  <c r="AQ117" i="5" s="1"/>
  <c r="Z117" i="5"/>
  <c r="AV170" i="5"/>
  <c r="AV154" i="5"/>
  <c r="AK151" i="5"/>
  <c r="BB151" i="5"/>
  <c r="AB148" i="5"/>
  <c r="BB140" i="5"/>
  <c r="AV140" i="5"/>
  <c r="AB126" i="5"/>
  <c r="Y126" i="5"/>
  <c r="Z118" i="5"/>
  <c r="AK223" i="5"/>
  <c r="AV222" i="5"/>
  <c r="AK221" i="5"/>
  <c r="AK217" i="5"/>
  <c r="BB215" i="5"/>
  <c r="BB190" i="5"/>
  <c r="AK187" i="5"/>
  <c r="AM187" i="5"/>
  <c r="AM181" i="5"/>
  <c r="AM177" i="5"/>
  <c r="BB170" i="5"/>
  <c r="AK169" i="5"/>
  <c r="BB169" i="5"/>
  <c r="AK162" i="5"/>
  <c r="BB158" i="5"/>
  <c r="AV157" i="5"/>
  <c r="BB156" i="5"/>
  <c r="AV151" i="5"/>
  <c r="Y148" i="5"/>
  <c r="Z142" i="5"/>
  <c r="Y142" i="5"/>
  <c r="AK140" i="5"/>
  <c r="AM130" i="5"/>
  <c r="AV130" i="5"/>
  <c r="BB130" i="5"/>
  <c r="AB127" i="5"/>
  <c r="Y127" i="5"/>
  <c r="AK125" i="5"/>
  <c r="AM125" i="5"/>
  <c r="AB124" i="5"/>
  <c r="Y155" i="5"/>
  <c r="AM145" i="5"/>
  <c r="Y136" i="5"/>
  <c r="AV134" i="5"/>
  <c r="AM132" i="5"/>
  <c r="AV132" i="5"/>
  <c r="AK163" i="5"/>
  <c r="AK159" i="5"/>
  <c r="Z155" i="5"/>
  <c r="Y152" i="5"/>
  <c r="AK146" i="5"/>
  <c r="BB143" i="5"/>
  <c r="AK143" i="5"/>
  <c r="BB142" i="5"/>
  <c r="AK142" i="5"/>
  <c r="BB132" i="5"/>
  <c r="AK132" i="5"/>
  <c r="Z130" i="5"/>
  <c r="AM126" i="5"/>
  <c r="Y115" i="5"/>
  <c r="BD278" i="5"/>
  <c r="Z294" i="5"/>
  <c r="Z286" i="5"/>
  <c r="Z272" i="5"/>
  <c r="Z270" i="5"/>
  <c r="Z268" i="5"/>
  <c r="Y266" i="5"/>
  <c r="Z266" i="5"/>
  <c r="Y264" i="5"/>
  <c r="Z264" i="5"/>
  <c r="Y262" i="5"/>
  <c r="Z262" i="5"/>
  <c r="Y258" i="5"/>
  <c r="Z258" i="5"/>
  <c r="Y254" i="5"/>
  <c r="Z254" i="5"/>
  <c r="Z252" i="5"/>
  <c r="BB247" i="5"/>
  <c r="AM242" i="5"/>
  <c r="AV242" i="5"/>
  <c r="AM240" i="5"/>
  <c r="AV240" i="5"/>
  <c r="AM249" i="5"/>
  <c r="BB249" i="5"/>
  <c r="Z298" i="5"/>
  <c r="Z290" i="5"/>
  <c r="Z284" i="5"/>
  <c r="Z280" i="5"/>
  <c r="Z309" i="5"/>
  <c r="Z306" i="5"/>
  <c r="Z305" i="5"/>
  <c r="Z303" i="5"/>
  <c r="Z302" i="5"/>
  <c r="Z301" i="5"/>
  <c r="Z300" i="5"/>
  <c r="BB299" i="5"/>
  <c r="AM245" i="5"/>
  <c r="BB245" i="5"/>
  <c r="BB242" i="5"/>
  <c r="BC242" i="5" s="1"/>
  <c r="BB240" i="5"/>
  <c r="Z296" i="5"/>
  <c r="Z288" i="5"/>
  <c r="Z282" i="5"/>
  <c r="Z278" i="5"/>
  <c r="Z274" i="5"/>
  <c r="Z310" i="5"/>
  <c r="Z308" i="5"/>
  <c r="Z299" i="5"/>
  <c r="AB298" i="5"/>
  <c r="Z297" i="5"/>
  <c r="AB296" i="5"/>
  <c r="AB294" i="5"/>
  <c r="Z293" i="5"/>
  <c r="AB290" i="5"/>
  <c r="Z289" i="5"/>
  <c r="AB288" i="5"/>
  <c r="AB286" i="5"/>
  <c r="Z285" i="5"/>
  <c r="AB284" i="5"/>
  <c r="Z283" i="5"/>
  <c r="AB282" i="5"/>
  <c r="Z281" i="5"/>
  <c r="AB280" i="5"/>
  <c r="AB278" i="5"/>
  <c r="Z277" i="5"/>
  <c r="AB276" i="5"/>
  <c r="AB274" i="5"/>
  <c r="Z273" i="5"/>
  <c r="AB272" i="5"/>
  <c r="AB270" i="5"/>
  <c r="Z269" i="5"/>
  <c r="Y267" i="5"/>
  <c r="Z267" i="5"/>
  <c r="Y265" i="5"/>
  <c r="Z265" i="5"/>
  <c r="Y263" i="5"/>
  <c r="Y261" i="5"/>
  <c r="Z261" i="5"/>
  <c r="Y259" i="5"/>
  <c r="Y257" i="5"/>
  <c r="Z257" i="5"/>
  <c r="Y255" i="5"/>
  <c r="Y253" i="5"/>
  <c r="Z253" i="5"/>
  <c r="Y251" i="5"/>
  <c r="Z251" i="5"/>
  <c r="AM243" i="5"/>
  <c r="BB243" i="5"/>
  <c r="AM241" i="5"/>
  <c r="Y185" i="5"/>
  <c r="Z185" i="5"/>
  <c r="AM248" i="5"/>
  <c r="AM224" i="5"/>
  <c r="AV239" i="5"/>
  <c r="AM238" i="5"/>
  <c r="AV238" i="5"/>
  <c r="AM236" i="5"/>
  <c r="AV236" i="5"/>
  <c r="AM235" i="5"/>
  <c r="AV235" i="5"/>
  <c r="AV234" i="5"/>
  <c r="AM233" i="5"/>
  <c r="AV233" i="5"/>
  <c r="AW233" i="5" s="1"/>
  <c r="AM232" i="5"/>
  <c r="AV232" i="5"/>
  <c r="AM231" i="5"/>
  <c r="AV231" i="5"/>
  <c r="AW231" i="5" s="1"/>
  <c r="AM230" i="5"/>
  <c r="AM229" i="5"/>
  <c r="AV229" i="5"/>
  <c r="AW229" i="5" s="1"/>
  <c r="AM228" i="5"/>
  <c r="AV228" i="5"/>
  <c r="AV227" i="5"/>
  <c r="AM226" i="5"/>
  <c r="AV226" i="5"/>
  <c r="Y184" i="5"/>
  <c r="Z184" i="5"/>
  <c r="AB184" i="5"/>
  <c r="Y176" i="5"/>
  <c r="Z176" i="5"/>
  <c r="AB176" i="5"/>
  <c r="AB165" i="5"/>
  <c r="Y165" i="5"/>
  <c r="Z165" i="5"/>
  <c r="Y181" i="5"/>
  <c r="AB181" i="5"/>
  <c r="Z181" i="5"/>
  <c r="AB167" i="5"/>
  <c r="Y167" i="5"/>
  <c r="Z167" i="5"/>
  <c r="Y180" i="5"/>
  <c r="Z180" i="5"/>
  <c r="Y177" i="5"/>
  <c r="AB177" i="5"/>
  <c r="Y173" i="5"/>
  <c r="Z173" i="5"/>
  <c r="AB169" i="5"/>
  <c r="Y169" i="5"/>
  <c r="Z169" i="5"/>
  <c r="AV200" i="5"/>
  <c r="AV199" i="5"/>
  <c r="AV198" i="5"/>
  <c r="AV197" i="5"/>
  <c r="AV196" i="5"/>
  <c r="AV195" i="5"/>
  <c r="AW195" i="5" s="1"/>
  <c r="AV194" i="5"/>
  <c r="AV192" i="5"/>
  <c r="AW192" i="5" s="1"/>
  <c r="AV191" i="5"/>
  <c r="AV190" i="5"/>
  <c r="AV189" i="5"/>
  <c r="AV188" i="5"/>
  <c r="AW188" i="5" s="1"/>
  <c r="AV187" i="5"/>
  <c r="AB180" i="5"/>
  <c r="AM164" i="5"/>
  <c r="AB174" i="5"/>
  <c r="Y174" i="5"/>
  <c r="AB172" i="5"/>
  <c r="Y172" i="5"/>
  <c r="AB170" i="5"/>
  <c r="Y170" i="5"/>
  <c r="AB168" i="5"/>
  <c r="Y168" i="5"/>
  <c r="AB166" i="5"/>
  <c r="AV186" i="5"/>
  <c r="AV185" i="5"/>
  <c r="AB178" i="5"/>
  <c r="Z174" i="5"/>
  <c r="Z172" i="5"/>
  <c r="Z170" i="5"/>
  <c r="Z168" i="5"/>
  <c r="Z166" i="5"/>
  <c r="AM151" i="5"/>
  <c r="AM149" i="5"/>
  <c r="AM143" i="5"/>
  <c r="AM139" i="5"/>
  <c r="BB139" i="5"/>
  <c r="AM152" i="5"/>
  <c r="AM150" i="5"/>
  <c r="AM141" i="5"/>
  <c r="BB141" i="5"/>
  <c r="AV139" i="5"/>
  <c r="AM142" i="5"/>
  <c r="AM140" i="5"/>
  <c r="AB129" i="5"/>
  <c r="Z129" i="5"/>
  <c r="AV128" i="5"/>
  <c r="BB128" i="5"/>
  <c r="AV127" i="5"/>
  <c r="BB127" i="5"/>
  <c r="AV129" i="5"/>
  <c r="BB129" i="5"/>
  <c r="AB128" i="5"/>
  <c r="Z128" i="5"/>
  <c r="Z127" i="5"/>
  <c r="BB126" i="5"/>
  <c r="Z126" i="5"/>
  <c r="AB123" i="5"/>
  <c r="Y123" i="5"/>
  <c r="Z123" i="5"/>
  <c r="AV117" i="5"/>
  <c r="AW117" i="5" s="1"/>
  <c r="AM117" i="5"/>
  <c r="AK117" i="5"/>
  <c r="Y125" i="5"/>
  <c r="Z125" i="5"/>
  <c r="Y122" i="5"/>
  <c r="Z122" i="5"/>
  <c r="AV126" i="5"/>
  <c r="Y121" i="5"/>
  <c r="Z121" i="5"/>
  <c r="Y124" i="5"/>
  <c r="Z124" i="5"/>
  <c r="AB120" i="5"/>
  <c r="Y120" i="5"/>
  <c r="Z120" i="5"/>
  <c r="AV115" i="5"/>
  <c r="BB115" i="5"/>
  <c r="BC115" i="5" s="1"/>
  <c r="AM115" i="5"/>
  <c r="AK115" i="5"/>
  <c r="AV114" i="5"/>
  <c r="BB114" i="5"/>
  <c r="AM114" i="5"/>
  <c r="AM113" i="5"/>
  <c r="AM118" i="5"/>
  <c r="AV116" i="5"/>
  <c r="AM116" i="5"/>
  <c r="AV112" i="5"/>
  <c r="BB112" i="5"/>
  <c r="AM112" i="5"/>
  <c r="AV111" i="5"/>
  <c r="BB111" i="5"/>
  <c r="BC111" i="5" s="1"/>
  <c r="BD251" i="5"/>
  <c r="BD131"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2" i="5"/>
  <c r="G11" i="6"/>
  <c r="H11" i="6"/>
  <c r="I11" i="6"/>
  <c r="E11" i="6"/>
  <c r="F11" i="6"/>
  <c r="D11" i="6"/>
  <c r="A11" i="6"/>
  <c r="C303" i="2"/>
  <c r="C302" i="2"/>
  <c r="C301" i="2"/>
  <c r="C300" i="2"/>
  <c r="C299" i="2"/>
  <c r="C292" i="2"/>
  <c r="C291" i="2"/>
  <c r="C290" i="2"/>
  <c r="C289" i="2"/>
  <c r="C288" i="2"/>
  <c r="C132" i="4"/>
  <c r="H279" i="2"/>
  <c r="H274" i="2"/>
  <c r="H276" i="2"/>
  <c r="C275" i="2"/>
  <c r="C276" i="2"/>
  <c r="C277" i="2"/>
  <c r="C278" i="2"/>
  <c r="C279" i="2"/>
  <c r="C274" i="2"/>
  <c r="F27" i="2"/>
  <c r="D27" i="2"/>
  <c r="D44" i="2"/>
  <c r="A9" i="7"/>
  <c r="A7" i="7"/>
  <c r="W17" i="7"/>
  <c r="Z17" i="7"/>
  <c r="W18" i="7"/>
  <c r="Z18" i="7"/>
  <c r="W19" i="7"/>
  <c r="Z19" i="7"/>
  <c r="W20" i="7"/>
  <c r="Z20" i="7"/>
  <c r="W21" i="7"/>
  <c r="Z21" i="7"/>
  <c r="W22" i="7"/>
  <c r="Z22" i="7"/>
  <c r="W23" i="7"/>
  <c r="Z23" i="7"/>
  <c r="W24" i="7"/>
  <c r="Z24" i="7"/>
  <c r="W25" i="7"/>
  <c r="Z25" i="7"/>
  <c r="W26" i="7"/>
  <c r="Z26" i="7"/>
  <c r="W27" i="7"/>
  <c r="Z27" i="7"/>
  <c r="W28" i="7"/>
  <c r="Z28" i="7"/>
  <c r="W29" i="7"/>
  <c r="Z29" i="7"/>
  <c r="W30" i="7"/>
  <c r="Z30" i="7"/>
  <c r="W31" i="7"/>
  <c r="Z31" i="7"/>
  <c r="W32" i="7"/>
  <c r="Z32" i="7"/>
  <c r="W33" i="7"/>
  <c r="Z33" i="7"/>
  <c r="W34" i="7"/>
  <c r="Z34" i="7"/>
  <c r="W35" i="7"/>
  <c r="Z35" i="7"/>
  <c r="W36" i="7"/>
  <c r="Z36" i="7"/>
  <c r="W37" i="7"/>
  <c r="Z37" i="7"/>
  <c r="W38" i="7"/>
  <c r="Z38" i="7"/>
  <c r="W39" i="7"/>
  <c r="Z39" i="7"/>
  <c r="W40" i="7"/>
  <c r="Z40" i="7"/>
  <c r="W41" i="7"/>
  <c r="Z41" i="7"/>
  <c r="W42" i="7"/>
  <c r="Z42" i="7"/>
  <c r="W43" i="7"/>
  <c r="Z43" i="7"/>
  <c r="W44" i="7"/>
  <c r="Z44" i="7"/>
  <c r="W45" i="7"/>
  <c r="Z45" i="7"/>
  <c r="W46" i="7"/>
  <c r="Z46" i="7"/>
  <c r="W47" i="7"/>
  <c r="Z47" i="7"/>
  <c r="W48" i="7"/>
  <c r="Z48" i="7"/>
  <c r="W49" i="7"/>
  <c r="Z49" i="7"/>
  <c r="W50" i="7"/>
  <c r="Z50" i="7"/>
  <c r="W51" i="7"/>
  <c r="Z51" i="7"/>
  <c r="W52" i="7"/>
  <c r="Z52" i="7"/>
  <c r="W53" i="7"/>
  <c r="Z53" i="7"/>
  <c r="W54" i="7"/>
  <c r="Z54" i="7"/>
  <c r="W55" i="7"/>
  <c r="Z55" i="7"/>
  <c r="W56" i="7"/>
  <c r="Z56" i="7"/>
  <c r="W57" i="7"/>
  <c r="Z57" i="7"/>
  <c r="W58" i="7"/>
  <c r="Z58" i="7"/>
  <c r="W59" i="7"/>
  <c r="Z59" i="7"/>
  <c r="W60" i="7"/>
  <c r="Z60" i="7"/>
  <c r="W61" i="7"/>
  <c r="Z61" i="7"/>
  <c r="W62" i="7"/>
  <c r="Z62" i="7"/>
  <c r="W63" i="7"/>
  <c r="Z63" i="7"/>
  <c r="W64" i="7"/>
  <c r="Z64" i="7"/>
  <c r="W65" i="7"/>
  <c r="Z65" i="7"/>
  <c r="W66" i="7"/>
  <c r="Z66" i="7"/>
  <c r="W67" i="7"/>
  <c r="Z67" i="7"/>
  <c r="W68" i="7"/>
  <c r="Z68" i="7"/>
  <c r="W69" i="7"/>
  <c r="Z69" i="7"/>
  <c r="W70" i="7"/>
  <c r="Z70" i="7"/>
  <c r="W71" i="7"/>
  <c r="Z71" i="7"/>
  <c r="W72" i="7"/>
  <c r="Z72" i="7"/>
  <c r="W73" i="7"/>
  <c r="Z73" i="7"/>
  <c r="W74" i="7"/>
  <c r="Z74" i="7"/>
  <c r="W75" i="7"/>
  <c r="Z75" i="7"/>
  <c r="W76" i="7"/>
  <c r="Z76" i="7"/>
  <c r="W77" i="7"/>
  <c r="Z77" i="7"/>
  <c r="W78" i="7"/>
  <c r="Z78" i="7"/>
  <c r="W79" i="7"/>
  <c r="Z79" i="7"/>
  <c r="W80" i="7"/>
  <c r="Z80" i="7"/>
  <c r="W81" i="7"/>
  <c r="Z81" i="7"/>
  <c r="W82" i="7"/>
  <c r="Z82" i="7"/>
  <c r="W83" i="7"/>
  <c r="Z83" i="7"/>
  <c r="W84" i="7"/>
  <c r="Z84" i="7"/>
  <c r="W85" i="7"/>
  <c r="Z85" i="7"/>
  <c r="W86" i="7"/>
  <c r="Z86" i="7"/>
  <c r="W87" i="7"/>
  <c r="Z87" i="7"/>
  <c r="W88" i="7"/>
  <c r="Z88" i="7"/>
  <c r="W89" i="7"/>
  <c r="Z89" i="7"/>
  <c r="W90" i="7"/>
  <c r="Z90" i="7"/>
  <c r="W91" i="7"/>
  <c r="Z91" i="7"/>
  <c r="W92" i="7"/>
  <c r="Z92" i="7"/>
  <c r="W93" i="7"/>
  <c r="Z93" i="7"/>
  <c r="W94" i="7"/>
  <c r="Z94" i="7"/>
  <c r="W95" i="7"/>
  <c r="Z95" i="7"/>
  <c r="W96" i="7"/>
  <c r="Z96" i="7"/>
  <c r="W97" i="7"/>
  <c r="Z97" i="7"/>
  <c r="W98" i="7"/>
  <c r="Z98" i="7"/>
  <c r="W99" i="7"/>
  <c r="Z99" i="7"/>
  <c r="W100" i="7"/>
  <c r="Z100" i="7"/>
  <c r="W101" i="7"/>
  <c r="Z101" i="7"/>
  <c r="W102" i="7"/>
  <c r="Z102" i="7"/>
  <c r="W103" i="7"/>
  <c r="Z103" i="7"/>
  <c r="W104" i="7"/>
  <c r="Z104" i="7"/>
  <c r="W105" i="7"/>
  <c r="Z105" i="7"/>
  <c r="W106" i="7"/>
  <c r="Z106" i="7"/>
  <c r="W107" i="7"/>
  <c r="Z107" i="7"/>
  <c r="W108" i="7"/>
  <c r="Z108" i="7"/>
  <c r="W109" i="7"/>
  <c r="Z109" i="7"/>
  <c r="W110" i="7"/>
  <c r="Z110" i="7"/>
  <c r="W111" i="7"/>
  <c r="Z111" i="7"/>
  <c r="W112" i="7"/>
  <c r="Z112" i="7"/>
  <c r="W113" i="7"/>
  <c r="Z113" i="7"/>
  <c r="B16" i="7"/>
  <c r="W16" i="7"/>
  <c r="B17" i="7"/>
  <c r="C210" i="2"/>
  <c r="C211" i="2"/>
  <c r="C212" i="2"/>
  <c r="C213" i="2"/>
  <c r="C209" i="2"/>
  <c r="F213" i="2"/>
  <c r="F212" i="2"/>
  <c r="F211" i="2"/>
  <c r="F210" i="2"/>
  <c r="F209" i="2"/>
  <c r="C21" i="2"/>
  <c r="C13" i="5"/>
  <c r="E13" i="5"/>
  <c r="C14" i="5"/>
  <c r="E14" i="5"/>
  <c r="C15" i="5"/>
  <c r="E15" i="5"/>
  <c r="C16" i="5"/>
  <c r="E16" i="5"/>
  <c r="AV16" i="5"/>
  <c r="C17" i="5"/>
  <c r="E17" i="5"/>
  <c r="J17" i="5"/>
  <c r="C18" i="5"/>
  <c r="E18" i="5"/>
  <c r="AV18" i="5"/>
  <c r="C19" i="5"/>
  <c r="E19" i="5"/>
  <c r="C20" i="5"/>
  <c r="E20" i="5"/>
  <c r="C21" i="5"/>
  <c r="E21" i="5"/>
  <c r="J21" i="5"/>
  <c r="C22" i="5"/>
  <c r="E22" i="5"/>
  <c r="AK22" i="5"/>
  <c r="J22" i="5"/>
  <c r="Y22" i="5"/>
  <c r="AM22" i="5"/>
  <c r="AV22" i="5"/>
  <c r="BB22" i="5"/>
  <c r="C23" i="5"/>
  <c r="E23" i="5"/>
  <c r="C24" i="5"/>
  <c r="E24" i="5"/>
  <c r="C25" i="5"/>
  <c r="E25" i="5"/>
  <c r="J25" i="5"/>
  <c r="AK25" i="5"/>
  <c r="AN25" i="5"/>
  <c r="Y25" i="5"/>
  <c r="AM25" i="5"/>
  <c r="C26" i="5"/>
  <c r="E26" i="5"/>
  <c r="C27" i="5"/>
  <c r="E27" i="5"/>
  <c r="AK27" i="5"/>
  <c r="J27" i="5"/>
  <c r="AN27" i="5"/>
  <c r="AP27" i="5" s="1"/>
  <c r="AR27" i="5" s="1"/>
  <c r="Y27" i="5"/>
  <c r="AM27" i="5"/>
  <c r="C28" i="5"/>
  <c r="E28" i="5"/>
  <c r="C29" i="5"/>
  <c r="E29" i="5"/>
  <c r="J29" i="5"/>
  <c r="AK29" i="5"/>
  <c r="Y29" i="5"/>
  <c r="AM29" i="5"/>
  <c r="C30" i="5"/>
  <c r="E30" i="5"/>
  <c r="C31" i="5"/>
  <c r="E31" i="5"/>
  <c r="J31" i="5"/>
  <c r="C32" i="5"/>
  <c r="E32" i="5"/>
  <c r="AK32" i="5"/>
  <c r="J32" i="5"/>
  <c r="Y32" i="5"/>
  <c r="AM32" i="5"/>
  <c r="C33" i="5"/>
  <c r="E33" i="5"/>
  <c r="J33" i="5"/>
  <c r="C34" i="5"/>
  <c r="E34" i="5"/>
  <c r="C35" i="5"/>
  <c r="E35" i="5"/>
  <c r="G35" i="5"/>
  <c r="L35" i="5" s="1"/>
  <c r="H35" i="5"/>
  <c r="AB35" i="5" s="1"/>
  <c r="Z35" i="5"/>
  <c r="C36" i="5"/>
  <c r="E36" i="5"/>
  <c r="AK36" i="5"/>
  <c r="J36" i="5"/>
  <c r="Y36" i="5"/>
  <c r="AM36" i="5"/>
  <c r="C37" i="5"/>
  <c r="E37" i="5"/>
  <c r="J37" i="5"/>
  <c r="C38" i="5"/>
  <c r="E38" i="5"/>
  <c r="AK38" i="5"/>
  <c r="AL38" i="5" s="1"/>
  <c r="J38" i="5"/>
  <c r="Y38" i="5"/>
  <c r="AM38" i="5"/>
  <c r="C39" i="5"/>
  <c r="E39" i="5"/>
  <c r="C40" i="5"/>
  <c r="E40" i="5"/>
  <c r="C41" i="5"/>
  <c r="E41" i="5"/>
  <c r="J41" i="5"/>
  <c r="C42" i="5"/>
  <c r="E42" i="5"/>
  <c r="AK42" i="5"/>
  <c r="J42" i="5"/>
  <c r="Y42" i="5"/>
  <c r="AM42" i="5"/>
  <c r="C43" i="5"/>
  <c r="E43" i="5"/>
  <c r="AK43" i="5"/>
  <c r="J43" i="5"/>
  <c r="Y43" i="5"/>
  <c r="AM43" i="5"/>
  <c r="C44" i="5"/>
  <c r="E44" i="5"/>
  <c r="C45" i="5"/>
  <c r="E45" i="5"/>
  <c r="AK45" i="5"/>
  <c r="AL45" i="5" s="1"/>
  <c r="J45" i="5"/>
  <c r="Y45" i="5"/>
  <c r="C46" i="5"/>
  <c r="E46" i="5"/>
  <c r="C47" i="5"/>
  <c r="E47" i="5"/>
  <c r="J47" i="5"/>
  <c r="AK47" i="5"/>
  <c r="Y47" i="5"/>
  <c r="AM47" i="5"/>
  <c r="C48" i="5"/>
  <c r="E48" i="5"/>
  <c r="C49" i="5"/>
  <c r="E49" i="5"/>
  <c r="J49" i="5"/>
  <c r="C50" i="5"/>
  <c r="E50" i="5"/>
  <c r="C51" i="5"/>
  <c r="E51" i="5"/>
  <c r="J51" i="5"/>
  <c r="AK51" i="5"/>
  <c r="Y51" i="5"/>
  <c r="AM51" i="5"/>
  <c r="C52" i="5"/>
  <c r="E52" i="5"/>
  <c r="C53" i="5"/>
  <c r="E53" i="5"/>
  <c r="J53" i="5"/>
  <c r="C54" i="5"/>
  <c r="E54" i="5"/>
  <c r="C55" i="5"/>
  <c r="E55" i="5"/>
  <c r="C56" i="5"/>
  <c r="E56" i="5"/>
  <c r="AK56" i="5"/>
  <c r="J56" i="5"/>
  <c r="Y56" i="5"/>
  <c r="AM56" i="5"/>
  <c r="C57" i="5"/>
  <c r="E57" i="5"/>
  <c r="J57" i="5"/>
  <c r="C58" i="5"/>
  <c r="E58" i="5"/>
  <c r="Y58" i="5"/>
  <c r="AM58" i="5"/>
  <c r="C59" i="5"/>
  <c r="E59" i="5"/>
  <c r="J59" i="5"/>
  <c r="C60" i="5"/>
  <c r="E60" i="5"/>
  <c r="C61" i="5"/>
  <c r="E61" i="5"/>
  <c r="J61" i="5"/>
  <c r="C62" i="5"/>
  <c r="E62" i="5"/>
  <c r="AK62" i="5"/>
  <c r="J62" i="5"/>
  <c r="AN62" i="5"/>
  <c r="Y62" i="5"/>
  <c r="AM62" i="5"/>
  <c r="C63" i="5"/>
  <c r="E63" i="5"/>
  <c r="J63" i="5"/>
  <c r="C64" i="5"/>
  <c r="E64" i="5"/>
  <c r="C65" i="5"/>
  <c r="E65" i="5"/>
  <c r="J65" i="5"/>
  <c r="C66" i="5"/>
  <c r="E66" i="5"/>
  <c r="AK66" i="5"/>
  <c r="J66" i="5"/>
  <c r="Y66" i="5"/>
  <c r="AM66" i="5"/>
  <c r="C67" i="5"/>
  <c r="E67" i="5"/>
  <c r="J67" i="5"/>
  <c r="C68" i="5"/>
  <c r="E68" i="5"/>
  <c r="AK68" i="5"/>
  <c r="J68" i="5"/>
  <c r="Y68" i="5"/>
  <c r="AM68" i="5"/>
  <c r="C69" i="5"/>
  <c r="E69" i="5"/>
  <c r="J69" i="5"/>
  <c r="C70" i="5"/>
  <c r="E70" i="5"/>
  <c r="C71" i="5"/>
  <c r="E71" i="5"/>
  <c r="J71" i="5"/>
  <c r="C72" i="5"/>
  <c r="E72" i="5"/>
  <c r="AK72" i="5"/>
  <c r="J72" i="5"/>
  <c r="Y72" i="5"/>
  <c r="AM72" i="5"/>
  <c r="C73" i="5"/>
  <c r="E73" i="5"/>
  <c r="J73" i="5"/>
  <c r="C74" i="5"/>
  <c r="E74" i="5"/>
  <c r="Y74" i="5"/>
  <c r="C75" i="5"/>
  <c r="E75" i="5"/>
  <c r="J75" i="5"/>
  <c r="C76" i="5"/>
  <c r="E76" i="5"/>
  <c r="C77" i="5"/>
  <c r="E77" i="5"/>
  <c r="J77" i="5"/>
  <c r="C78" i="5"/>
  <c r="E78" i="5"/>
  <c r="C79" i="5"/>
  <c r="E79" i="5"/>
  <c r="J79" i="5"/>
  <c r="C80" i="5"/>
  <c r="E80" i="5"/>
  <c r="AK80" i="5"/>
  <c r="Y80" i="5"/>
  <c r="AM80" i="5"/>
  <c r="C81" i="5"/>
  <c r="E81" i="5"/>
  <c r="J81" i="5"/>
  <c r="C82" i="5"/>
  <c r="E82" i="5"/>
  <c r="AK82" i="5"/>
  <c r="J82" i="5"/>
  <c r="Y82" i="5"/>
  <c r="AM82" i="5"/>
  <c r="C83" i="5"/>
  <c r="E83" i="5"/>
  <c r="J83" i="5"/>
  <c r="C84" i="5"/>
  <c r="E84" i="5"/>
  <c r="AK84" i="5"/>
  <c r="J84" i="5"/>
  <c r="Y84" i="5"/>
  <c r="AM84" i="5"/>
  <c r="C85" i="5"/>
  <c r="E85" i="5"/>
  <c r="J85" i="5"/>
  <c r="C86" i="5"/>
  <c r="E86" i="5"/>
  <c r="AK86" i="5"/>
  <c r="J86" i="5"/>
  <c r="Y86" i="5"/>
  <c r="AM86" i="5"/>
  <c r="C87" i="5"/>
  <c r="E87" i="5"/>
  <c r="J87" i="5"/>
  <c r="AY87" i="5" s="1"/>
  <c r="AZ87" i="5" s="1"/>
  <c r="AK87" i="5"/>
  <c r="Y87" i="5"/>
  <c r="AO87" i="5" s="1"/>
  <c r="AQ87" i="5" s="1"/>
  <c r="AM87" i="5"/>
  <c r="C88" i="5"/>
  <c r="E88" i="5"/>
  <c r="C89" i="5"/>
  <c r="E89" i="5"/>
  <c r="J89" i="5"/>
  <c r="C90" i="5"/>
  <c r="E90" i="5"/>
  <c r="C91" i="5"/>
  <c r="E91" i="5"/>
  <c r="J91" i="5"/>
  <c r="AK91" i="5"/>
  <c r="Y91" i="5"/>
  <c r="AM91" i="5"/>
  <c r="C92" i="5"/>
  <c r="E92" i="5"/>
  <c r="C93" i="5"/>
  <c r="E93" i="5"/>
  <c r="J93" i="5"/>
  <c r="C94" i="5"/>
  <c r="E94" i="5"/>
  <c r="C95" i="5"/>
  <c r="E95" i="5"/>
  <c r="J95" i="5"/>
  <c r="C96" i="5"/>
  <c r="E96" i="5"/>
  <c r="AK96" i="5"/>
  <c r="AL96" i="5" s="1"/>
  <c r="Y96" i="5"/>
  <c r="AM96" i="5"/>
  <c r="C97" i="5"/>
  <c r="E97" i="5"/>
  <c r="Y97" i="5"/>
  <c r="AM97" i="5"/>
  <c r="C98" i="5"/>
  <c r="E98" i="5"/>
  <c r="C99" i="5"/>
  <c r="E99" i="5"/>
  <c r="J99" i="5"/>
  <c r="C100" i="5"/>
  <c r="E100" i="5"/>
  <c r="C101" i="5"/>
  <c r="E101" i="5"/>
  <c r="J101" i="5"/>
  <c r="C102" i="5"/>
  <c r="E102" i="5"/>
  <c r="C103" i="5"/>
  <c r="E103" i="5"/>
  <c r="J103" i="5"/>
  <c r="AK103" i="5"/>
  <c r="AL103" i="5" s="1"/>
  <c r="Y103" i="5"/>
  <c r="AM103" i="5"/>
  <c r="C104" i="5"/>
  <c r="E104" i="5"/>
  <c r="AK104" i="5"/>
  <c r="J104" i="5"/>
  <c r="Y104" i="5"/>
  <c r="AM104" i="5"/>
  <c r="C105" i="5"/>
  <c r="E105" i="5"/>
  <c r="J105" i="5"/>
  <c r="C106" i="5"/>
  <c r="E106" i="5"/>
  <c r="AK106" i="5"/>
  <c r="J106" i="5"/>
  <c r="Y106" i="5"/>
  <c r="AM106" i="5"/>
  <c r="C107" i="5"/>
  <c r="E107" i="5"/>
  <c r="J107" i="5"/>
  <c r="C108" i="5"/>
  <c r="E108" i="5"/>
  <c r="AK108" i="5"/>
  <c r="J108" i="5"/>
  <c r="Y108" i="5"/>
  <c r="AM108" i="5"/>
  <c r="C109" i="5"/>
  <c r="E109" i="5"/>
  <c r="Y109" i="5"/>
  <c r="AM109" i="5"/>
  <c r="C110" i="5"/>
  <c r="E110" i="5"/>
  <c r="AK110" i="5"/>
  <c r="J110" i="5"/>
  <c r="Y110" i="5"/>
  <c r="AM110" i="5"/>
  <c r="C12" i="5"/>
  <c r="E12" i="5"/>
  <c r="J19" i="5"/>
  <c r="J102" i="5"/>
  <c r="J100" i="5"/>
  <c r="J98" i="5"/>
  <c r="J94" i="5"/>
  <c r="J90" i="5"/>
  <c r="J88" i="5"/>
  <c r="J78" i="5"/>
  <c r="J76" i="5"/>
  <c r="J70" i="5"/>
  <c r="J64" i="5"/>
  <c r="J60" i="5"/>
  <c r="J52" i="5"/>
  <c r="J50" i="5"/>
  <c r="J48" i="5"/>
  <c r="J46" i="5"/>
  <c r="J44" i="5"/>
  <c r="J40" i="5"/>
  <c r="J34" i="5"/>
  <c r="J28" i="5"/>
  <c r="J26" i="5"/>
  <c r="J24" i="5"/>
  <c r="J18" i="5"/>
  <c r="J14" i="5"/>
  <c r="AK57" i="5"/>
  <c r="BB109" i="5"/>
  <c r="Z108" i="5"/>
  <c r="AM107" i="5"/>
  <c r="BB105" i="5"/>
  <c r="BB103" i="5"/>
  <c r="BB101" i="5"/>
  <c r="Y100" i="5"/>
  <c r="AM99" i="5"/>
  <c r="Y98" i="5"/>
  <c r="AM95" i="5"/>
  <c r="Z94" i="5"/>
  <c r="Z92" i="5"/>
  <c r="AV91" i="5"/>
  <c r="AV89" i="5"/>
  <c r="Z88" i="5"/>
  <c r="AV87" i="5"/>
  <c r="AV85" i="5"/>
  <c r="AW85" i="5" s="1"/>
  <c r="BB83" i="5"/>
  <c r="BB81" i="5"/>
  <c r="BB79" i="5"/>
  <c r="AK77" i="5"/>
  <c r="AB76" i="5"/>
  <c r="AM75" i="5"/>
  <c r="AV73" i="5"/>
  <c r="AV71" i="5"/>
  <c r="AV69" i="5"/>
  <c r="AM67" i="5"/>
  <c r="AK65" i="5"/>
  <c r="AK63" i="5"/>
  <c r="AL63" i="5" s="1"/>
  <c r="AM61" i="5"/>
  <c r="AM59" i="5"/>
  <c r="AV55" i="5"/>
  <c r="AW55" i="5" s="1"/>
  <c r="AM53" i="5"/>
  <c r="BB51" i="5"/>
  <c r="BB47" i="5"/>
  <c r="AK41" i="5"/>
  <c r="AM39" i="5"/>
  <c r="AM37" i="5"/>
  <c r="AM35" i="5"/>
  <c r="AM33" i="5"/>
  <c r="AM31" i="5"/>
  <c r="AV29" i="5"/>
  <c r="AV25" i="5"/>
  <c r="BB21" i="5"/>
  <c r="BB17" i="5"/>
  <c r="AB12" i="5"/>
  <c r="AV110" i="5"/>
  <c r="AB109" i="5"/>
  <c r="Z107" i="5"/>
  <c r="AB105" i="5"/>
  <c r="AV104" i="5"/>
  <c r="AB103" i="5"/>
  <c r="AK102" i="5"/>
  <c r="AB101" i="5"/>
  <c r="AM100" i="5"/>
  <c r="Z99" i="5"/>
  <c r="AV98" i="5"/>
  <c r="Z97" i="5"/>
  <c r="Z95" i="5"/>
  <c r="AM94" i="5"/>
  <c r="AM90" i="5"/>
  <c r="AB83" i="5"/>
  <c r="BB82" i="5"/>
  <c r="AB81" i="5"/>
  <c r="AB79" i="5"/>
  <c r="Y77" i="5"/>
  <c r="Z75" i="5"/>
  <c r="Y71" i="5"/>
  <c r="Y65" i="5"/>
  <c r="Z61" i="5"/>
  <c r="AB59" i="5"/>
  <c r="BB54" i="5"/>
  <c r="AB53" i="5"/>
  <c r="Z45" i="5"/>
  <c r="Z43" i="5"/>
  <c r="Z39" i="5"/>
  <c r="Z31" i="5"/>
  <c r="AM12" i="5"/>
  <c r="B18" i="7"/>
  <c r="AB108" i="5"/>
  <c r="AB85" i="5"/>
  <c r="Y101" i="5"/>
  <c r="Z77" i="5"/>
  <c r="AV103" i="5"/>
  <c r="BB89" i="5"/>
  <c r="AV107" i="5"/>
  <c r="AK99" i="5"/>
  <c r="Z89" i="5"/>
  <c r="AK83" i="5"/>
  <c r="Y63" i="5"/>
  <c r="BB53" i="5"/>
  <c r="BC53" i="5" s="1"/>
  <c r="Y107" i="5"/>
  <c r="AV102" i="5"/>
  <c r="BB91" i="5"/>
  <c r="BB67" i="5"/>
  <c r="AV109" i="5"/>
  <c r="AV101" i="5"/>
  <c r="BB93" i="5"/>
  <c r="Z91" i="5"/>
  <c r="AB87" i="5"/>
  <c r="AV106" i="5"/>
  <c r="Y105" i="5"/>
  <c r="BB100" i="5"/>
  <c r="Y95" i="5"/>
  <c r="Z87" i="5"/>
  <c r="Z85" i="5"/>
  <c r="Y81" i="5"/>
  <c r="Y79" i="5"/>
  <c r="Z59" i="5"/>
  <c r="AK107" i="5"/>
  <c r="AL107" i="5" s="1"/>
  <c r="AV105" i="5"/>
  <c r="AK101" i="5"/>
  <c r="Y99" i="5"/>
  <c r="AV95" i="5"/>
  <c r="AM89" i="5"/>
  <c r="BB87" i="5"/>
  <c r="BB85" i="5"/>
  <c r="Y83" i="5"/>
  <c r="AV77" i="5"/>
  <c r="AK75" i="5"/>
  <c r="AK67" i="5"/>
  <c r="AK105" i="5"/>
  <c r="AV99" i="5"/>
  <c r="AK98" i="5"/>
  <c r="AK95" i="5"/>
  <c r="AB91" i="5"/>
  <c r="AB89" i="5"/>
  <c r="AM85" i="5"/>
  <c r="AV83" i="5"/>
  <c r="AM81" i="5"/>
  <c r="AM79" i="5"/>
  <c r="AB77" i="5"/>
  <c r="Y67" i="5"/>
  <c r="AV57" i="5"/>
  <c r="AB110" i="5"/>
  <c r="Z110" i="5"/>
  <c r="BB108" i="5"/>
  <c r="AV108" i="5"/>
  <c r="AW108" i="5" s="1"/>
  <c r="AB106" i="5"/>
  <c r="Z106" i="5"/>
  <c r="BB104" i="5"/>
  <c r="AB102" i="5"/>
  <c r="Z102" i="5"/>
  <c r="Z98" i="5"/>
  <c r="AB98" i="5"/>
  <c r="BB96" i="5"/>
  <c r="Y94" i="5"/>
  <c r="AV92" i="5"/>
  <c r="AK92" i="5"/>
  <c r="AB90" i="5"/>
  <c r="Y90" i="5"/>
  <c r="AO90" i="5" s="1"/>
  <c r="AV88" i="5"/>
  <c r="AW88" i="5"/>
  <c r="BB88" i="5"/>
  <c r="BC88" i="5" s="1"/>
  <c r="AK88" i="5"/>
  <c r="AL88" i="5" s="1"/>
  <c r="AB86" i="5"/>
  <c r="BB84" i="5"/>
  <c r="BC84" i="5" s="1"/>
  <c r="AB82" i="5"/>
  <c r="Z82" i="5"/>
  <c r="BB80" i="5"/>
  <c r="AV80" i="5"/>
  <c r="AW80" i="5" s="1"/>
  <c r="Y78" i="5"/>
  <c r="Z78" i="5"/>
  <c r="AK76" i="5"/>
  <c r="AM76" i="5"/>
  <c r="AV76" i="5"/>
  <c r="AW76" i="5" s="1"/>
  <c r="BB76" i="5"/>
  <c r="AB74" i="5"/>
  <c r="BB72" i="5"/>
  <c r="AV72" i="5"/>
  <c r="AB70" i="5"/>
  <c r="BB68" i="5"/>
  <c r="BC68" i="5" s="1"/>
  <c r="AV68" i="5"/>
  <c r="Z66" i="5"/>
  <c r="AB66" i="5"/>
  <c r="AM64" i="5"/>
  <c r="BB64" i="5"/>
  <c r="BC64" i="5" s="1"/>
  <c r="AV64" i="5"/>
  <c r="AW64" i="5" s="1"/>
  <c r="Z62" i="5"/>
  <c r="AB62" i="5"/>
  <c r="AV60" i="5"/>
  <c r="AK60" i="5"/>
  <c r="AL60" i="5" s="1"/>
  <c r="BB60" i="5"/>
  <c r="BC60" i="5" s="1"/>
  <c r="AB58" i="5"/>
  <c r="Z58" i="5"/>
  <c r="BB56" i="5"/>
  <c r="Z54" i="5"/>
  <c r="AB54" i="5"/>
  <c r="AK52" i="5"/>
  <c r="BB52" i="5"/>
  <c r="AV52" i="5"/>
  <c r="AM52" i="5"/>
  <c r="Y50" i="5"/>
  <c r="Z50" i="5"/>
  <c r="AB50" i="5"/>
  <c r="AK48" i="5"/>
  <c r="AV48" i="5"/>
  <c r="AM48" i="5"/>
  <c r="BB48" i="5"/>
  <c r="Z46" i="5"/>
  <c r="AB46" i="5"/>
  <c r="Y46" i="5"/>
  <c r="AV44" i="5"/>
  <c r="AK44" i="5"/>
  <c r="BB44" i="5"/>
  <c r="AM44" i="5"/>
  <c r="AB42" i="5"/>
  <c r="Z42" i="5"/>
  <c r="AM40" i="5"/>
  <c r="BB40" i="5"/>
  <c r="AV40" i="5"/>
  <c r="AK40" i="5"/>
  <c r="AB38" i="5"/>
  <c r="Z38" i="5"/>
  <c r="AV36" i="5"/>
  <c r="AW36" i="5" s="1"/>
  <c r="BB36" i="5"/>
  <c r="Y34" i="5"/>
  <c r="AB34" i="5"/>
  <c r="Z34" i="5"/>
  <c r="AV32" i="5"/>
  <c r="BB32" i="5"/>
  <c r="AB30" i="5"/>
  <c r="Z30" i="5"/>
  <c r="Y30" i="5"/>
  <c r="AM28" i="5"/>
  <c r="AV28" i="5"/>
  <c r="AW28" i="5" s="1"/>
  <c r="AK28" i="5"/>
  <c r="AL28" i="5" s="1"/>
  <c r="BB28" i="5"/>
  <c r="BC28" i="5" s="1"/>
  <c r="Y26" i="5"/>
  <c r="AB26" i="5"/>
  <c r="Z26" i="5"/>
  <c r="BB24" i="5"/>
  <c r="AM24" i="5"/>
  <c r="AK24" i="5"/>
  <c r="AV24" i="5"/>
  <c r="AB22" i="5"/>
  <c r="AV20" i="5"/>
  <c r="AK20" i="5"/>
  <c r="BB20" i="5"/>
  <c r="AM20" i="5"/>
  <c r="Y18" i="5"/>
  <c r="AB18" i="5"/>
  <c r="AK16" i="5"/>
  <c r="AM16" i="5"/>
  <c r="Y14" i="5"/>
  <c r="AB14" i="5"/>
  <c r="AV100" i="5"/>
  <c r="AW100" i="5" s="1"/>
  <c r="AV96" i="5"/>
  <c r="BB92" i="5"/>
  <c r="AM60" i="5"/>
  <c r="AK100" i="5"/>
  <c r="AL100" i="5" s="1"/>
  <c r="AM92" i="5"/>
  <c r="Z90" i="5"/>
  <c r="Z86" i="5"/>
  <c r="AB78" i="5"/>
  <c r="BB110" i="5"/>
  <c r="BC110" i="5" s="1"/>
  <c r="AB104" i="5"/>
  <c r="Z104" i="5"/>
  <c r="BB102" i="5"/>
  <c r="AM102" i="5"/>
  <c r="Z100" i="5"/>
  <c r="AB100" i="5"/>
  <c r="AM98" i="5"/>
  <c r="BB98" i="5"/>
  <c r="Z96" i="5"/>
  <c r="AB96" i="5"/>
  <c r="AV94" i="5"/>
  <c r="AK94" i="5"/>
  <c r="BB94" i="5"/>
  <c r="BC94" i="5" s="1"/>
  <c r="Y92" i="5"/>
  <c r="AV90" i="5"/>
  <c r="BB90" i="5"/>
  <c r="AK90" i="5"/>
  <c r="AB88" i="5"/>
  <c r="Y88" i="5"/>
  <c r="AV86" i="5"/>
  <c r="BB86" i="5"/>
  <c r="BC86" i="5" s="1"/>
  <c r="AB84" i="5"/>
  <c r="Z84" i="5"/>
  <c r="AV82" i="5"/>
  <c r="AB80" i="5"/>
  <c r="Z80" i="5"/>
  <c r="AK78" i="5"/>
  <c r="AM78" i="5"/>
  <c r="AV78" i="5"/>
  <c r="AW78" i="5" s="1"/>
  <c r="BB78" i="5"/>
  <c r="BC78" i="5" s="1"/>
  <c r="Y76" i="5"/>
  <c r="Z76" i="5"/>
  <c r="AB72" i="5"/>
  <c r="Z72" i="5"/>
  <c r="BB70" i="5"/>
  <c r="AV70" i="5"/>
  <c r="AB68" i="5"/>
  <c r="Z68" i="5"/>
  <c r="BB66" i="5"/>
  <c r="AV66" i="5"/>
  <c r="Z64" i="5"/>
  <c r="AB64" i="5"/>
  <c r="Y64" i="5"/>
  <c r="AV62" i="5"/>
  <c r="BB62" i="5"/>
  <c r="Y60" i="5"/>
  <c r="Z60" i="5"/>
  <c r="AB60" i="5"/>
  <c r="BB58" i="5"/>
  <c r="AB56" i="5"/>
  <c r="Z56" i="5"/>
  <c r="AK54" i="5"/>
  <c r="AV54" i="5"/>
  <c r="Y52" i="5"/>
  <c r="Z52" i="5"/>
  <c r="AB52" i="5"/>
  <c r="AK50" i="5"/>
  <c r="AV50" i="5"/>
  <c r="AM50" i="5"/>
  <c r="BB50" i="5"/>
  <c r="Y48" i="5"/>
  <c r="Z48" i="5"/>
  <c r="AB48" i="5"/>
  <c r="AM46" i="5"/>
  <c r="AV46" i="5"/>
  <c r="AK46" i="5"/>
  <c r="BB46" i="5"/>
  <c r="Y44" i="5"/>
  <c r="AB44" i="5"/>
  <c r="Z44" i="5"/>
  <c r="BB42" i="5"/>
  <c r="AV42" i="5"/>
  <c r="Z40" i="5"/>
  <c r="AB40" i="5"/>
  <c r="Y40" i="5"/>
  <c r="AV38" i="5"/>
  <c r="BB38" i="5"/>
  <c r="AB36" i="5"/>
  <c r="Z36" i="5"/>
  <c r="AV34" i="5"/>
  <c r="AW34" i="5" s="1"/>
  <c r="AK34" i="5"/>
  <c r="BB34" i="5"/>
  <c r="AM34" i="5"/>
  <c r="AB32" i="5"/>
  <c r="Z32" i="5"/>
  <c r="BB30" i="5"/>
  <c r="AK30" i="5"/>
  <c r="Z28" i="5"/>
  <c r="AB28" i="5"/>
  <c r="Y28" i="5"/>
  <c r="AV26" i="5"/>
  <c r="AK26" i="5"/>
  <c r="BB26" i="5"/>
  <c r="BC26" i="5" s="1"/>
  <c r="AM26" i="5"/>
  <c r="AB24" i="5"/>
  <c r="Z24" i="5"/>
  <c r="Y24" i="5"/>
  <c r="Y20" i="5"/>
  <c r="AB20" i="5"/>
  <c r="BB18" i="5"/>
  <c r="Y16" i="5"/>
  <c r="AB16" i="5"/>
  <c r="AK14" i="5"/>
  <c r="AL14" i="5" s="1"/>
  <c r="AV14" i="5"/>
  <c r="AM14" i="5"/>
  <c r="BB14" i="5"/>
  <c r="BB106" i="5"/>
  <c r="Y102" i="5"/>
  <c r="AB94" i="5"/>
  <c r="AB92" i="5"/>
  <c r="AM88" i="5"/>
  <c r="AV84" i="5"/>
  <c r="Z74" i="5"/>
  <c r="AK64" i="5"/>
  <c r="AL64" i="5" s="1"/>
  <c r="AV56" i="5"/>
  <c r="AW56" i="5" s="1"/>
  <c r="BB71" i="5"/>
  <c r="BC71" i="5" s="1"/>
  <c r="AM71" i="5"/>
  <c r="AB69" i="5"/>
  <c r="Z69" i="5"/>
  <c r="Z65" i="5"/>
  <c r="AB65" i="5"/>
  <c r="AM63" i="5"/>
  <c r="BB63" i="5"/>
  <c r="Y61" i="5"/>
  <c r="AV59" i="5"/>
  <c r="AW59" i="5" s="1"/>
  <c r="AK59" i="5"/>
  <c r="AL59" i="5" s="1"/>
  <c r="AB57" i="5"/>
  <c r="Z57" i="5"/>
  <c r="BB55" i="5"/>
  <c r="BC55" i="5" s="1"/>
  <c r="AM55" i="5"/>
  <c r="Y53" i="5"/>
  <c r="AV51" i="5"/>
  <c r="Y49" i="5"/>
  <c r="Z49" i="5"/>
  <c r="AV47" i="5"/>
  <c r="AB45" i="5"/>
  <c r="AV43" i="5"/>
  <c r="AW43" i="5" s="1"/>
  <c r="BB43" i="5"/>
  <c r="BC43" i="5" s="1"/>
  <c r="Z41" i="5"/>
  <c r="AB41" i="5"/>
  <c r="AV39" i="5"/>
  <c r="AW39" i="5" s="1"/>
  <c r="AK39" i="5"/>
  <c r="BB39" i="5"/>
  <c r="Y37" i="5"/>
  <c r="AB37" i="5"/>
  <c r="AV35" i="5"/>
  <c r="AK35" i="5"/>
  <c r="Y33" i="5"/>
  <c r="AV31" i="5"/>
  <c r="AW31" i="5" s="1"/>
  <c r="AK31" i="5"/>
  <c r="BB31" i="5"/>
  <c r="BB27" i="5"/>
  <c r="AV27" i="5"/>
  <c r="AK23" i="5"/>
  <c r="Y21" i="5"/>
  <c r="AK19" i="5"/>
  <c r="AL19" i="5" s="1"/>
  <c r="BB19" i="5"/>
  <c r="BC19" i="5" s="1"/>
  <c r="AV19" i="5"/>
  <c r="AW19" i="5" s="1"/>
  <c r="AM19" i="5"/>
  <c r="Y17" i="5"/>
  <c r="AV15" i="5"/>
  <c r="AM15" i="5"/>
  <c r="Y13" i="5"/>
  <c r="Z109" i="5"/>
  <c r="BB107" i="5"/>
  <c r="AB107" i="5"/>
  <c r="AM105" i="5"/>
  <c r="Z105" i="5"/>
  <c r="Z103" i="5"/>
  <c r="AM101" i="5"/>
  <c r="Z101" i="5"/>
  <c r="BB99" i="5"/>
  <c r="AB99" i="5"/>
  <c r="BB97" i="5"/>
  <c r="AB97" i="5"/>
  <c r="BB95" i="5"/>
  <c r="AB95" i="5"/>
  <c r="AK93" i="5"/>
  <c r="AK89" i="5"/>
  <c r="Y89" i="5"/>
  <c r="AK85" i="5"/>
  <c r="Y85" i="5"/>
  <c r="AM83" i="5"/>
  <c r="Z83" i="5"/>
  <c r="AK81" i="5"/>
  <c r="AK79" i="5"/>
  <c r="AL79" i="5" s="1"/>
  <c r="AM77" i="5"/>
  <c r="AV75" i="5"/>
  <c r="Y75" i="5"/>
  <c r="Y69" i="5"/>
  <c r="AB61" i="5"/>
  <c r="AK55" i="5"/>
  <c r="Y41" i="5"/>
  <c r="Z37" i="5"/>
  <c r="Z33" i="5"/>
  <c r="AV23" i="5"/>
  <c r="AW23" i="5" s="1"/>
  <c r="BB73" i="5"/>
  <c r="AM73" i="5"/>
  <c r="AB71" i="5"/>
  <c r="Z71" i="5"/>
  <c r="BB69" i="5"/>
  <c r="AM69" i="5"/>
  <c r="Z67" i="5"/>
  <c r="AB67" i="5"/>
  <c r="AM65" i="5"/>
  <c r="BB65" i="5"/>
  <c r="Z63" i="5"/>
  <c r="AB63" i="5"/>
  <c r="AV61" i="5"/>
  <c r="AK61" i="5"/>
  <c r="Y59" i="5"/>
  <c r="BB57" i="5"/>
  <c r="AM57" i="5"/>
  <c r="AB55" i="5"/>
  <c r="Z55" i="5"/>
  <c r="AK53" i="5"/>
  <c r="AL53" i="5" s="1"/>
  <c r="AV53" i="5"/>
  <c r="AW53" i="5" s="1"/>
  <c r="Z51" i="5"/>
  <c r="AK49" i="5"/>
  <c r="AV49" i="5"/>
  <c r="Z47" i="5"/>
  <c r="AV45" i="5"/>
  <c r="BB45" i="5"/>
  <c r="BC45" i="5" s="1"/>
  <c r="AB43" i="5"/>
  <c r="AM41" i="5"/>
  <c r="AV41" i="5"/>
  <c r="AW41" i="5" s="1"/>
  <c r="Y39" i="5"/>
  <c r="AB39" i="5"/>
  <c r="AV37" i="5"/>
  <c r="AW37" i="5" s="1"/>
  <c r="AK37" i="5"/>
  <c r="AL37" i="5" s="1"/>
  <c r="BB37" i="5"/>
  <c r="BC37" i="5" s="1"/>
  <c r="AV33" i="5"/>
  <c r="AK33" i="5"/>
  <c r="BB33" i="5"/>
  <c r="Y31" i="5"/>
  <c r="AB31" i="5"/>
  <c r="BB29" i="5"/>
  <c r="Z27" i="5"/>
  <c r="AB27" i="5"/>
  <c r="BB25" i="5"/>
  <c r="AB23" i="5"/>
  <c r="Y23" i="5"/>
  <c r="AK21" i="5"/>
  <c r="AV21" i="5"/>
  <c r="AM21" i="5"/>
  <c r="Y19" i="5"/>
  <c r="AK17" i="5"/>
  <c r="AV17" i="5"/>
  <c r="AM17" i="5"/>
  <c r="Y15" i="5"/>
  <c r="AV81" i="5"/>
  <c r="Z81" i="5"/>
  <c r="AV79" i="5"/>
  <c r="Z79" i="5"/>
  <c r="BB77" i="5"/>
  <c r="BB75" i="5"/>
  <c r="AB75" i="5"/>
  <c r="AK73" i="5"/>
  <c r="AK71" i="5"/>
  <c r="AK69" i="5"/>
  <c r="AV67" i="5"/>
  <c r="AV65" i="5"/>
  <c r="AV63" i="5"/>
  <c r="AW63" i="5" s="1"/>
  <c r="BB61" i="5"/>
  <c r="BB59" i="5"/>
  <c r="Y57" i="5"/>
  <c r="Y55" i="5"/>
  <c r="Z53" i="5"/>
  <c r="AB51" i="5"/>
  <c r="AB49" i="5"/>
  <c r="AB47" i="5"/>
  <c r="BB41" i="5"/>
  <c r="AB19" i="5"/>
  <c r="AB17" i="5"/>
  <c r="AB15" i="5"/>
  <c r="AB13" i="5"/>
  <c r="BB12" i="5"/>
  <c r="BC12" i="5" s="1"/>
  <c r="AV12" i="5"/>
  <c r="Y12" i="5"/>
  <c r="AK12" i="5"/>
  <c r="BD110" i="5"/>
  <c r="B19" i="7"/>
  <c r="BD94" i="5"/>
  <c r="BD46" i="5"/>
  <c r="BD54" i="5"/>
  <c r="B20" i="7"/>
  <c r="B21" i="7"/>
  <c r="B149" i="2"/>
  <c r="B150" i="2"/>
  <c r="B151" i="2"/>
  <c r="B148" i="2"/>
  <c r="O75" i="2"/>
  <c r="W73" i="2"/>
  <c r="X73" i="2"/>
  <c r="Y73" i="2"/>
  <c r="Z73" i="2"/>
  <c r="V73" i="2"/>
  <c r="B94" i="2"/>
  <c r="B115" i="2"/>
  <c r="B73" i="2"/>
  <c r="R74" i="2"/>
  <c r="S74" i="2"/>
  <c r="T74" i="2"/>
  <c r="U74" i="2"/>
  <c r="Q74" i="2"/>
  <c r="N76" i="2"/>
  <c r="D94" i="2"/>
  <c r="D74" i="2"/>
  <c r="D73" i="2"/>
  <c r="D75" i="2"/>
  <c r="AN306" i="5"/>
  <c r="AN309" i="5"/>
  <c r="AN290" i="5"/>
  <c r="AP290" i="5" s="1"/>
  <c r="AN204" i="5"/>
  <c r="AN128" i="5"/>
  <c r="AN141" i="5"/>
  <c r="AP141" i="5" s="1"/>
  <c r="AN219" i="5"/>
  <c r="AN285" i="5"/>
  <c r="AN229" i="5"/>
  <c r="B22" i="7"/>
  <c r="AN41" i="5"/>
  <c r="AN17" i="5"/>
  <c r="AN46" i="5"/>
  <c r="AN34" i="5"/>
  <c r="AN75" i="5"/>
  <c r="D78" i="2"/>
  <c r="B116" i="2"/>
  <c r="D76" i="2"/>
  <c r="I38" i="2"/>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B16" i="5"/>
  <c r="J16" i="5"/>
  <c r="J13" i="5"/>
  <c r="AN51" i="5"/>
  <c r="AN177" i="5"/>
  <c r="AN213" i="5"/>
  <c r="AO213" i="5" s="1"/>
  <c r="AQ213" i="5" s="1"/>
  <c r="AN146" i="5"/>
  <c r="AP146" i="5" s="1"/>
  <c r="AR146" i="5" s="1"/>
  <c r="AN238" i="5"/>
  <c r="AN301" i="5"/>
  <c r="AP301" i="5" s="1"/>
  <c r="AN155" i="5"/>
  <c r="AO155" i="5" s="1"/>
  <c r="AN48" i="5"/>
  <c r="AN40" i="5"/>
  <c r="AN300" i="5"/>
  <c r="AP300" i="5" s="1"/>
  <c r="AN241" i="5"/>
  <c r="AN145" i="5"/>
  <c r="AP145" i="5" s="1"/>
  <c r="AN226" i="5"/>
  <c r="AO226" i="5" s="1"/>
  <c r="B95" i="2"/>
  <c r="AN105" i="5"/>
  <c r="AN65" i="5"/>
  <c r="AP65" i="5" s="1"/>
  <c r="AN114" i="5"/>
  <c r="AP114" i="5" s="1"/>
  <c r="AN256" i="5"/>
  <c r="AN140" i="5"/>
  <c r="AO140" i="5" s="1"/>
  <c r="BC129" i="5"/>
  <c r="AW187" i="5"/>
  <c r="AW135" i="5"/>
  <c r="D77" i="2"/>
  <c r="BC183" i="5"/>
  <c r="BC127" i="5"/>
  <c r="J23" i="5"/>
  <c r="J35" i="5"/>
  <c r="AL51" i="5"/>
  <c r="AL144" i="5"/>
  <c r="AL72" i="5"/>
  <c r="B8" i="7"/>
  <c r="AW140" i="5"/>
  <c r="AL220" i="5"/>
  <c r="BC152" i="5"/>
  <c r="AL216" i="5"/>
  <c r="BC216" i="5"/>
  <c r="BC160" i="5"/>
  <c r="AW152" i="5"/>
  <c r="D80" i="2"/>
  <c r="BC36" i="5"/>
  <c r="AL147" i="5"/>
  <c r="BC131" i="5"/>
  <c r="D101" i="2"/>
  <c r="AN107" i="5"/>
  <c r="AN88" i="5"/>
  <c r="AN92" i="5"/>
  <c r="AN55" i="5"/>
  <c r="AP55" i="5" s="1"/>
  <c r="AN180" i="5"/>
  <c r="AN144" i="5"/>
  <c r="AN208" i="5"/>
  <c r="AN242" i="5"/>
  <c r="AN123" i="5"/>
  <c r="AN281" i="5"/>
  <c r="AN178" i="5"/>
  <c r="AP178" i="5" s="1"/>
  <c r="AR178" i="5" s="1"/>
  <c r="AN106" i="5"/>
  <c r="AN86" i="5"/>
  <c r="AN82" i="5"/>
  <c r="AW129" i="5"/>
  <c r="AL277" i="5"/>
  <c r="C162" i="2"/>
  <c r="D162" i="2"/>
  <c r="AL206" i="5"/>
  <c r="AN166" i="5"/>
  <c r="AN195" i="5"/>
  <c r="AN275" i="5"/>
  <c r="AN125" i="5"/>
  <c r="AN286" i="5"/>
  <c r="AN121" i="5"/>
  <c r="AN32" i="5"/>
  <c r="AN36" i="5"/>
  <c r="AP36" i="5" s="1"/>
  <c r="AN38" i="5"/>
  <c r="AO38" i="5" s="1"/>
  <c r="AQ38" i="5" s="1"/>
  <c r="AN42" i="5"/>
  <c r="AN43" i="5"/>
  <c r="AN47" i="5"/>
  <c r="AN56" i="5"/>
  <c r="AN84" i="5"/>
  <c r="AN96" i="5"/>
  <c r="AP96" i="5" s="1"/>
  <c r="AR96" i="5" s="1"/>
  <c r="AN108" i="5"/>
  <c r="AN148" i="5"/>
  <c r="AN302" i="5"/>
  <c r="AN221" i="5"/>
  <c r="AN307" i="5"/>
  <c r="AP307" i="5" s="1"/>
  <c r="AN261" i="5"/>
  <c r="AP261" i="5" s="1"/>
  <c r="AR261" i="5" s="1"/>
  <c r="AN248" i="5"/>
  <c r="AN220" i="5"/>
  <c r="AN209" i="5"/>
  <c r="AN273" i="5"/>
  <c r="AN200" i="5"/>
  <c r="AN311" i="5"/>
  <c r="AN207" i="5"/>
  <c r="AN181" i="5"/>
  <c r="AN157" i="5"/>
  <c r="AN225" i="5"/>
  <c r="AP225" i="5" s="1"/>
  <c r="AR225" i="5" s="1"/>
  <c r="AN154" i="5"/>
  <c r="AN190" i="5"/>
  <c r="AN293" i="5"/>
  <c r="AN243" i="5"/>
  <c r="AN183" i="5"/>
  <c r="AN232" i="5"/>
  <c r="AN189" i="5"/>
  <c r="AN168" i="5"/>
  <c r="AN282" i="5"/>
  <c r="AN240" i="5"/>
  <c r="AO240" i="5" s="1"/>
  <c r="AQ240" i="5" s="1"/>
  <c r="AN127" i="5"/>
  <c r="AN179" i="5"/>
  <c r="AN210" i="5"/>
  <c r="AN296" i="5"/>
  <c r="AN245" i="5"/>
  <c r="AP245" i="5" s="1"/>
  <c r="AR245" i="5" s="1"/>
  <c r="AN185" i="5"/>
  <c r="AN112" i="5"/>
  <c r="AN266" i="5"/>
  <c r="AP266" i="5" s="1"/>
  <c r="AR266" i="5" s="1"/>
  <c r="AN143" i="5"/>
  <c r="AP143" i="5" s="1"/>
  <c r="AN233" i="5"/>
  <c r="AP233" i="5" s="1"/>
  <c r="AN199" i="5"/>
  <c r="P75" i="2"/>
  <c r="V75" i="2" s="1"/>
  <c r="Q75" i="2" s="1"/>
  <c r="B96" i="2"/>
  <c r="AN57" i="5"/>
  <c r="AN33" i="5"/>
  <c r="AP33" i="5" s="1"/>
  <c r="AN98" i="5"/>
  <c r="AN73" i="5"/>
  <c r="AN102" i="5"/>
  <c r="AP102" i="5" s="1"/>
  <c r="AN101" i="5"/>
  <c r="AO101" i="5" s="1"/>
  <c r="AN83" i="5"/>
  <c r="AP83" i="5" s="1"/>
  <c r="AR83" i="5" s="1"/>
  <c r="AN26" i="5"/>
  <c r="AP26" i="5" s="1"/>
  <c r="AN23" i="5"/>
  <c r="AN89" i="5"/>
  <c r="AN63" i="5"/>
  <c r="AP63" i="5" s="1"/>
  <c r="AR63" i="5" s="1"/>
  <c r="AN64" i="5"/>
  <c r="AN53" i="5"/>
  <c r="AP53" i="5" s="1"/>
  <c r="AN126" i="5"/>
  <c r="AN231" i="5"/>
  <c r="AN258" i="5"/>
  <c r="AP258" i="5" s="1"/>
  <c r="AN149" i="5"/>
  <c r="AN162" i="5"/>
  <c r="AP162" i="5" s="1"/>
  <c r="AN135" i="5"/>
  <c r="AN265" i="5"/>
  <c r="AP265" i="5" s="1"/>
  <c r="AN139" i="5"/>
  <c r="AN202" i="5"/>
  <c r="AP202" i="5" s="1"/>
  <c r="AR202" i="5" s="1"/>
  <c r="AN228" i="5"/>
  <c r="AN165" i="5"/>
  <c r="AN287" i="5"/>
  <c r="AP287" i="5" s="1"/>
  <c r="AN254" i="5"/>
  <c r="AP254" i="5" s="1"/>
  <c r="AR254" i="5" s="1"/>
  <c r="AN187" i="5"/>
  <c r="AN255" i="5"/>
  <c r="AN152" i="5"/>
  <c r="AN172" i="5"/>
  <c r="AN310" i="5"/>
  <c r="AN188" i="5"/>
  <c r="AO188" i="5" s="1"/>
  <c r="AQ188" i="5" s="1"/>
  <c r="AN271" i="5"/>
  <c r="AN297" i="5"/>
  <c r="AN262" i="5"/>
  <c r="AN298" i="5"/>
  <c r="AN252" i="5"/>
  <c r="AP252" i="5" s="1"/>
  <c r="AN211" i="5"/>
  <c r="AN299" i="5"/>
  <c r="AP299" i="5" s="1"/>
  <c r="AN253" i="5"/>
  <c r="AP253" i="5" s="1"/>
  <c r="AR253" i="5" s="1"/>
  <c r="AN171" i="5"/>
  <c r="AN110" i="5"/>
  <c r="AN66" i="5"/>
  <c r="AN29" i="5"/>
  <c r="D99" i="2"/>
  <c r="AN85" i="5"/>
  <c r="AP85" i="5" s="1"/>
  <c r="AN31" i="5"/>
  <c r="AN95" i="5"/>
  <c r="AP95" i="5" s="1"/>
  <c r="AN44" i="5"/>
  <c r="AN99" i="5"/>
  <c r="AP99" i="5" s="1"/>
  <c r="AN100" i="5"/>
  <c r="AN78" i="5"/>
  <c r="AN71" i="5"/>
  <c r="AN81" i="5"/>
  <c r="AP81" i="5" s="1"/>
  <c r="AN54" i="5"/>
  <c r="AN61" i="5"/>
  <c r="AP61" i="5" s="1"/>
  <c r="AN28" i="5"/>
  <c r="AN39" i="5"/>
  <c r="AN115" i="5"/>
  <c r="AP115" i="5" s="1"/>
  <c r="AN235" i="5"/>
  <c r="AN303" i="5"/>
  <c r="AN150" i="5"/>
  <c r="AP150" i="5" s="1"/>
  <c r="AN164" i="5"/>
  <c r="AN132" i="5"/>
  <c r="AN216" i="5"/>
  <c r="AO216" i="5" s="1"/>
  <c r="AN194" i="5"/>
  <c r="AP194" i="5" s="1"/>
  <c r="AN201" i="5"/>
  <c r="AN174" i="5"/>
  <c r="AO174" i="5" s="1"/>
  <c r="AN230" i="5"/>
  <c r="AP230" i="5" s="1"/>
  <c r="AN250" i="5"/>
  <c r="AN289" i="5"/>
  <c r="AN113" i="5"/>
  <c r="AP113" i="5" s="1"/>
  <c r="AN193" i="5"/>
  <c r="AO193" i="5" s="1"/>
  <c r="AN153" i="5"/>
  <c r="AN218" i="5"/>
  <c r="AP218" i="5" s="1"/>
  <c r="AN270" i="5"/>
  <c r="AN192" i="5"/>
  <c r="AN277" i="5"/>
  <c r="AP277" i="5" s="1"/>
  <c r="AN249" i="5"/>
  <c r="AP249" i="5" s="1"/>
  <c r="AN264" i="5"/>
  <c r="AN147" i="5"/>
  <c r="AN119" i="5"/>
  <c r="AN142" i="5"/>
  <c r="AN269" i="5"/>
  <c r="AN259" i="5"/>
  <c r="AN170" i="5"/>
  <c r="AN169" i="5"/>
  <c r="AP169" i="5" s="1"/>
  <c r="BD45" i="5"/>
  <c r="AW101" i="5"/>
  <c r="AL261" i="5"/>
  <c r="AN104" i="5"/>
  <c r="AN87" i="5"/>
  <c r="AN72" i="5"/>
  <c r="AN68" i="5"/>
  <c r="AN274" i="5"/>
  <c r="BC229" i="5"/>
  <c r="AL289" i="5"/>
  <c r="D98" i="2"/>
  <c r="AP306" i="5"/>
  <c r="AN90" i="5"/>
  <c r="AN69" i="5"/>
  <c r="AN24" i="5"/>
  <c r="AN79" i="5"/>
  <c r="AN37" i="5"/>
  <c r="AN76" i="5"/>
  <c r="AN94" i="5"/>
  <c r="AN77" i="5"/>
  <c r="AP77" i="5" s="1"/>
  <c r="AN59" i="5"/>
  <c r="AN93" i="5"/>
  <c r="AP93" i="5" s="1"/>
  <c r="AN67" i="5"/>
  <c r="AP67" i="5" s="1"/>
  <c r="AN50" i="5"/>
  <c r="AP50" i="5" s="1"/>
  <c r="AN52" i="5"/>
  <c r="AN60" i="5"/>
  <c r="AN35" i="5"/>
  <c r="AN237" i="5"/>
  <c r="AP237" i="5" s="1"/>
  <c r="AN130" i="5"/>
  <c r="AN116" i="5"/>
  <c r="AP116" i="5" s="1"/>
  <c r="AN198" i="5"/>
  <c r="AN280" i="5"/>
  <c r="AN217" i="5"/>
  <c r="AN117" i="5"/>
  <c r="AN203" i="5"/>
  <c r="AN268" i="5"/>
  <c r="AN212" i="5"/>
  <c r="AN236" i="5"/>
  <c r="AN129" i="5"/>
  <c r="AP129" i="5" s="1"/>
  <c r="AN291" i="5"/>
  <c r="AN151" i="5"/>
  <c r="AN294" i="5"/>
  <c r="AP294" i="5" s="1"/>
  <c r="AN176" i="5"/>
  <c r="AN257" i="5"/>
  <c r="AN160" i="5"/>
  <c r="AN224" i="5"/>
  <c r="AO224" i="5" s="1"/>
  <c r="AQ224" i="5" s="1"/>
  <c r="AN156" i="5"/>
  <c r="AP156" i="5" s="1"/>
  <c r="AR156" i="5" s="1"/>
  <c r="AN278" i="5"/>
  <c r="AN260" i="5"/>
  <c r="AN133" i="5"/>
  <c r="AP133" i="5" s="1"/>
  <c r="AN120" i="5"/>
  <c r="AN184" i="5"/>
  <c r="AN137" i="5"/>
  <c r="BD37" i="5"/>
  <c r="AN109" i="5"/>
  <c r="AP109" i="5" s="1"/>
  <c r="AR109" i="5" s="1"/>
  <c r="AN103" i="5"/>
  <c r="AN91" i="5"/>
  <c r="AN80" i="5"/>
  <c r="AN58" i="5"/>
  <c r="BC117" i="5"/>
  <c r="AL188" i="5"/>
  <c r="D95" i="2"/>
  <c r="BC269" i="5"/>
  <c r="AN22" i="5"/>
  <c r="AP22" i="5" s="1"/>
  <c r="AN21" i="5"/>
  <c r="AN14" i="5"/>
  <c r="AO14" i="5" s="1"/>
  <c r="AN15" i="5"/>
  <c r="AN19" i="5"/>
  <c r="AO19" i="5" s="1"/>
  <c r="AN12" i="5"/>
  <c r="AP12" i="5" s="1"/>
  <c r="AP88" i="5"/>
  <c r="AP62" i="5"/>
  <c r="AO62" i="5"/>
  <c r="AL195" i="5"/>
  <c r="AW269" i="5"/>
  <c r="AW266" i="5"/>
  <c r="AW148" i="5"/>
  <c r="AW142" i="5"/>
  <c r="AL271" i="5"/>
  <c r="AW139" i="5"/>
  <c r="BD309" i="5"/>
  <c r="BD225" i="5"/>
  <c r="BD117" i="5"/>
  <c r="AN247" i="5"/>
  <c r="AN246" i="5"/>
  <c r="AN215" i="5"/>
  <c r="AP215" i="5" s="1"/>
  <c r="AN239" i="5"/>
  <c r="AN196" i="5"/>
  <c r="AN131" i="5"/>
  <c r="AN284" i="5"/>
  <c r="AP284" i="5" s="1"/>
  <c r="AN173" i="5"/>
  <c r="AN197" i="5"/>
  <c r="AN111" i="5"/>
  <c r="AN158" i="5"/>
  <c r="AN205" i="5"/>
  <c r="AN222" i="5"/>
  <c r="AN305" i="5"/>
  <c r="AP305" i="5" s="1"/>
  <c r="AN167" i="5"/>
  <c r="AP167" i="5" s="1"/>
  <c r="AN234" i="5"/>
  <c r="AN206" i="5"/>
  <c r="AN136" i="5"/>
  <c r="AN175" i="5"/>
  <c r="AN122" i="5"/>
  <c r="AP122" i="5" s="1"/>
  <c r="AR122" i="5" s="1"/>
  <c r="AN124" i="5"/>
  <c r="BD236" i="5"/>
  <c r="BD188" i="5"/>
  <c r="BD164" i="5"/>
  <c r="BD160" i="5"/>
  <c r="C160" i="2"/>
  <c r="AB21" i="5"/>
  <c r="AA21" i="5"/>
  <c r="BD21" i="5" s="1"/>
  <c r="AM18" i="5"/>
  <c r="AK18" i="5"/>
  <c r="AA22" i="5"/>
  <c r="AX22" i="5" s="1"/>
  <c r="AY22" i="5" s="1"/>
  <c r="AZ22" i="5" s="1"/>
  <c r="AM23" i="5"/>
  <c r="BB23" i="5"/>
  <c r="AM13" i="5"/>
  <c r="BB13" i="5"/>
  <c r="AN13" i="5"/>
  <c r="AV13" i="5"/>
  <c r="Y35" i="5"/>
  <c r="AA35" i="5"/>
  <c r="BB35" i="5"/>
  <c r="AO116" i="5"/>
  <c r="AQ116" i="5" s="1"/>
  <c r="AP94" i="5"/>
  <c r="AR94" i="5" s="1"/>
  <c r="AP40" i="5"/>
  <c r="AO301" i="5"/>
  <c r="AQ301" i="5" s="1"/>
  <c r="AP238" i="5"/>
  <c r="AP100" i="5"/>
  <c r="D148" i="2"/>
  <c r="D83" i="2"/>
  <c r="AO221" i="5"/>
  <c r="AO242" i="5"/>
  <c r="AO220" i="5"/>
  <c r="AQ220" i="5"/>
  <c r="AP90" i="5"/>
  <c r="AP148" i="5"/>
  <c r="AP69" i="5"/>
  <c r="AP298" i="5"/>
  <c r="AR298" i="5" s="1"/>
  <c r="AP231" i="5"/>
  <c r="D86" i="2"/>
  <c r="AP87" i="5"/>
  <c r="AP147" i="5"/>
  <c r="AP250" i="5"/>
  <c r="AP271" i="5"/>
  <c r="AP224" i="5"/>
  <c r="D81" i="2"/>
  <c r="D104" i="2"/>
  <c r="AX136" i="5"/>
  <c r="AY136" i="5" s="1"/>
  <c r="AZ136" i="5" s="1"/>
  <c r="AO167" i="5"/>
  <c r="AQ167" i="5" s="1"/>
  <c r="AX164" i="5"/>
  <c r="AY164" i="5" s="1"/>
  <c r="AX245" i="5"/>
  <c r="AY245" i="5" s="1"/>
  <c r="D97" i="2"/>
  <c r="B117" i="2"/>
  <c r="AX241" i="5"/>
  <c r="AY241" i="5" s="1"/>
  <c r="AZ241" i="5" s="1"/>
  <c r="B75" i="2"/>
  <c r="D149" i="2"/>
  <c r="AX187" i="5"/>
  <c r="AY187" i="5" s="1"/>
  <c r="AZ187" i="5" s="1"/>
  <c r="AX123" i="5"/>
  <c r="AX183" i="5"/>
  <c r="AX271" i="5"/>
  <c r="AX151" i="5"/>
  <c r="AX254" i="5"/>
  <c r="AY254" i="5" s="1"/>
  <c r="AZ254" i="5" s="1"/>
  <c r="AX311" i="5"/>
  <c r="AX226" i="5"/>
  <c r="AY226" i="5" s="1"/>
  <c r="AZ226" i="5" s="1"/>
  <c r="AX262" i="5"/>
  <c r="AX287" i="5"/>
  <c r="AX198" i="5"/>
  <c r="AX242" i="5"/>
  <c r="AY242" i="5" s="1"/>
  <c r="AZ242" i="5" s="1"/>
  <c r="AX283" i="5"/>
  <c r="AX167" i="5"/>
  <c r="AY120" i="5"/>
  <c r="AZ120" i="5" s="1"/>
  <c r="AX206" i="5"/>
  <c r="AY206" i="5" s="1"/>
  <c r="AX134" i="5"/>
  <c r="AX138" i="5"/>
  <c r="AX255" i="5"/>
  <c r="AY255" i="5" s="1"/>
  <c r="AX130" i="5"/>
  <c r="AY130" i="5" s="1"/>
  <c r="AX180" i="5"/>
  <c r="AY180" i="5" s="1"/>
  <c r="AZ180" i="5" s="1"/>
  <c r="AX300" i="5"/>
  <c r="AY300" i="5" s="1"/>
  <c r="AZ300" i="5"/>
  <c r="AX179" i="5"/>
  <c r="AX152" i="5"/>
  <c r="AY152" i="5" s="1"/>
  <c r="AZ152" i="5" s="1"/>
  <c r="AX168" i="5"/>
  <c r="AY168" i="5" s="1"/>
  <c r="AX148" i="5"/>
  <c r="AX107" i="5"/>
  <c r="AX30" i="5"/>
  <c r="AX70" i="5"/>
  <c r="AX43" i="5"/>
  <c r="AY43" i="5" s="1"/>
  <c r="AX80" i="5"/>
  <c r="AX68" i="5"/>
  <c r="AX27" i="5"/>
  <c r="AY27" i="5" s="1"/>
  <c r="AX64" i="5"/>
  <c r="AY64" i="5" s="1"/>
  <c r="AZ64" i="5" s="1"/>
  <c r="BA64" i="5" s="1"/>
  <c r="AX88" i="5"/>
  <c r="AX42" i="5"/>
  <c r="AY42" i="5" s="1"/>
  <c r="AX295" i="5"/>
  <c r="AX127" i="5"/>
  <c r="AY127" i="5" s="1"/>
  <c r="AX196" i="5"/>
  <c r="AY196" i="5" s="1"/>
  <c r="AX197" i="5"/>
  <c r="AY197" i="5" s="1"/>
  <c r="AZ197" i="5" s="1"/>
  <c r="AX192" i="5"/>
  <c r="AY192" i="5" s="1"/>
  <c r="AZ192" i="5" s="1"/>
  <c r="AX195" i="5"/>
  <c r="AX219" i="5"/>
  <c r="AY219" i="5" s="1"/>
  <c r="AX139" i="5"/>
  <c r="AX227" i="5"/>
  <c r="AX233" i="5"/>
  <c r="AX135" i="5"/>
  <c r="AX256" i="5"/>
  <c r="AX165" i="5"/>
  <c r="AY165" i="5" s="1"/>
  <c r="AX81" i="5"/>
  <c r="AY81" i="5" s="1"/>
  <c r="AX49" i="5"/>
  <c r="AX37" i="5"/>
  <c r="AY37" i="5" s="1"/>
  <c r="AX89" i="5"/>
  <c r="AY89" i="5" s="1"/>
  <c r="AX75" i="5"/>
  <c r="AY75" i="5" s="1"/>
  <c r="AZ75" i="5" s="1"/>
  <c r="AX96" i="5"/>
  <c r="AX261" i="5"/>
  <c r="AY261" i="5" s="1"/>
  <c r="AX200" i="5"/>
  <c r="AY200" i="5" s="1"/>
  <c r="AZ200" i="5" s="1"/>
  <c r="AX146" i="5"/>
  <c r="AX264" i="5"/>
  <c r="AX147" i="5"/>
  <c r="AX290" i="5"/>
  <c r="AY290" i="5" s="1"/>
  <c r="AZ290" i="5" s="1"/>
  <c r="AX114" i="5"/>
  <c r="AY114" i="5" s="1"/>
  <c r="AZ114" i="5" s="1"/>
  <c r="AX266" i="5"/>
  <c r="AX157" i="5"/>
  <c r="AX156" i="5"/>
  <c r="AY156" i="5" s="1"/>
  <c r="AZ156" i="5" s="1"/>
  <c r="AX131" i="5"/>
  <c r="AX110" i="5"/>
  <c r="AY110" i="5" s="1"/>
  <c r="AZ110" i="5" s="1"/>
  <c r="AX84" i="5"/>
  <c r="AY84" i="5" s="1"/>
  <c r="AX46" i="5"/>
  <c r="AY46" i="5" s="1"/>
  <c r="AZ46" i="5" s="1"/>
  <c r="AX108" i="5"/>
  <c r="AX44" i="5"/>
  <c r="AY44" i="5" s="1"/>
  <c r="AZ44" i="5" s="1"/>
  <c r="AX53" i="5"/>
  <c r="AY53" i="5" s="1"/>
  <c r="AX38" i="5"/>
  <c r="AY38" i="5" s="1"/>
  <c r="AZ38" i="5" s="1"/>
  <c r="AX71" i="5"/>
  <c r="AY71" i="5" s="1"/>
  <c r="AX102" i="5"/>
  <c r="AY102" i="5" s="1"/>
  <c r="AZ102" i="5" s="1"/>
  <c r="AX13" i="5"/>
  <c r="AY13" i="5" s="1"/>
  <c r="AX78" i="5"/>
  <c r="AY78" i="5" s="1"/>
  <c r="AZ78" i="5" s="1"/>
  <c r="AX45" i="5"/>
  <c r="AY45" i="5" s="1"/>
  <c r="AX132" i="5"/>
  <c r="AY132" i="5" s="1"/>
  <c r="AX267" i="5"/>
  <c r="AX284" i="5"/>
  <c r="AY284" i="5" s="1"/>
  <c r="AX229" i="5"/>
  <c r="AY229" i="5" s="1"/>
  <c r="AX144" i="5"/>
  <c r="AX213" i="5"/>
  <c r="AY213" i="5" s="1"/>
  <c r="AZ213" i="5" s="1"/>
  <c r="AX184" i="5"/>
  <c r="AY184" i="5" s="1"/>
  <c r="AX289" i="5"/>
  <c r="AX126" i="5"/>
  <c r="AY126" i="5" s="1"/>
  <c r="AZ126" i="5" s="1"/>
  <c r="AX28" i="5"/>
  <c r="AX104" i="5"/>
  <c r="AY104" i="5" s="1"/>
  <c r="AX231" i="5"/>
  <c r="AX228" i="5"/>
  <c r="AY228" i="5" s="1"/>
  <c r="AX277" i="5"/>
  <c r="AX133" i="5"/>
  <c r="AY133" i="5" s="1"/>
  <c r="AZ133" i="5" s="1"/>
  <c r="AX145" i="5"/>
  <c r="AY145" i="5" s="1"/>
  <c r="AX101" i="5"/>
  <c r="AY101" i="5" s="1"/>
  <c r="AX60" i="5"/>
  <c r="AY60" i="5" s="1"/>
  <c r="AX218" i="5"/>
  <c r="AX143" i="5"/>
  <c r="AY143" i="5" s="1"/>
  <c r="AX85" i="5"/>
  <c r="AY85" i="5" s="1"/>
  <c r="AZ85" i="5" s="1"/>
  <c r="AX82" i="5"/>
  <c r="AY82" i="5" s="1"/>
  <c r="AX265" i="5"/>
  <c r="AX302" i="5"/>
  <c r="AY302" i="5" s="1"/>
  <c r="AZ302" i="5" s="1"/>
  <c r="AX94" i="5"/>
  <c r="AY94" i="5" s="1"/>
  <c r="AX26" i="5"/>
  <c r="AY26" i="5" s="1"/>
  <c r="AZ26" i="5" s="1"/>
  <c r="AX59" i="5"/>
  <c r="AX209" i="5"/>
  <c r="AX210" i="5"/>
  <c r="AY210" i="5" s="1"/>
  <c r="AX191" i="5"/>
  <c r="AX97" i="5"/>
  <c r="AX41" i="5"/>
  <c r="AY41" i="5" s="1"/>
  <c r="AZ41" i="5" s="1"/>
  <c r="AX61" i="5"/>
  <c r="AY61" i="5" s="1"/>
  <c r="AX63" i="5"/>
  <c r="AX103" i="5"/>
  <c r="AY103" i="5" s="1"/>
  <c r="AX251" i="5"/>
  <c r="AY251" i="5" s="1"/>
  <c r="AX285" i="5"/>
  <c r="AX205" i="5"/>
  <c r="AX193" i="5"/>
  <c r="AX113" i="5"/>
  <c r="AX301" i="5"/>
  <c r="AX252" i="5"/>
  <c r="AY252" i="5" s="1"/>
  <c r="AZ252" i="5" s="1"/>
  <c r="AX188" i="5"/>
  <c r="AY188" i="5" s="1"/>
  <c r="AZ188" i="5" s="1"/>
  <c r="BA188" i="5" s="1"/>
  <c r="AX160" i="5"/>
  <c r="AY160" i="5" s="1"/>
  <c r="AX18" i="5"/>
  <c r="AY18" i="5" s="1"/>
  <c r="AZ18" i="5" s="1"/>
  <c r="AX65" i="5"/>
  <c r="AX281" i="5"/>
  <c r="AX269" i="5"/>
  <c r="AX225" i="5"/>
  <c r="AX117" i="5"/>
  <c r="AY117" i="5" s="1"/>
  <c r="AX177" i="5"/>
  <c r="AY177" i="5" s="1"/>
  <c r="AZ177" i="5" s="1"/>
  <c r="AX293" i="5"/>
  <c r="AY293" i="5" s="1"/>
  <c r="AZ293" i="5" s="1"/>
  <c r="AX260" i="5"/>
  <c r="AX236" i="5"/>
  <c r="AX253" i="5"/>
  <c r="AY253" i="5" s="1"/>
  <c r="AZ253" i="5" s="1"/>
  <c r="AX305" i="5"/>
  <c r="AP196" i="5"/>
  <c r="AR196" i="5" s="1"/>
  <c r="D79" i="2"/>
  <c r="AX208" i="5"/>
  <c r="AX221" i="5"/>
  <c r="AP222" i="5"/>
  <c r="AP197" i="5"/>
  <c r="AP246" i="5"/>
  <c r="AO246" i="5"/>
  <c r="AP111" i="5"/>
  <c r="AO111" i="5"/>
  <c r="AQ111" i="5" s="1"/>
  <c r="AQ90" i="5"/>
  <c r="AW21" i="5"/>
  <c r="BD22" i="5"/>
  <c r="J19" i="1"/>
  <c r="P23" i="5" s="1"/>
  <c r="I19" i="1" s="1"/>
  <c r="D123" i="2"/>
  <c r="D102" i="2"/>
  <c r="D107" i="2"/>
  <c r="D84" i="2"/>
  <c r="D89" i="2"/>
  <c r="D150" i="2"/>
  <c r="AX23" i="5" s="1"/>
  <c r="AY23" i="5" s="1"/>
  <c r="AZ23" i="5" s="1"/>
  <c r="BA23" i="5" s="1"/>
  <c r="AX16" i="5"/>
  <c r="B118" i="2"/>
  <c r="D121" i="2"/>
  <c r="D100" i="2"/>
  <c r="D82" i="2"/>
  <c r="B76" i="2"/>
  <c r="D92" i="2"/>
  <c r="D87" i="2"/>
  <c r="D131" i="2"/>
  <c r="D110" i="2"/>
  <c r="D126" i="2"/>
  <c r="D105" i="2"/>
  <c r="B77" i="2"/>
  <c r="D85" i="2"/>
  <c r="B119" i="2"/>
  <c r="D151" i="2"/>
  <c r="AX20" i="5" s="1"/>
  <c r="D124" i="2"/>
  <c r="D103" i="2"/>
  <c r="D90" i="2"/>
  <c r="D108" i="2"/>
  <c r="D129" i="2"/>
  <c r="D113" i="2"/>
  <c r="D134" i="2"/>
  <c r="B120" i="2"/>
  <c r="D127" i="2"/>
  <c r="D106" i="2"/>
  <c r="B78" i="2"/>
  <c r="AX12" i="5"/>
  <c r="D88" i="2"/>
  <c r="D132" i="2"/>
  <c r="D111" i="2"/>
  <c r="D93" i="2"/>
  <c r="B79" i="2"/>
  <c r="D130" i="2"/>
  <c r="D109" i="2"/>
  <c r="B121" i="2"/>
  <c r="D91" i="2"/>
  <c r="D135" i="2"/>
  <c r="D114" i="2"/>
  <c r="B122" i="2"/>
  <c r="D112" i="2"/>
  <c r="B80" i="2"/>
  <c r="B81" i="2"/>
  <c r="B123" i="2"/>
  <c r="B124" i="2"/>
  <c r="B82" i="2"/>
  <c r="B83" i="2"/>
  <c r="B125" i="2"/>
  <c r="B84" i="2"/>
  <c r="B126" i="2"/>
  <c r="B127" i="2"/>
  <c r="B85" i="2"/>
  <c r="B86" i="2"/>
  <c r="B128" i="2"/>
  <c r="B129" i="2"/>
  <c r="B87" i="2"/>
  <c r="B130" i="2"/>
  <c r="B88" i="2"/>
  <c r="B131" i="2"/>
  <c r="B89" i="2"/>
  <c r="B90" i="2"/>
  <c r="B132" i="2"/>
  <c r="B133" i="2"/>
  <c r="B91" i="2"/>
  <c r="B134" i="2"/>
  <c r="B92" i="2"/>
  <c r="B93" i="2"/>
  <c r="B135" i="2"/>
  <c r="AR306" i="5"/>
  <c r="AR233" i="5"/>
  <c r="AR116" i="5"/>
  <c r="AR265" i="5"/>
  <c r="AR40" i="5"/>
  <c r="AR162" i="5"/>
  <c r="AR65" i="5"/>
  <c r="AR33" i="5"/>
  <c r="B11" i="12"/>
  <c r="AO25" i="5" l="1"/>
  <c r="AQ25" i="5" s="1"/>
  <c r="M22" i="5"/>
  <c r="N22" i="5" s="1"/>
  <c r="O22" i="5" s="1"/>
  <c r="Z21" i="5"/>
  <c r="M17" i="5"/>
  <c r="AP14" i="5"/>
  <c r="M20" i="5"/>
  <c r="N20" i="5" s="1"/>
  <c r="O20" i="5" s="1"/>
  <c r="Q20" i="5" s="1"/>
  <c r="T20" i="5" s="1"/>
  <c r="Z18" i="5"/>
  <c r="C12" i="12"/>
  <c r="AG254" i="6"/>
  <c r="AY74" i="5"/>
  <c r="AZ74" i="5" s="1"/>
  <c r="AY311" i="5"/>
  <c r="AZ311" i="5" s="1"/>
  <c r="Y304" i="5"/>
  <c r="AB304" i="5"/>
  <c r="L289" i="5"/>
  <c r="J289" i="5"/>
  <c r="AV244" i="5"/>
  <c r="K244" i="5"/>
  <c r="J244" i="5"/>
  <c r="BB244" i="5"/>
  <c r="AK244" i="5"/>
  <c r="AL244" i="5" s="1"/>
  <c r="AN244" i="5"/>
  <c r="AP244" i="5" s="1"/>
  <c r="AR244" i="5" s="1"/>
  <c r="AM244" i="5"/>
  <c r="K237" i="5"/>
  <c r="AK237" i="5"/>
  <c r="J237" i="5"/>
  <c r="L233" i="5"/>
  <c r="J233" i="5"/>
  <c r="AA203" i="5"/>
  <c r="AX203" i="5" s="1"/>
  <c r="AY203" i="5" s="1"/>
  <c r="Y203" i="5"/>
  <c r="AB203" i="5"/>
  <c r="L167" i="5"/>
  <c r="J167" i="5"/>
  <c r="AX172" i="5"/>
  <c r="AY172" i="5" s="1"/>
  <c r="AX244" i="5"/>
  <c r="AY244" i="5" s="1"/>
  <c r="AZ244" i="5" s="1"/>
  <c r="AY233" i="5"/>
  <c r="AY107" i="5"/>
  <c r="AY179" i="5"/>
  <c r="AZ179" i="5" s="1"/>
  <c r="AO26" i="5"/>
  <c r="AQ26" i="5" s="1"/>
  <c r="BD276" i="5"/>
  <c r="AP15" i="5"/>
  <c r="AO15" i="5"/>
  <c r="AN279" i="5"/>
  <c r="AO98" i="5"/>
  <c r="AQ98" i="5" s="1"/>
  <c r="Z171" i="5"/>
  <c r="AW154" i="5"/>
  <c r="AO143" i="5"/>
  <c r="AQ143" i="5" s="1"/>
  <c r="J227" i="5"/>
  <c r="J176" i="5"/>
  <c r="J199" i="5"/>
  <c r="BC209" i="5"/>
  <c r="BB237" i="5"/>
  <c r="Y141" i="5"/>
  <c r="BD288" i="5"/>
  <c r="AX288" i="5"/>
  <c r="BD280" i="5"/>
  <c r="AX280" i="5"/>
  <c r="AY280" i="5" s="1"/>
  <c r="AZ280" i="5" s="1"/>
  <c r="AL280" i="5"/>
  <c r="AX161" i="5"/>
  <c r="AY161" i="5" s="1"/>
  <c r="BD161" i="5"/>
  <c r="BD156" i="5"/>
  <c r="BC156" i="5"/>
  <c r="BD135" i="5"/>
  <c r="BC135" i="5"/>
  <c r="M311" i="5"/>
  <c r="N311" i="5" s="1"/>
  <c r="O311" i="5" s="1"/>
  <c r="Q311" i="5" s="1"/>
  <c r="Y311" i="5"/>
  <c r="Z311" i="5"/>
  <c r="L310" i="5"/>
  <c r="AK292" i="5"/>
  <c r="BB292" i="5"/>
  <c r="AV292" i="5"/>
  <c r="K292" i="5"/>
  <c r="AM292" i="5"/>
  <c r="AN292" i="5"/>
  <c r="AO292" i="5" s="1"/>
  <c r="AQ292" i="5" s="1"/>
  <c r="M291" i="5"/>
  <c r="N291" i="5" s="1"/>
  <c r="O291" i="5" s="1"/>
  <c r="Q291" i="5" s="1"/>
  <c r="S291" i="5" s="1"/>
  <c r="Y291" i="5"/>
  <c r="AO291" i="5" s="1"/>
  <c r="AQ291" i="5" s="1"/>
  <c r="AB291" i="5"/>
  <c r="AA291" i="5"/>
  <c r="Z291" i="5"/>
  <c r="AK288" i="5"/>
  <c r="J288" i="5"/>
  <c r="AN288" i="5"/>
  <c r="BB288" i="5"/>
  <c r="L285" i="5"/>
  <c r="J285" i="5"/>
  <c r="M276" i="5"/>
  <c r="N276" i="5" s="1"/>
  <c r="O276" i="5" s="1"/>
  <c r="Q276" i="5" s="1"/>
  <c r="Y276" i="5"/>
  <c r="Z276" i="5"/>
  <c r="L273" i="5"/>
  <c r="J273" i="5"/>
  <c r="M272" i="5"/>
  <c r="N272" i="5" s="1"/>
  <c r="O272" i="5" s="1"/>
  <c r="Q272" i="5" s="1"/>
  <c r="S272" i="5" s="1"/>
  <c r="K267" i="5"/>
  <c r="AN267" i="5"/>
  <c r="AO267" i="5" s="1"/>
  <c r="AQ267" i="5" s="1"/>
  <c r="J267" i="5"/>
  <c r="AY267" i="5" s="1"/>
  <c r="AM267" i="5"/>
  <c r="AV267" i="5"/>
  <c r="K263" i="5"/>
  <c r="BB263" i="5"/>
  <c r="BC263" i="5" s="1"/>
  <c r="AV263" i="5"/>
  <c r="AK263" i="5"/>
  <c r="AM263" i="5"/>
  <c r="AN263" i="5"/>
  <c r="J263" i="5"/>
  <c r="M247" i="5"/>
  <c r="N247" i="5" s="1"/>
  <c r="O247" i="5" s="1"/>
  <c r="Q247" i="5" s="1"/>
  <c r="Y247" i="5"/>
  <c r="AA247" i="5"/>
  <c r="AB247" i="5"/>
  <c r="Z247" i="5"/>
  <c r="L246" i="5"/>
  <c r="J214" i="5"/>
  <c r="AM214" i="5"/>
  <c r="BB214" i="5"/>
  <c r="K214" i="5"/>
  <c r="AK214" i="5"/>
  <c r="AN214" i="5"/>
  <c r="J182" i="5"/>
  <c r="K182" i="5"/>
  <c r="AK182" i="5"/>
  <c r="AN182" i="5"/>
  <c r="BB182" i="5"/>
  <c r="J150" i="5"/>
  <c r="AV150" i="5"/>
  <c r="AW150" i="5" s="1"/>
  <c r="AK150" i="5"/>
  <c r="K150" i="5"/>
  <c r="Y134" i="5"/>
  <c r="Z134" i="5"/>
  <c r="M134" i="5"/>
  <c r="N134" i="5" s="1"/>
  <c r="O134" i="5" s="1"/>
  <c r="Q134" i="5" s="1"/>
  <c r="L131" i="5"/>
  <c r="J131" i="5"/>
  <c r="AY131" i="5" s="1"/>
  <c r="M122" i="5"/>
  <c r="N122" i="5" s="1"/>
  <c r="O122" i="5" s="1"/>
  <c r="Q122" i="5" s="1"/>
  <c r="S122" i="5" s="1"/>
  <c r="AA122" i="5"/>
  <c r="AB122" i="5"/>
  <c r="L119" i="5"/>
  <c r="J119" i="5"/>
  <c r="K113" i="5"/>
  <c r="AK113" i="5"/>
  <c r="J113" i="5"/>
  <c r="AV113" i="5"/>
  <c r="BB113" i="5"/>
  <c r="K109" i="5"/>
  <c r="J109" i="5"/>
  <c r="AK109" i="5"/>
  <c r="M106" i="5"/>
  <c r="N106" i="5" s="1"/>
  <c r="O106" i="5" s="1"/>
  <c r="Q106" i="5" s="1"/>
  <c r="S106" i="5" s="1"/>
  <c r="AA106" i="5"/>
  <c r="K97" i="5"/>
  <c r="J97" i="5"/>
  <c r="AY97" i="5" s="1"/>
  <c r="AZ97" i="5" s="1"/>
  <c r="BA97" i="5" s="1"/>
  <c r="AN97" i="5"/>
  <c r="AV97" i="5"/>
  <c r="AW97" i="5" s="1"/>
  <c r="AK97" i="5"/>
  <c r="K93" i="5"/>
  <c r="AV93" i="5"/>
  <c r="AM93" i="5"/>
  <c r="L80" i="5"/>
  <c r="J80" i="5"/>
  <c r="AY80" i="5" s="1"/>
  <c r="AZ80" i="5" s="1"/>
  <c r="BA80" i="5" s="1"/>
  <c r="M77" i="5"/>
  <c r="N77" i="5" s="1"/>
  <c r="O77" i="5" s="1"/>
  <c r="Q77" i="5" s="1"/>
  <c r="AA77" i="5"/>
  <c r="AL77" i="5" s="1"/>
  <c r="K30" i="5"/>
  <c r="AV30" i="5"/>
  <c r="AW30" i="5" s="1"/>
  <c r="AN30" i="5"/>
  <c r="J30" i="5"/>
  <c r="AM30" i="5"/>
  <c r="M29" i="5"/>
  <c r="N29" i="5" s="1"/>
  <c r="O29" i="5" s="1"/>
  <c r="Q29" i="5" s="1"/>
  <c r="AA29" i="5"/>
  <c r="AX29" i="5" s="1"/>
  <c r="AY29" i="5" s="1"/>
  <c r="AB29" i="5"/>
  <c r="Z29" i="5"/>
  <c r="BC57" i="5"/>
  <c r="Z93" i="5"/>
  <c r="J96" i="5"/>
  <c r="AV237" i="5"/>
  <c r="AW237" i="5" s="1"/>
  <c r="Z304" i="5"/>
  <c r="Z203" i="5"/>
  <c r="BC124" i="5"/>
  <c r="AY199" i="5"/>
  <c r="AZ199" i="5" s="1"/>
  <c r="BD176" i="5"/>
  <c r="AX176" i="5"/>
  <c r="BD115" i="5"/>
  <c r="AL115" i="5"/>
  <c r="AX115" i="5"/>
  <c r="BD111" i="5"/>
  <c r="AX111" i="5"/>
  <c r="AY111" i="5" s="1"/>
  <c r="AL111" i="5"/>
  <c r="K311" i="5"/>
  <c r="AM311" i="5"/>
  <c r="J311" i="5"/>
  <c r="AK311" i="5"/>
  <c r="AL311" i="5" s="1"/>
  <c r="AV311" i="5"/>
  <c r="J298" i="5"/>
  <c r="L298" i="5"/>
  <c r="M295" i="5"/>
  <c r="N295" i="5" s="1"/>
  <c r="O295" i="5" s="1"/>
  <c r="Q295" i="5" s="1"/>
  <c r="Y295" i="5"/>
  <c r="Z295" i="5"/>
  <c r="AB295" i="5"/>
  <c r="BB276" i="5"/>
  <c r="BC276" i="5" s="1"/>
  <c r="AK276" i="5"/>
  <c r="K276" i="5"/>
  <c r="J276" i="5"/>
  <c r="AY276" i="5" s="1"/>
  <c r="AZ276" i="5" s="1"/>
  <c r="AV276" i="5"/>
  <c r="AM276" i="5"/>
  <c r="AN276" i="5"/>
  <c r="M275" i="5"/>
  <c r="N275" i="5" s="1"/>
  <c r="O275" i="5" s="1"/>
  <c r="Q275" i="5" s="1"/>
  <c r="AB275" i="5"/>
  <c r="Y275" i="5"/>
  <c r="Z275" i="5"/>
  <c r="AA275" i="5"/>
  <c r="BB272" i="5"/>
  <c r="J272" i="5"/>
  <c r="AK272" i="5"/>
  <c r="AN272" i="5"/>
  <c r="AP272" i="5" s="1"/>
  <c r="AR272" i="5" s="1"/>
  <c r="AV272" i="5"/>
  <c r="L269" i="5"/>
  <c r="J269" i="5"/>
  <c r="M260" i="5"/>
  <c r="N260" i="5" s="1"/>
  <c r="O260" i="5" s="1"/>
  <c r="Q260" i="5" s="1"/>
  <c r="Y260" i="5"/>
  <c r="AB260" i="5"/>
  <c r="Z260" i="5"/>
  <c r="L257" i="5"/>
  <c r="J257" i="5"/>
  <c r="AY257" i="5" s="1"/>
  <c r="K251" i="5"/>
  <c r="BB251" i="5"/>
  <c r="BC251" i="5" s="1"/>
  <c r="AV251" i="5"/>
  <c r="AW251" i="5" s="1"/>
  <c r="AN251" i="5"/>
  <c r="AO251" i="5" s="1"/>
  <c r="AM251" i="5"/>
  <c r="K247" i="5"/>
  <c r="AK247" i="5"/>
  <c r="J247" i="5"/>
  <c r="AM247" i="5"/>
  <c r="AV247" i="5"/>
  <c r="J223" i="5"/>
  <c r="K223" i="5"/>
  <c r="AV223" i="5"/>
  <c r="BB223" i="5"/>
  <c r="BC223" i="5" s="1"/>
  <c r="AN223" i="5"/>
  <c r="AO223" i="5" s="1"/>
  <c r="AQ223" i="5" s="1"/>
  <c r="AM223" i="5"/>
  <c r="M218" i="5"/>
  <c r="N218" i="5" s="1"/>
  <c r="O218" i="5" s="1"/>
  <c r="Q218" i="5" s="1"/>
  <c r="Y218" i="5"/>
  <c r="Z218" i="5"/>
  <c r="AB218" i="5"/>
  <c r="M217" i="5"/>
  <c r="N217" i="5" s="1"/>
  <c r="O217" i="5" s="1"/>
  <c r="Q217" i="5" s="1"/>
  <c r="T217" i="5" s="1"/>
  <c r="Z217" i="5"/>
  <c r="AB217" i="5"/>
  <c r="Y217" i="5"/>
  <c r="J191" i="5"/>
  <c r="K191" i="5"/>
  <c r="AN191" i="5"/>
  <c r="BB191" i="5"/>
  <c r="BC191" i="5" s="1"/>
  <c r="M186" i="5"/>
  <c r="N186" i="5" s="1"/>
  <c r="O186" i="5" s="1"/>
  <c r="Q186" i="5" s="1"/>
  <c r="AB186" i="5"/>
  <c r="Y186" i="5"/>
  <c r="AA186" i="5"/>
  <c r="AX186" i="5" s="1"/>
  <c r="Z186" i="5"/>
  <c r="M185" i="5"/>
  <c r="N185" i="5" s="1"/>
  <c r="O185" i="5" s="1"/>
  <c r="Q185" i="5" s="1"/>
  <c r="AA185" i="5"/>
  <c r="AW185" i="5" s="1"/>
  <c r="AB185" i="5"/>
  <c r="AM159" i="5"/>
  <c r="AV159" i="5"/>
  <c r="J159" i="5"/>
  <c r="K159" i="5"/>
  <c r="AN159" i="5"/>
  <c r="AP159" i="5" s="1"/>
  <c r="M154" i="5"/>
  <c r="N154" i="5" s="1"/>
  <c r="O154" i="5" s="1"/>
  <c r="Q154" i="5" s="1"/>
  <c r="S154" i="5" s="1"/>
  <c r="Y154" i="5"/>
  <c r="Z154" i="5"/>
  <c r="AA154" i="5"/>
  <c r="AB154" i="5"/>
  <c r="M153" i="5"/>
  <c r="N153" i="5" s="1"/>
  <c r="O153" i="5" s="1"/>
  <c r="Q153" i="5" s="1"/>
  <c r="AA153" i="5"/>
  <c r="AB153" i="5"/>
  <c r="Y153" i="5"/>
  <c r="J134" i="5"/>
  <c r="AY134" i="5" s="1"/>
  <c r="AZ134" i="5" s="1"/>
  <c r="AM134" i="5"/>
  <c r="K134" i="5"/>
  <c r="AK134" i="5"/>
  <c r="BB134" i="5"/>
  <c r="AN134" i="5"/>
  <c r="K122" i="5"/>
  <c r="AV122" i="5"/>
  <c r="AW122" i="5" s="1"/>
  <c r="J122" i="5"/>
  <c r="AK122" i="5"/>
  <c r="M121" i="5"/>
  <c r="N121" i="5" s="1"/>
  <c r="O121" i="5" s="1"/>
  <c r="Q121" i="5" s="1"/>
  <c r="AA121" i="5"/>
  <c r="AB121" i="5"/>
  <c r="BB118" i="5"/>
  <c r="AN118" i="5"/>
  <c r="AP118" i="5" s="1"/>
  <c r="J118" i="5"/>
  <c r="AV118" i="5"/>
  <c r="AB118" i="5"/>
  <c r="Y118" i="5"/>
  <c r="AA118" i="5"/>
  <c r="AX118" i="5" s="1"/>
  <c r="AY118" i="5" s="1"/>
  <c r="L115" i="5"/>
  <c r="J115" i="5"/>
  <c r="M70" i="5"/>
  <c r="N70" i="5" s="1"/>
  <c r="O70" i="5" s="1"/>
  <c r="Q70" i="5" s="1"/>
  <c r="Z70" i="5"/>
  <c r="Y70" i="5"/>
  <c r="AO70" i="5" s="1"/>
  <c r="L55" i="5"/>
  <c r="J55" i="5"/>
  <c r="K49" i="5"/>
  <c r="AM49" i="5"/>
  <c r="AN49" i="5"/>
  <c r="BB49" i="5"/>
  <c r="BC49" i="5" s="1"/>
  <c r="K45" i="5"/>
  <c r="AM45" i="5"/>
  <c r="AR45" i="5" s="1"/>
  <c r="AN45" i="5"/>
  <c r="AP45" i="5" s="1"/>
  <c r="L39" i="5"/>
  <c r="J39" i="5"/>
  <c r="M33" i="5"/>
  <c r="N33" i="5" s="1"/>
  <c r="O33" i="5" s="1"/>
  <c r="Q33" i="5" s="1"/>
  <c r="T33" i="5" s="1"/>
  <c r="AB33" i="5"/>
  <c r="AA33" i="5"/>
  <c r="M25" i="5"/>
  <c r="N25" i="5" s="1"/>
  <c r="O25" i="5" s="1"/>
  <c r="Q25" i="5" s="1"/>
  <c r="AA25" i="5"/>
  <c r="AB25" i="5"/>
  <c r="Z25" i="5"/>
  <c r="L12" i="5"/>
  <c r="J12" i="5"/>
  <c r="AY12" i="5" s="1"/>
  <c r="AZ12" i="5" s="1"/>
  <c r="L20" i="5"/>
  <c r="J20" i="5"/>
  <c r="AY20" i="5" s="1"/>
  <c r="AZ20" i="5" s="1"/>
  <c r="K15" i="5"/>
  <c r="J15" i="5"/>
  <c r="AK15" i="5"/>
  <c r="AL15" i="5" s="1"/>
  <c r="BB15" i="5"/>
  <c r="BC15" i="5" s="1"/>
  <c r="AY231" i="5"/>
  <c r="AZ231" i="5" s="1"/>
  <c r="AY157" i="5"/>
  <c r="AZ157" i="5" s="1"/>
  <c r="AO205" i="5"/>
  <c r="AQ205" i="5" s="1"/>
  <c r="AP173" i="5"/>
  <c r="AO173" i="5"/>
  <c r="BD249" i="5"/>
  <c r="BC249" i="5"/>
  <c r="BD124" i="5"/>
  <c r="AX124" i="5"/>
  <c r="AY124" i="5" s="1"/>
  <c r="AZ124" i="5" s="1"/>
  <c r="BD92" i="5"/>
  <c r="AX92" i="5"/>
  <c r="AY92" i="5" s="1"/>
  <c r="AZ92" i="5" s="1"/>
  <c r="AL92" i="5"/>
  <c r="AV308" i="5"/>
  <c r="K308" i="5"/>
  <c r="BB308" i="5"/>
  <c r="J308" i="5"/>
  <c r="AN308" i="5"/>
  <c r="AM308" i="5"/>
  <c r="M307" i="5"/>
  <c r="N307" i="5" s="1"/>
  <c r="O307" i="5" s="1"/>
  <c r="Q307" i="5" s="1"/>
  <c r="S307" i="5" s="1"/>
  <c r="Y307" i="5"/>
  <c r="AO307" i="5" s="1"/>
  <c r="AQ307" i="5" s="1"/>
  <c r="AB307" i="5"/>
  <c r="AA307" i="5"/>
  <c r="AX307" i="5" s="1"/>
  <c r="AY307" i="5" s="1"/>
  <c r="J304" i="5"/>
  <c r="AV304" i="5"/>
  <c r="AK304" i="5"/>
  <c r="AM304" i="5"/>
  <c r="Y292" i="5"/>
  <c r="M292" i="5"/>
  <c r="N292" i="5" s="1"/>
  <c r="O292" i="5" s="1"/>
  <c r="Q292" i="5" s="1"/>
  <c r="AA292" i="5"/>
  <c r="Z292" i="5"/>
  <c r="K283" i="5"/>
  <c r="AV283" i="5"/>
  <c r="AW283" i="5" s="1"/>
  <c r="J283" i="5"/>
  <c r="AY283" i="5" s="1"/>
  <c r="AZ283" i="5" s="1"/>
  <c r="BB283" i="5"/>
  <c r="AM283" i="5"/>
  <c r="AK283" i="5"/>
  <c r="AL283" i="5" s="1"/>
  <c r="K279" i="5"/>
  <c r="AV279" i="5"/>
  <c r="AM279" i="5"/>
  <c r="BB279" i="5"/>
  <c r="AK279" i="5"/>
  <c r="M263" i="5"/>
  <c r="N263" i="5" s="1"/>
  <c r="O263" i="5" s="1"/>
  <c r="Q263" i="5" s="1"/>
  <c r="Z263" i="5"/>
  <c r="AA263" i="5"/>
  <c r="AX263" i="5" s="1"/>
  <c r="AY263" i="5" s="1"/>
  <c r="AB235" i="5"/>
  <c r="AA235" i="5"/>
  <c r="L231" i="5"/>
  <c r="J231" i="5"/>
  <c r="Z214" i="5"/>
  <c r="AB214" i="5"/>
  <c r="M214" i="5"/>
  <c r="N214" i="5" s="1"/>
  <c r="O214" i="5" s="1"/>
  <c r="Q214" i="5" s="1"/>
  <c r="T214" i="5" s="1"/>
  <c r="Y214" i="5"/>
  <c r="K205" i="5"/>
  <c r="J205" i="5"/>
  <c r="AY205" i="5" s="1"/>
  <c r="AZ205" i="5" s="1"/>
  <c r="AM205" i="5"/>
  <c r="AV205" i="5"/>
  <c r="BB205" i="5"/>
  <c r="Y182" i="5"/>
  <c r="Z182" i="5"/>
  <c r="AA182" i="5"/>
  <c r="AX182" i="5" s="1"/>
  <c r="AY182" i="5" s="1"/>
  <c r="M182" i="5"/>
  <c r="N182" i="5" s="1"/>
  <c r="O182" i="5" s="1"/>
  <c r="Q182" i="5" s="1"/>
  <c r="S182" i="5" s="1"/>
  <c r="AB182" i="5"/>
  <c r="K173" i="5"/>
  <c r="AK173" i="5"/>
  <c r="BB173" i="5"/>
  <c r="J173" i="5"/>
  <c r="AM173" i="5"/>
  <c r="AV173" i="5"/>
  <c r="AB171" i="5"/>
  <c r="Y171" i="5"/>
  <c r="L169" i="5"/>
  <c r="J169" i="5"/>
  <c r="AB150" i="5"/>
  <c r="M150" i="5"/>
  <c r="N150" i="5" s="1"/>
  <c r="O150" i="5" s="1"/>
  <c r="Q150" i="5" s="1"/>
  <c r="T150" i="5" s="1"/>
  <c r="Y150" i="5"/>
  <c r="AA150" i="5"/>
  <c r="Z150" i="5"/>
  <c r="L144" i="5"/>
  <c r="J144" i="5"/>
  <c r="M141" i="5"/>
  <c r="N141" i="5" s="1"/>
  <c r="O141" i="5" s="1"/>
  <c r="Q141" i="5" s="1"/>
  <c r="U141" i="5" s="1"/>
  <c r="AB141" i="5"/>
  <c r="AA141" i="5"/>
  <c r="AX141" i="5" s="1"/>
  <c r="M93" i="5"/>
  <c r="N93" i="5" s="1"/>
  <c r="O93" i="5" s="1"/>
  <c r="Q93" i="5" s="1"/>
  <c r="T93" i="5" s="1"/>
  <c r="AA93" i="5"/>
  <c r="AX93" i="5" s="1"/>
  <c r="AY93" i="5" s="1"/>
  <c r="AZ93" i="5" s="1"/>
  <c r="Y93" i="5"/>
  <c r="K74" i="5"/>
  <c r="AM74" i="5"/>
  <c r="AV74" i="5"/>
  <c r="BB74" i="5"/>
  <c r="AN74" i="5"/>
  <c r="AK74" i="5"/>
  <c r="M73" i="5"/>
  <c r="N73" i="5" s="1"/>
  <c r="O73" i="5" s="1"/>
  <c r="Q73" i="5" s="1"/>
  <c r="T73" i="5" s="1"/>
  <c r="AA73" i="5"/>
  <c r="AW73" i="5" s="1"/>
  <c r="Y73" i="5"/>
  <c r="AB73" i="5"/>
  <c r="AY16" i="5"/>
  <c r="AZ16" i="5" s="1"/>
  <c r="AQ246" i="5"/>
  <c r="AS246" i="5" s="1"/>
  <c r="AT246" i="5" s="1"/>
  <c r="AY305" i="5"/>
  <c r="AZ305" i="5" s="1"/>
  <c r="AY65" i="5"/>
  <c r="AS233" i="5"/>
  <c r="AT233" i="5" s="1"/>
  <c r="AY208" i="5"/>
  <c r="AZ208" i="5" s="1"/>
  <c r="AY225" i="5"/>
  <c r="AZ225" i="5" s="1"/>
  <c r="AY59" i="5"/>
  <c r="AY144" i="5"/>
  <c r="AX249" i="5"/>
  <c r="AY249" i="5" s="1"/>
  <c r="AZ249" i="5" s="1"/>
  <c r="BA249" i="5" s="1"/>
  <c r="AY264" i="5"/>
  <c r="AZ264" i="5" s="1"/>
  <c r="AY96" i="5"/>
  <c r="AZ96" i="5" s="1"/>
  <c r="AY227" i="5"/>
  <c r="AZ227" i="5" s="1"/>
  <c r="AY148" i="5"/>
  <c r="AX232" i="5"/>
  <c r="AY232" i="5" s="1"/>
  <c r="AX222" i="5"/>
  <c r="AY222" i="5" s="1"/>
  <c r="AZ222" i="5" s="1"/>
  <c r="BA222" i="5" s="1"/>
  <c r="BA241" i="5"/>
  <c r="AQ242" i="5"/>
  <c r="AO136" i="5"/>
  <c r="AQ136" i="5" s="1"/>
  <c r="AP136" i="5"/>
  <c r="AR136" i="5" s="1"/>
  <c r="BE136" i="5" s="1"/>
  <c r="BF136" i="5" s="1"/>
  <c r="AL249" i="5"/>
  <c r="AN283" i="5"/>
  <c r="AN304" i="5"/>
  <c r="AP304" i="5" s="1"/>
  <c r="BA187" i="5"/>
  <c r="AQ226" i="5"/>
  <c r="AY269" i="5"/>
  <c r="BA41" i="5"/>
  <c r="BA85" i="5"/>
  <c r="BA156" i="5"/>
  <c r="AY146" i="5"/>
  <c r="AZ146" i="5" s="1"/>
  <c r="AY139" i="5"/>
  <c r="AZ139" i="5" s="1"/>
  <c r="AY70" i="5"/>
  <c r="AZ70" i="5" s="1"/>
  <c r="AY138" i="5"/>
  <c r="AZ138" i="5" s="1"/>
  <c r="AY123" i="5"/>
  <c r="AO162" i="5"/>
  <c r="AQ162" i="5" s="1"/>
  <c r="AQ221" i="5"/>
  <c r="AO37" i="5"/>
  <c r="AP37" i="5"/>
  <c r="AQ193" i="5"/>
  <c r="AQ216" i="5"/>
  <c r="AO88" i="5"/>
  <c r="AP128" i="5"/>
  <c r="AO128" i="5"/>
  <c r="AO39" i="5"/>
  <c r="AQ39" i="5" s="1"/>
  <c r="Z73" i="5"/>
  <c r="AW92" i="5"/>
  <c r="AR85" i="5"/>
  <c r="AR113" i="5"/>
  <c r="AR143" i="5"/>
  <c r="AM237" i="5"/>
  <c r="AR237" i="5" s="1"/>
  <c r="AB292" i="5"/>
  <c r="J201" i="5"/>
  <c r="J301" i="5"/>
  <c r="AY301" i="5" s="1"/>
  <c r="AZ301" i="5" s="1"/>
  <c r="J240" i="5"/>
  <c r="AY240" i="5" s="1"/>
  <c r="AZ240" i="5" s="1"/>
  <c r="AB263" i="5"/>
  <c r="AA304" i="5"/>
  <c r="AX304" i="5" s="1"/>
  <c r="AY304" i="5" s="1"/>
  <c r="AA272" i="5"/>
  <c r="BD268" i="5"/>
  <c r="AX268" i="5"/>
  <c r="AA214" i="5"/>
  <c r="BD50" i="5"/>
  <c r="AX50" i="5"/>
  <c r="AY50" i="5" s="1"/>
  <c r="BD34" i="5"/>
  <c r="AX34" i="5"/>
  <c r="AY34" i="5" s="1"/>
  <c r="Y308" i="5"/>
  <c r="M308" i="5"/>
  <c r="N308" i="5" s="1"/>
  <c r="O308" i="5" s="1"/>
  <c r="Q308" i="5" s="1"/>
  <c r="AB308" i="5"/>
  <c r="AA308" i="5"/>
  <c r="K304" i="5"/>
  <c r="M304" i="5"/>
  <c r="N304" i="5" s="1"/>
  <c r="O304" i="5" s="1"/>
  <c r="Q304" i="5" s="1"/>
  <c r="T304" i="5" s="1"/>
  <c r="K299" i="5"/>
  <c r="J299" i="5"/>
  <c r="AY299" i="5" s="1"/>
  <c r="AM299" i="5"/>
  <c r="AR299" i="5" s="1"/>
  <c r="AV299" i="5"/>
  <c r="K295" i="5"/>
  <c r="J295" i="5"/>
  <c r="AY295" i="5" s="1"/>
  <c r="AZ295" i="5" s="1"/>
  <c r="AV295" i="5"/>
  <c r="AW295" i="5" s="1"/>
  <c r="AK295" i="5"/>
  <c r="AM295" i="5"/>
  <c r="AN295" i="5"/>
  <c r="J282" i="5"/>
  <c r="AY282" i="5" s="1"/>
  <c r="AZ282" i="5" s="1"/>
  <c r="BA282" i="5" s="1"/>
  <c r="L282" i="5"/>
  <c r="M279" i="5"/>
  <c r="N279" i="5" s="1"/>
  <c r="O279" i="5" s="1"/>
  <c r="Q279" i="5" s="1"/>
  <c r="Y279" i="5"/>
  <c r="AO279" i="5" s="1"/>
  <c r="AQ279" i="5" s="1"/>
  <c r="AS279" i="5" s="1"/>
  <c r="AT279" i="5" s="1"/>
  <c r="AU279" i="5" s="1"/>
  <c r="AC279" i="5" s="1"/>
  <c r="Z279" i="5"/>
  <c r="AA279" i="5"/>
  <c r="L278" i="5"/>
  <c r="J260" i="5"/>
  <c r="AY260" i="5" s="1"/>
  <c r="AK260" i="5"/>
  <c r="AL260" i="5" s="1"/>
  <c r="AM260" i="5"/>
  <c r="K260" i="5"/>
  <c r="BB260" i="5"/>
  <c r="BC260" i="5" s="1"/>
  <c r="AV260" i="5"/>
  <c r="AW260" i="5" s="1"/>
  <c r="M259" i="5"/>
  <c r="N259" i="5" s="1"/>
  <c r="O259" i="5" s="1"/>
  <c r="Q259" i="5" s="1"/>
  <c r="AB259" i="5"/>
  <c r="Z259" i="5"/>
  <c r="AA259" i="5"/>
  <c r="BB256" i="5"/>
  <c r="BC256" i="5" s="1"/>
  <c r="AK256" i="5"/>
  <c r="J256" i="5"/>
  <c r="AY256" i="5" s="1"/>
  <c r="AZ256" i="5" s="1"/>
  <c r="BA256" i="5" s="1"/>
  <c r="AM256" i="5"/>
  <c r="AB256" i="5"/>
  <c r="Y256" i="5"/>
  <c r="Z256" i="5"/>
  <c r="Y244" i="5"/>
  <c r="AO244" i="5" s="1"/>
  <c r="AQ244" i="5" s="1"/>
  <c r="M244" i="5"/>
  <c r="N244" i="5" s="1"/>
  <c r="O244" i="5" s="1"/>
  <c r="Q244" i="5" s="1"/>
  <c r="AB244" i="5"/>
  <c r="M239" i="5"/>
  <c r="N239" i="5" s="1"/>
  <c r="O239" i="5" s="1"/>
  <c r="Q239" i="5" s="1"/>
  <c r="S239" i="5" s="1"/>
  <c r="Y239" i="5"/>
  <c r="AA239" i="5"/>
  <c r="AX239" i="5" s="1"/>
  <c r="AB239" i="5"/>
  <c r="M237" i="5"/>
  <c r="N237" i="5" s="1"/>
  <c r="O237" i="5" s="1"/>
  <c r="Q237" i="5" s="1"/>
  <c r="T237" i="5" s="1"/>
  <c r="AB237" i="5"/>
  <c r="Y237" i="5"/>
  <c r="AO237" i="5" s="1"/>
  <c r="Z237" i="5"/>
  <c r="AA237" i="5"/>
  <c r="L236" i="5"/>
  <c r="M235" i="5"/>
  <c r="N235" i="5" s="1"/>
  <c r="O235" i="5" s="1"/>
  <c r="Q235" i="5" s="1"/>
  <c r="K227" i="5"/>
  <c r="BB227" i="5"/>
  <c r="AN227" i="5"/>
  <c r="AP227" i="5" s="1"/>
  <c r="AR227" i="5" s="1"/>
  <c r="AM227" i="5"/>
  <c r="K225" i="5"/>
  <c r="J225" i="5"/>
  <c r="BB225" i="5"/>
  <c r="BC225" i="5" s="1"/>
  <c r="AV225" i="5"/>
  <c r="AW225" i="5" s="1"/>
  <c r="K218" i="5"/>
  <c r="AM218" i="5"/>
  <c r="AK218" i="5"/>
  <c r="BB218" i="5"/>
  <c r="BC218" i="5" s="1"/>
  <c r="J218" i="5"/>
  <c r="AY218" i="5" s="1"/>
  <c r="M207" i="5"/>
  <c r="N207" i="5" s="1"/>
  <c r="O207" i="5" s="1"/>
  <c r="Q207" i="5" s="1"/>
  <c r="S207" i="5" s="1"/>
  <c r="AA207" i="5"/>
  <c r="AX207" i="5" s="1"/>
  <c r="AY207" i="5" s="1"/>
  <c r="Y207" i="5"/>
  <c r="Z207" i="5"/>
  <c r="M205" i="5"/>
  <c r="N205" i="5" s="1"/>
  <c r="O205" i="5" s="1"/>
  <c r="Q205" i="5" s="1"/>
  <c r="AB205" i="5"/>
  <c r="Y205" i="5"/>
  <c r="L204" i="5"/>
  <c r="M203" i="5"/>
  <c r="N203" i="5" s="1"/>
  <c r="O203" i="5" s="1"/>
  <c r="Q203" i="5" s="1"/>
  <c r="U203" i="5" s="1"/>
  <c r="K195" i="5"/>
  <c r="J195" i="5"/>
  <c r="AY195" i="5" s="1"/>
  <c r="AZ195" i="5" s="1"/>
  <c r="BA195" i="5" s="1"/>
  <c r="K193" i="5"/>
  <c r="J193" i="5"/>
  <c r="AY193" i="5" s="1"/>
  <c r="AZ193" i="5" s="1"/>
  <c r="BB193" i="5"/>
  <c r="AK193" i="5"/>
  <c r="AM193" i="5"/>
  <c r="AV193" i="5"/>
  <c r="K186" i="5"/>
  <c r="J186" i="5"/>
  <c r="AM186" i="5"/>
  <c r="AN186" i="5"/>
  <c r="AP186" i="5" s="1"/>
  <c r="AK186" i="5"/>
  <c r="J181" i="5"/>
  <c r="L181" i="5"/>
  <c r="M175" i="5"/>
  <c r="N175" i="5" s="1"/>
  <c r="O175" i="5" s="1"/>
  <c r="Q175" i="5" s="1"/>
  <c r="T175" i="5" s="1"/>
  <c r="AB175" i="5"/>
  <c r="AA175" i="5"/>
  <c r="AX175" i="5" s="1"/>
  <c r="AY175" i="5" s="1"/>
  <c r="AZ175" i="5" s="1"/>
  <c r="Y175" i="5"/>
  <c r="M173" i="5"/>
  <c r="N173" i="5" s="1"/>
  <c r="O173" i="5" s="1"/>
  <c r="Q173" i="5" s="1"/>
  <c r="U173" i="5" s="1"/>
  <c r="AA173" i="5"/>
  <c r="AB173" i="5"/>
  <c r="M171" i="5"/>
  <c r="N171" i="5" s="1"/>
  <c r="O171" i="5" s="1"/>
  <c r="Q171" i="5" s="1"/>
  <c r="T171" i="5" s="1"/>
  <c r="K163" i="5"/>
  <c r="J163" i="5"/>
  <c r="AN163" i="5"/>
  <c r="BB163" i="5"/>
  <c r="AM163" i="5"/>
  <c r="K161" i="5"/>
  <c r="AK161" i="5"/>
  <c r="AL161" i="5" s="1"/>
  <c r="AV161" i="5"/>
  <c r="BB161" i="5"/>
  <c r="AN161" i="5"/>
  <c r="AP161" i="5" s="1"/>
  <c r="AR161" i="5" s="1"/>
  <c r="AM161" i="5"/>
  <c r="K154" i="5"/>
  <c r="AM154" i="5"/>
  <c r="J154" i="5"/>
  <c r="BB154" i="5"/>
  <c r="BC154" i="5" s="1"/>
  <c r="AK154" i="5"/>
  <c r="J149" i="5"/>
  <c r="L149" i="5"/>
  <c r="K138" i="5"/>
  <c r="J138" i="5"/>
  <c r="AM138" i="5"/>
  <c r="BB138" i="5"/>
  <c r="AV138" i="5"/>
  <c r="AN138" i="5"/>
  <c r="M137" i="5"/>
  <c r="N137" i="5" s="1"/>
  <c r="O137" i="5" s="1"/>
  <c r="Q137" i="5" s="1"/>
  <c r="T137" i="5" s="1"/>
  <c r="Y137" i="5"/>
  <c r="AA137" i="5"/>
  <c r="AB137" i="5"/>
  <c r="Z137" i="5"/>
  <c r="K70" i="5"/>
  <c r="AM70" i="5"/>
  <c r="AN70" i="5"/>
  <c r="AK70" i="5"/>
  <c r="K58" i="5"/>
  <c r="J58" i="5"/>
  <c r="AK58" i="5"/>
  <c r="AV58" i="5"/>
  <c r="AW58" i="5" s="1"/>
  <c r="M57" i="5"/>
  <c r="N57" i="5" s="1"/>
  <c r="O57" i="5" s="1"/>
  <c r="Q57" i="5" s="1"/>
  <c r="AA57" i="5"/>
  <c r="AM54" i="5"/>
  <c r="J54" i="5"/>
  <c r="AO54" i="5"/>
  <c r="AQ54" i="5" s="1"/>
  <c r="BC61" i="5"/>
  <c r="AL61" i="5"/>
  <c r="AW175" i="5"/>
  <c r="BC268" i="5"/>
  <c r="AL124" i="5"/>
  <c r="BC222" i="5"/>
  <c r="AW249" i="5"/>
  <c r="K307" i="5"/>
  <c r="BB307" i="5"/>
  <c r="AV307" i="5"/>
  <c r="J307" i="5"/>
  <c r="AK307" i="5"/>
  <c r="M303" i="5"/>
  <c r="N303" i="5" s="1"/>
  <c r="O303" i="5" s="1"/>
  <c r="Q303" i="5" s="1"/>
  <c r="AB303" i="5"/>
  <c r="BB300" i="5"/>
  <c r="AK300" i="5"/>
  <c r="AM300" i="5"/>
  <c r="L297" i="5"/>
  <c r="J297" i="5"/>
  <c r="K291" i="5"/>
  <c r="BB291" i="5"/>
  <c r="AV291" i="5"/>
  <c r="M287" i="5"/>
  <c r="N287" i="5" s="1"/>
  <c r="O287" i="5" s="1"/>
  <c r="Q287" i="5" s="1"/>
  <c r="T287" i="5" s="1"/>
  <c r="Y287" i="5"/>
  <c r="AB287" i="5"/>
  <c r="AV284" i="5"/>
  <c r="AK284" i="5"/>
  <c r="AL284" i="5" s="1"/>
  <c r="L281" i="5"/>
  <c r="J281" i="5"/>
  <c r="AY281" i="5" s="1"/>
  <c r="K275" i="5"/>
  <c r="BB275" i="5"/>
  <c r="J275" i="5"/>
  <c r="AK275" i="5"/>
  <c r="M271" i="5"/>
  <c r="N271" i="5" s="1"/>
  <c r="O271" i="5" s="1"/>
  <c r="Q271" i="5" s="1"/>
  <c r="U271" i="5" s="1"/>
  <c r="AB271" i="5"/>
  <c r="Y271" i="5"/>
  <c r="AO271" i="5" s="1"/>
  <c r="AQ271" i="5" s="1"/>
  <c r="J268" i="5"/>
  <c r="AK268" i="5"/>
  <c r="AL268" i="5" s="1"/>
  <c r="AM268" i="5"/>
  <c r="L265" i="5"/>
  <c r="J265" i="5"/>
  <c r="AY265" i="5" s="1"/>
  <c r="AZ265" i="5" s="1"/>
  <c r="K259" i="5"/>
  <c r="J259" i="5"/>
  <c r="AM259" i="5"/>
  <c r="BB259" i="5"/>
  <c r="M255" i="5"/>
  <c r="N255" i="5" s="1"/>
  <c r="O255" i="5" s="1"/>
  <c r="Q255" i="5" s="1"/>
  <c r="U255" i="5" s="1"/>
  <c r="AB255" i="5"/>
  <c r="AK252" i="5"/>
  <c r="AL252" i="5" s="1"/>
  <c r="AM252" i="5"/>
  <c r="L249" i="5"/>
  <c r="J249" i="5"/>
  <c r="K243" i="5"/>
  <c r="AK243" i="5"/>
  <c r="J243" i="5"/>
  <c r="AM239" i="5"/>
  <c r="AK239" i="5"/>
  <c r="M234" i="5"/>
  <c r="N234" i="5" s="1"/>
  <c r="O234" i="5" s="1"/>
  <c r="Q234" i="5" s="1"/>
  <c r="S234" i="5" s="1"/>
  <c r="AA234" i="5"/>
  <c r="AX234" i="5" s="1"/>
  <c r="AY234" i="5" s="1"/>
  <c r="Y234" i="5"/>
  <c r="M233" i="5"/>
  <c r="N233" i="5" s="1"/>
  <c r="O233" i="5" s="1"/>
  <c r="Q233" i="5" s="1"/>
  <c r="Y233" i="5"/>
  <c r="AO233" i="5" s="1"/>
  <c r="AQ233" i="5" s="1"/>
  <c r="AA230" i="5"/>
  <c r="AX230" i="5" s="1"/>
  <c r="AY230" i="5" s="1"/>
  <c r="AB230" i="5"/>
  <c r="Z230" i="5"/>
  <c r="M223" i="5"/>
  <c r="N223" i="5" s="1"/>
  <c r="O223" i="5" s="1"/>
  <c r="Q223" i="5" s="1"/>
  <c r="U223" i="5" s="1"/>
  <c r="AA223" i="5"/>
  <c r="K211" i="5"/>
  <c r="AK211" i="5"/>
  <c r="AV211" i="5"/>
  <c r="J211" i="5"/>
  <c r="AY211" i="5" s="1"/>
  <c r="BB211" i="5"/>
  <c r="K209" i="5"/>
  <c r="AM209" i="5"/>
  <c r="AV209" i="5"/>
  <c r="AK207" i="5"/>
  <c r="AV207" i="5"/>
  <c r="M202" i="5"/>
  <c r="N202" i="5" s="1"/>
  <c r="O202" i="5" s="1"/>
  <c r="Q202" i="5" s="1"/>
  <c r="T202" i="5" s="1"/>
  <c r="Z202" i="5"/>
  <c r="M201" i="5"/>
  <c r="N201" i="5" s="1"/>
  <c r="O201" i="5" s="1"/>
  <c r="Q201" i="5" s="1"/>
  <c r="T201" i="5" s="1"/>
  <c r="Z201" i="5"/>
  <c r="AA201" i="5"/>
  <c r="AB201" i="5"/>
  <c r="BB198" i="5"/>
  <c r="AK198" i="5"/>
  <c r="J198" i="5"/>
  <c r="AY198" i="5" s="1"/>
  <c r="M191" i="5"/>
  <c r="N191" i="5" s="1"/>
  <c r="O191" i="5" s="1"/>
  <c r="Q191" i="5" s="1"/>
  <c r="S191" i="5" s="1"/>
  <c r="Y191" i="5"/>
  <c r="Z191" i="5"/>
  <c r="M189" i="5"/>
  <c r="N189" i="5" s="1"/>
  <c r="O189" i="5" s="1"/>
  <c r="Q189" i="5" s="1"/>
  <c r="T189" i="5" s="1"/>
  <c r="AA189" i="5"/>
  <c r="AX189" i="5" s="1"/>
  <c r="AY189" i="5" s="1"/>
  <c r="Y189" i="5"/>
  <c r="Z189" i="5"/>
  <c r="K179" i="5"/>
  <c r="AM179" i="5"/>
  <c r="J179" i="5"/>
  <c r="K177" i="5"/>
  <c r="AK177" i="5"/>
  <c r="BB177" i="5"/>
  <c r="AK175" i="5"/>
  <c r="AL175" i="5" s="1"/>
  <c r="BB175" i="5"/>
  <c r="BC175" i="5" s="1"/>
  <c r="M170" i="5"/>
  <c r="N170" i="5" s="1"/>
  <c r="O170" i="5" s="1"/>
  <c r="Q170" i="5" s="1"/>
  <c r="U170" i="5" s="1"/>
  <c r="AA170" i="5"/>
  <c r="M169" i="5"/>
  <c r="N169" i="5" s="1"/>
  <c r="O169" i="5" s="1"/>
  <c r="Q169" i="5" s="1"/>
  <c r="AA169" i="5"/>
  <c r="AK166" i="5"/>
  <c r="BB166" i="5"/>
  <c r="J166" i="5"/>
  <c r="AA166" i="5"/>
  <c r="AX166" i="5" s="1"/>
  <c r="AY166" i="5" s="1"/>
  <c r="AZ166" i="5" s="1"/>
  <c r="Y166" i="5"/>
  <c r="AO166" i="5" s="1"/>
  <c r="AQ166" i="5" s="1"/>
  <c r="M159" i="5"/>
  <c r="N159" i="5" s="1"/>
  <c r="O159" i="5" s="1"/>
  <c r="Q159" i="5" s="1"/>
  <c r="U159" i="5" s="1"/>
  <c r="AA159" i="5"/>
  <c r="BC159" i="5" s="1"/>
  <c r="M157" i="5"/>
  <c r="N157" i="5" s="1"/>
  <c r="O157" i="5" s="1"/>
  <c r="Q157" i="5" s="1"/>
  <c r="T157" i="5" s="1"/>
  <c r="Z157" i="5"/>
  <c r="K147" i="5"/>
  <c r="BB147" i="5"/>
  <c r="BC147" i="5" s="1"/>
  <c r="J147" i="5"/>
  <c r="AY147" i="5" s="1"/>
  <c r="AM147" i="5"/>
  <c r="K145" i="5"/>
  <c r="AV145" i="5"/>
  <c r="K141" i="5"/>
  <c r="AV141" i="5"/>
  <c r="M125" i="5"/>
  <c r="N125" i="5" s="1"/>
  <c r="O125" i="5" s="1"/>
  <c r="Q125" i="5" s="1"/>
  <c r="U125" i="5" s="1"/>
  <c r="AA125" i="5"/>
  <c r="M105" i="5"/>
  <c r="N105" i="5" s="1"/>
  <c r="O105" i="5" s="1"/>
  <c r="Q105" i="5" s="1"/>
  <c r="S105" i="5" s="1"/>
  <c r="AA105" i="5"/>
  <c r="AX105" i="5" s="1"/>
  <c r="AY105" i="5" s="1"/>
  <c r="AW102" i="5"/>
  <c r="M90" i="5"/>
  <c r="N90" i="5" s="1"/>
  <c r="O90" i="5" s="1"/>
  <c r="Q90" i="5" s="1"/>
  <c r="U90" i="5" s="1"/>
  <c r="AA90" i="5"/>
  <c r="M24" i="5"/>
  <c r="N24" i="5" s="1"/>
  <c r="O24" i="5" s="1"/>
  <c r="Q24" i="5" s="1"/>
  <c r="S24" i="5" s="1"/>
  <c r="AA24" i="5"/>
  <c r="AX24" i="5" s="1"/>
  <c r="AY24" i="5" s="1"/>
  <c r="AZ24" i="5" s="1"/>
  <c r="M16" i="5"/>
  <c r="N16" i="5" s="1"/>
  <c r="O16" i="5" s="1"/>
  <c r="Q16" i="5" s="1"/>
  <c r="Z16" i="5"/>
  <c r="AO198" i="5"/>
  <c r="AQ198" i="5" s="1"/>
  <c r="AR50" i="5"/>
  <c r="AO153" i="5"/>
  <c r="AQ153" i="5" s="1"/>
  <c r="AR258" i="5"/>
  <c r="AO89" i="5"/>
  <c r="AQ89" i="5" s="1"/>
  <c r="AQ101" i="5"/>
  <c r="AO200" i="5"/>
  <c r="AQ200" i="5" s="1"/>
  <c r="AL26" i="5"/>
  <c r="BC34" i="5"/>
  <c r="AL46" i="5"/>
  <c r="AW50" i="5"/>
  <c r="BC96" i="5"/>
  <c r="AL75" i="5"/>
  <c r="AW107" i="5"/>
  <c r="AL57" i="5"/>
  <c r="AY221" i="5"/>
  <c r="AZ221" i="5" s="1"/>
  <c r="AY236" i="5"/>
  <c r="AZ236" i="5" s="1"/>
  <c r="AY113" i="5"/>
  <c r="AZ113" i="5" s="1"/>
  <c r="AY285" i="5"/>
  <c r="AZ285" i="5" s="1"/>
  <c r="AY63" i="5"/>
  <c r="AZ63" i="5" s="1"/>
  <c r="BA63" i="5" s="1"/>
  <c r="AY191" i="5"/>
  <c r="AZ191" i="5" s="1"/>
  <c r="AY277" i="5"/>
  <c r="AZ277" i="5" s="1"/>
  <c r="AY28" i="5"/>
  <c r="AZ28" i="5" s="1"/>
  <c r="BA28" i="5" s="1"/>
  <c r="AY289" i="5"/>
  <c r="AZ289" i="5" s="1"/>
  <c r="BA289" i="5" s="1"/>
  <c r="AY108" i="5"/>
  <c r="AY266" i="5"/>
  <c r="AZ266" i="5" s="1"/>
  <c r="BA266" i="5" s="1"/>
  <c r="AY49" i="5"/>
  <c r="AZ49" i="5" s="1"/>
  <c r="AY88" i="5"/>
  <c r="AY68" i="5"/>
  <c r="AY30" i="5"/>
  <c r="BA152" i="5"/>
  <c r="AY167" i="5"/>
  <c r="AZ167" i="5" s="1"/>
  <c r="AY262" i="5"/>
  <c r="AZ262" i="5" s="1"/>
  <c r="AY271" i="5"/>
  <c r="AP153" i="5"/>
  <c r="AR153" i="5" s="1"/>
  <c r="AO77" i="5"/>
  <c r="M35" i="5"/>
  <c r="N35" i="5" s="1"/>
  <c r="O35" i="5" s="1"/>
  <c r="Q35" i="5" s="1"/>
  <c r="S35" i="5" s="1"/>
  <c r="AR62" i="5"/>
  <c r="AO24" i="5"/>
  <c r="AQ24" i="5" s="1"/>
  <c r="AR95" i="5"/>
  <c r="AQ140" i="5"/>
  <c r="AO12" i="5"/>
  <c r="AO55" i="5"/>
  <c r="AL21" i="5"/>
  <c r="AW61" i="5"/>
  <c r="BC106" i="5"/>
  <c r="AW26" i="5"/>
  <c r="AL34" i="5"/>
  <c r="BC92" i="5"/>
  <c r="AL80" i="5"/>
  <c r="AW127" i="5"/>
  <c r="BC139" i="5"/>
  <c r="AW198" i="5"/>
  <c r="AV230" i="5"/>
  <c r="AW232" i="5"/>
  <c r="AV241" i="5"/>
  <c r="AW241" i="5" s="1"/>
  <c r="Z255" i="5"/>
  <c r="Z271" i="5"/>
  <c r="Z287" i="5"/>
  <c r="Y252" i="5"/>
  <c r="Y268" i="5"/>
  <c r="BB145" i="5"/>
  <c r="BC164" i="5"/>
  <c r="Y230" i="5"/>
  <c r="AM284" i="5"/>
  <c r="AR284" i="5" s="1"/>
  <c r="AB189" i="5"/>
  <c r="AV252" i="5"/>
  <c r="Y303" i="5"/>
  <c r="Y159" i="5"/>
  <c r="AO159" i="5" s="1"/>
  <c r="AQ159" i="5" s="1"/>
  <c r="AK145" i="5"/>
  <c r="AL145" i="5" s="1"/>
  <c r="AV300" i="5"/>
  <c r="AB202" i="5"/>
  <c r="AW124" i="5"/>
  <c r="BB207" i="5"/>
  <c r="AK230" i="5"/>
  <c r="AL184" i="5"/>
  <c r="AK291" i="5"/>
  <c r="J141" i="5"/>
  <c r="J239" i="5"/>
  <c r="AL228" i="5"/>
  <c r="BC235" i="5"/>
  <c r="J209" i="5"/>
  <c r="AY209" i="5" s="1"/>
  <c r="AZ209" i="5" s="1"/>
  <c r="BB284" i="5"/>
  <c r="AB223" i="5"/>
  <c r="AB221" i="5"/>
  <c r="AA202" i="5"/>
  <c r="L309" i="5"/>
  <c r="J309" i="5"/>
  <c r="AY309" i="5" s="1"/>
  <c r="K303" i="5"/>
  <c r="BB303" i="5"/>
  <c r="AK303" i="5"/>
  <c r="M299" i="5"/>
  <c r="Y299" i="5"/>
  <c r="J296" i="5"/>
  <c r="BB296" i="5"/>
  <c r="AK296" i="5"/>
  <c r="AL296" i="5" s="1"/>
  <c r="AV296" i="5"/>
  <c r="K287" i="5"/>
  <c r="AM287" i="5"/>
  <c r="BB287" i="5"/>
  <c r="BC287" i="5" s="1"/>
  <c r="J287" i="5"/>
  <c r="AY287" i="5" s="1"/>
  <c r="AZ287" i="5" s="1"/>
  <c r="BA287" i="5" s="1"/>
  <c r="AK287" i="5"/>
  <c r="AL287" i="5" s="1"/>
  <c r="AV287" i="5"/>
  <c r="AW287" i="5" s="1"/>
  <c r="M283" i="5"/>
  <c r="N283" i="5" s="1"/>
  <c r="O283" i="5" s="1"/>
  <c r="Q283" i="5" s="1"/>
  <c r="Y283" i="5"/>
  <c r="K271" i="5"/>
  <c r="BB271" i="5"/>
  <c r="AV271" i="5"/>
  <c r="M267" i="5"/>
  <c r="N267" i="5" s="1"/>
  <c r="O267" i="5" s="1"/>
  <c r="Q267" i="5" s="1"/>
  <c r="U267" i="5" s="1"/>
  <c r="AB267" i="5"/>
  <c r="AV264" i="5"/>
  <c r="AM264" i="5"/>
  <c r="K255" i="5"/>
  <c r="AM255" i="5"/>
  <c r="M251" i="5"/>
  <c r="N251" i="5" s="1"/>
  <c r="O251" i="5" s="1"/>
  <c r="Q251" i="5" s="1"/>
  <c r="AB251" i="5"/>
  <c r="J248" i="5"/>
  <c r="AK248" i="5"/>
  <c r="K221" i="5"/>
  <c r="AM221" i="5"/>
  <c r="J221" i="5"/>
  <c r="BB221" i="5"/>
  <c r="K202" i="5"/>
  <c r="J202" i="5"/>
  <c r="K189" i="5"/>
  <c r="AM189" i="5"/>
  <c r="L185" i="5"/>
  <c r="J185" i="5"/>
  <c r="L183" i="5"/>
  <c r="J183" i="5"/>
  <c r="AY183" i="5" s="1"/>
  <c r="K170" i="5"/>
  <c r="AM170" i="5"/>
  <c r="AK170" i="5"/>
  <c r="AL170" i="5" s="1"/>
  <c r="K157" i="5"/>
  <c r="BB157" i="5"/>
  <c r="BC157" i="5" s="1"/>
  <c r="J157" i="5"/>
  <c r="AK157" i="5"/>
  <c r="AL157" i="5" s="1"/>
  <c r="AA155" i="5"/>
  <c r="AB155" i="5"/>
  <c r="L151" i="5"/>
  <c r="J151" i="5"/>
  <c r="AY151" i="5" s="1"/>
  <c r="AZ151" i="5" s="1"/>
  <c r="M138" i="5"/>
  <c r="N138" i="5" s="1"/>
  <c r="O138" i="5" s="1"/>
  <c r="Q138" i="5" s="1"/>
  <c r="Y138" i="5"/>
  <c r="Z138" i="5"/>
  <c r="L135" i="5"/>
  <c r="J135" i="5"/>
  <c r="AY135" i="5" s="1"/>
  <c r="K129" i="5"/>
  <c r="AM129" i="5"/>
  <c r="K125" i="5"/>
  <c r="AV125" i="5"/>
  <c r="J125" i="5"/>
  <c r="BB125" i="5"/>
  <c r="M109" i="5"/>
  <c r="N109" i="5" s="1"/>
  <c r="O109" i="5" s="1"/>
  <c r="Q109" i="5" s="1"/>
  <c r="AA109" i="5"/>
  <c r="AX109" i="5" s="1"/>
  <c r="AY109" i="5" s="1"/>
  <c r="AZ109" i="5" s="1"/>
  <c r="BC153" i="5"/>
  <c r="AL135" i="5"/>
  <c r="AL172" i="5"/>
  <c r="AL131" i="5"/>
  <c r="AW156" i="5"/>
  <c r="BC213" i="5"/>
  <c r="AL302" i="5"/>
  <c r="AY286" i="5"/>
  <c r="AZ286" i="5" s="1"/>
  <c r="BA286" i="5" s="1"/>
  <c r="AY212" i="5"/>
  <c r="AZ212" i="5" s="1"/>
  <c r="AY178" i="5"/>
  <c r="AZ178" i="5" s="1"/>
  <c r="AY95" i="5"/>
  <c r="AZ95" i="5" s="1"/>
  <c r="AY79" i="5"/>
  <c r="AZ79" i="5" s="1"/>
  <c r="AL76" i="5"/>
  <c r="AY66" i="5"/>
  <c r="AZ66" i="5" s="1"/>
  <c r="AY56" i="5"/>
  <c r="AZ56" i="5" s="1"/>
  <c r="AY52" i="5"/>
  <c r="AY48" i="5"/>
  <c r="AZ48" i="5" s="1"/>
  <c r="AY40" i="5"/>
  <c r="AZ40" i="5" s="1"/>
  <c r="AR249" i="5"/>
  <c r="AW183" i="5"/>
  <c r="AW168" i="5"/>
  <c r="AP75" i="5"/>
  <c r="AY238" i="5"/>
  <c r="AZ238" i="5" s="1"/>
  <c r="AY181" i="5"/>
  <c r="BC162" i="5"/>
  <c r="AY72" i="5"/>
  <c r="AZ72" i="5" s="1"/>
  <c r="AY39" i="5"/>
  <c r="AY36" i="5"/>
  <c r="AZ36" i="5" s="1"/>
  <c r="T19" i="7"/>
  <c r="U22" i="7"/>
  <c r="O22" i="7" s="1"/>
  <c r="F8" i="8"/>
  <c r="BU10" i="7" s="1"/>
  <c r="F8" i="6"/>
  <c r="W6" i="5" s="1"/>
  <c r="T17" i="7"/>
  <c r="T22" i="7"/>
  <c r="T16" i="7"/>
  <c r="S22" i="7"/>
  <c r="S20" i="7"/>
  <c r="U17" i="7"/>
  <c r="U16" i="7"/>
  <c r="P37" i="7"/>
  <c r="O28" i="7"/>
  <c r="M70" i="7"/>
  <c r="E186" i="6"/>
  <c r="G189" i="7" s="1"/>
  <c r="D154" i="6"/>
  <c r="F157" i="7" s="1"/>
  <c r="Z154" i="6"/>
  <c r="AE157" i="7" s="1"/>
  <c r="Q157" i="7" s="1"/>
  <c r="M189" i="7"/>
  <c r="D162" i="6"/>
  <c r="F165" i="7" s="1"/>
  <c r="M281" i="7"/>
  <c r="M268" i="7"/>
  <c r="AG206" i="6"/>
  <c r="AG43" i="6"/>
  <c r="H186" i="6"/>
  <c r="J189" i="7" s="1"/>
  <c r="H154" i="6"/>
  <c r="J157" i="7" s="1"/>
  <c r="H254" i="6"/>
  <c r="J257" i="7" s="1"/>
  <c r="M157" i="7"/>
  <c r="Z222" i="6"/>
  <c r="AE225" i="7" s="1"/>
  <c r="AG225" i="7" s="1"/>
  <c r="BJ225" i="7" s="1"/>
  <c r="F138" i="6"/>
  <c r="H141" i="7" s="1"/>
  <c r="F202" i="6"/>
  <c r="H205" i="7" s="1"/>
  <c r="Z142" i="6"/>
  <c r="AE145" i="7" s="1"/>
  <c r="Q145" i="7" s="1"/>
  <c r="M205" i="7"/>
  <c r="E95" i="6"/>
  <c r="G98" i="7" s="1"/>
  <c r="AG138" i="6"/>
  <c r="E154" i="6"/>
  <c r="G157" i="7" s="1"/>
  <c r="AG230" i="6"/>
  <c r="M165" i="7"/>
  <c r="AF165" i="7" s="1"/>
  <c r="M82" i="7"/>
  <c r="M221" i="7"/>
  <c r="E174" i="6"/>
  <c r="G177" i="7" s="1"/>
  <c r="F190" i="6"/>
  <c r="H193" i="7" s="1"/>
  <c r="F43" i="6"/>
  <c r="H46" i="7" s="1"/>
  <c r="H138" i="6"/>
  <c r="J141" i="7" s="1"/>
  <c r="AG310" i="6"/>
  <c r="F174" i="6"/>
  <c r="H177" i="7" s="1"/>
  <c r="M46" i="7"/>
  <c r="M106" i="7"/>
  <c r="M233" i="7"/>
  <c r="H249" i="6"/>
  <c r="J252" i="7" s="1"/>
  <c r="D277" i="6"/>
  <c r="F280" i="7" s="1"/>
  <c r="Z62" i="6"/>
  <c r="AE65" i="7" s="1"/>
  <c r="AG65" i="7" s="1"/>
  <c r="BC65" i="7" s="1"/>
  <c r="M73" i="7"/>
  <c r="M280" i="7"/>
  <c r="E62" i="6"/>
  <c r="G65" i="7" s="1"/>
  <c r="H304" i="6"/>
  <c r="J307" i="7" s="1"/>
  <c r="E81" i="6"/>
  <c r="G84" i="7" s="1"/>
  <c r="M151" i="7"/>
  <c r="M84" i="7"/>
  <c r="AF84" i="7" s="1"/>
  <c r="V65" i="7"/>
  <c r="AG277" i="6"/>
  <c r="AG62" i="6"/>
  <c r="M168" i="7"/>
  <c r="AF168" i="7" s="1"/>
  <c r="M65" i="7"/>
  <c r="E57" i="6"/>
  <c r="G60" i="7" s="1"/>
  <c r="F62" i="6"/>
  <c r="H65" i="7" s="1"/>
  <c r="M64" i="7"/>
  <c r="H62" i="6"/>
  <c r="J65" i="7" s="1"/>
  <c r="M216" i="7"/>
  <c r="H77" i="6"/>
  <c r="J80" i="7" s="1"/>
  <c r="F98" i="6"/>
  <c r="H101" i="7" s="1"/>
  <c r="Z69" i="6"/>
  <c r="AE72" i="7" s="1"/>
  <c r="Q72" i="7" s="1"/>
  <c r="E277" i="6"/>
  <c r="G280" i="7" s="1"/>
  <c r="F148" i="6"/>
  <c r="H151" i="7" s="1"/>
  <c r="D62" i="6"/>
  <c r="F65" i="7" s="1"/>
  <c r="E77" i="6"/>
  <c r="G80" i="7" s="1"/>
  <c r="AG81" i="6"/>
  <c r="E69" i="6"/>
  <c r="G72" i="7" s="1"/>
  <c r="M307" i="7"/>
  <c r="M211" i="7"/>
  <c r="D45" i="6"/>
  <c r="F48" i="7" s="1"/>
  <c r="Z77" i="6"/>
  <c r="AE80" i="7" s="1"/>
  <c r="AG80" i="7" s="1"/>
  <c r="BB80" i="7" s="1"/>
  <c r="F144" i="6"/>
  <c r="H147" i="7" s="1"/>
  <c r="AG304" i="6"/>
  <c r="Z204" i="6"/>
  <c r="AE207" i="7" s="1"/>
  <c r="AG207" i="7" s="1"/>
  <c r="BD207" i="7" s="1"/>
  <c r="Z148" i="6"/>
  <c r="AE151" i="7" s="1"/>
  <c r="AG151" i="7" s="1"/>
  <c r="BD151" i="7" s="1"/>
  <c r="Z304" i="6"/>
  <c r="AE307" i="7" s="1"/>
  <c r="Q307" i="7" s="1"/>
  <c r="F236" i="6"/>
  <c r="H239" i="7" s="1"/>
  <c r="M223" i="7"/>
  <c r="M96" i="7"/>
  <c r="AG208" i="6"/>
  <c r="M303" i="7"/>
  <c r="D77" i="6"/>
  <c r="F80" i="7" s="1"/>
  <c r="H81" i="6"/>
  <c r="J84" i="7" s="1"/>
  <c r="F81" i="6"/>
  <c r="H84" i="7" s="1"/>
  <c r="F69" i="6"/>
  <c r="H72" i="7" s="1"/>
  <c r="F220" i="6"/>
  <c r="H223" i="7" s="1"/>
  <c r="E304" i="6"/>
  <c r="G307" i="7" s="1"/>
  <c r="D268" i="6"/>
  <c r="F271" i="7" s="1"/>
  <c r="F175" i="6"/>
  <c r="H178" i="7" s="1"/>
  <c r="M202" i="7"/>
  <c r="M159" i="7"/>
  <c r="AG77" i="6"/>
  <c r="AG113" i="6"/>
  <c r="D144" i="6"/>
  <c r="F147" i="7" s="1"/>
  <c r="D81" i="6"/>
  <c r="F84" i="7" s="1"/>
  <c r="E148" i="6"/>
  <c r="G151" i="7" s="1"/>
  <c r="H57" i="6"/>
  <c r="J60" i="7" s="1"/>
  <c r="M80" i="7"/>
  <c r="M299" i="7"/>
  <c r="M88" i="7"/>
  <c r="E50" i="6"/>
  <c r="G53" i="7" s="1"/>
  <c r="E56" i="6"/>
  <c r="G59" i="7" s="1"/>
  <c r="F84" i="6"/>
  <c r="H87" i="7" s="1"/>
  <c r="D206" i="6"/>
  <c r="F209" i="7" s="1"/>
  <c r="AG162" i="6"/>
  <c r="D25" i="6"/>
  <c r="F28" i="7" s="1"/>
  <c r="E286" i="6"/>
  <c r="G289" i="7" s="1"/>
  <c r="D138" i="6"/>
  <c r="F141" i="7" s="1"/>
  <c r="Z138" i="6"/>
  <c r="AE141" i="7" s="1"/>
  <c r="AG141" i="7" s="1"/>
  <c r="BJ141" i="7" s="1"/>
  <c r="Z187" i="6"/>
  <c r="AE190" i="7" s="1"/>
  <c r="AG190" i="7" s="1"/>
  <c r="BD190" i="7" s="1"/>
  <c r="AG250" i="6"/>
  <c r="AG154" i="6"/>
  <c r="E207" i="6"/>
  <c r="G210" i="7" s="1"/>
  <c r="Z174" i="6"/>
  <c r="AE177" i="7" s="1"/>
  <c r="BE177" i="7" s="1"/>
  <c r="D174" i="6"/>
  <c r="F177" i="7" s="1"/>
  <c r="H142" i="6"/>
  <c r="J145" i="7" s="1"/>
  <c r="M141" i="7"/>
  <c r="M253" i="7"/>
  <c r="M134" i="7"/>
  <c r="M177" i="7"/>
  <c r="M249" i="7"/>
  <c r="AF249" i="7" s="1"/>
  <c r="D142" i="6"/>
  <c r="F145" i="7" s="1"/>
  <c r="AG72" i="6"/>
  <c r="H187" i="6"/>
  <c r="J190" i="7" s="1"/>
  <c r="E231" i="6"/>
  <c r="G234" i="7" s="1"/>
  <c r="Q165" i="7"/>
  <c r="F60" i="6"/>
  <c r="H63" i="7" s="1"/>
  <c r="Z88" i="6"/>
  <c r="AE91" i="7" s="1"/>
  <c r="AG91" i="7" s="1"/>
  <c r="D190" i="6"/>
  <c r="F193" i="7" s="1"/>
  <c r="AG57" i="6"/>
  <c r="D222" i="6"/>
  <c r="F225" i="7" s="1"/>
  <c r="E162" i="6"/>
  <c r="G165" i="7" s="1"/>
  <c r="H79" i="6"/>
  <c r="J82" i="7" s="1"/>
  <c r="E202" i="6"/>
  <c r="G205" i="7" s="1"/>
  <c r="Z250" i="6"/>
  <c r="AE253" i="7" s="1"/>
  <c r="Q253" i="7" s="1"/>
  <c r="E159" i="6"/>
  <c r="G162" i="7" s="1"/>
  <c r="D179" i="6"/>
  <c r="F182" i="7" s="1"/>
  <c r="AG174" i="6"/>
  <c r="H174" i="6"/>
  <c r="J177" i="7" s="1"/>
  <c r="M87" i="7"/>
  <c r="Z254" i="6"/>
  <c r="AE257" i="7" s="1"/>
  <c r="M145" i="7"/>
  <c r="M261" i="7"/>
  <c r="AF261" i="7" s="1"/>
  <c r="M210" i="7"/>
  <c r="M181" i="7"/>
  <c r="M257" i="7"/>
  <c r="F246" i="6"/>
  <c r="H249" i="7" s="1"/>
  <c r="A60" i="7"/>
  <c r="A54" i="6"/>
  <c r="T54" i="6" s="1"/>
  <c r="Z56" i="6"/>
  <c r="AE59" i="7" s="1"/>
  <c r="AG59" i="7" s="1"/>
  <c r="BD59" i="7" s="1"/>
  <c r="Z45" i="6"/>
  <c r="AE48" i="7" s="1"/>
  <c r="AG48" i="7" s="1"/>
  <c r="BC48" i="7" s="1"/>
  <c r="AG173" i="6"/>
  <c r="E165" i="6"/>
  <c r="G168" i="7" s="1"/>
  <c r="D67" i="6"/>
  <c r="F70" i="7" s="1"/>
  <c r="E220" i="6"/>
  <c r="G223" i="7" s="1"/>
  <c r="AG25" i="6"/>
  <c r="Z236" i="6"/>
  <c r="AE239" i="7" s="1"/>
  <c r="D118" i="6"/>
  <c r="F121" i="7" s="1"/>
  <c r="E236" i="6"/>
  <c r="G239" i="7" s="1"/>
  <c r="AG56" i="6"/>
  <c r="F157" i="6"/>
  <c r="H160" i="7" s="1"/>
  <c r="H67" i="6"/>
  <c r="J70" i="7" s="1"/>
  <c r="H220" i="6"/>
  <c r="J223" i="7" s="1"/>
  <c r="AG196" i="6"/>
  <c r="E260" i="6"/>
  <c r="G263" i="7" s="1"/>
  <c r="D236" i="6"/>
  <c r="F239" i="7" s="1"/>
  <c r="M59" i="7"/>
  <c r="M314" i="7"/>
  <c r="M28" i="7"/>
  <c r="H208" i="6"/>
  <c r="J211" i="7" s="1"/>
  <c r="E204" i="6"/>
  <c r="G207" i="7" s="1"/>
  <c r="G268" i="6"/>
  <c r="I271" i="7" s="1"/>
  <c r="AK271" i="7" s="1"/>
  <c r="A98" i="7"/>
  <c r="H95" i="6"/>
  <c r="J98" i="7" s="1"/>
  <c r="F79" i="6"/>
  <c r="H82" i="7" s="1"/>
  <c r="AG53" i="6"/>
  <c r="H204" i="6"/>
  <c r="J207" i="7" s="1"/>
  <c r="M98" i="7"/>
  <c r="M271" i="7"/>
  <c r="D208" i="6"/>
  <c r="F211" i="7" s="1"/>
  <c r="M239" i="7"/>
  <c r="M187" i="7"/>
  <c r="F56" i="6"/>
  <c r="H59" i="7" s="1"/>
  <c r="D56" i="6"/>
  <c r="F59" i="7" s="1"/>
  <c r="H56" i="6"/>
  <c r="J59" i="7" s="1"/>
  <c r="AH59" i="7" s="1"/>
  <c r="AI59" i="7" s="1"/>
  <c r="H45" i="6"/>
  <c r="J48" i="7" s="1"/>
  <c r="E157" i="6"/>
  <c r="G160" i="7" s="1"/>
  <c r="Z67" i="6"/>
  <c r="AE70" i="7" s="1"/>
  <c r="Q70" i="7" s="1"/>
  <c r="AG260" i="6"/>
  <c r="M40" i="7"/>
  <c r="M207" i="7"/>
  <c r="Z208" i="6"/>
  <c r="AE211" i="7" s="1"/>
  <c r="Q211" i="7" s="1"/>
  <c r="AG307" i="6"/>
  <c r="I174" i="6"/>
  <c r="K177" i="7" s="1"/>
  <c r="E60" i="6"/>
  <c r="G63" i="7" s="1"/>
  <c r="AG40" i="6"/>
  <c r="Z84" i="6"/>
  <c r="AE87" i="7" s="1"/>
  <c r="Q87" i="7" s="1"/>
  <c r="D52" i="6"/>
  <c r="F55" i="7" s="1"/>
  <c r="F88" i="6"/>
  <c r="H91" i="7" s="1"/>
  <c r="AG190" i="6"/>
  <c r="H190" i="6"/>
  <c r="J193" i="7" s="1"/>
  <c r="Z144" i="6"/>
  <c r="AE147" i="7" s="1"/>
  <c r="AG147" i="7" s="1"/>
  <c r="Z173" i="6"/>
  <c r="AE176" i="7" s="1"/>
  <c r="F57" i="6"/>
  <c r="H60" i="7" s="1"/>
  <c r="F222" i="6"/>
  <c r="H225" i="7" s="1"/>
  <c r="D165" i="6"/>
  <c r="F168" i="7" s="1"/>
  <c r="H165" i="6"/>
  <c r="J168" i="7" s="1"/>
  <c r="H157" i="6"/>
  <c r="J160" i="7" s="1"/>
  <c r="AG95" i="6"/>
  <c r="E67" i="6"/>
  <c r="G70" i="7" s="1"/>
  <c r="D43" i="6"/>
  <c r="F46" i="7" s="1"/>
  <c r="Z43" i="6"/>
  <c r="AE46" i="7" s="1"/>
  <c r="AG46" i="7" s="1"/>
  <c r="BB46" i="7" s="1"/>
  <c r="F277" i="6"/>
  <c r="H280" i="7" s="1"/>
  <c r="F110" i="6"/>
  <c r="H113" i="7" s="1"/>
  <c r="H98" i="6"/>
  <c r="J101" i="7" s="1"/>
  <c r="D247" i="6"/>
  <c r="F250" i="7" s="1"/>
  <c r="AG187" i="6"/>
  <c r="AG79" i="6"/>
  <c r="D186" i="6"/>
  <c r="F189" i="7" s="1"/>
  <c r="D202" i="6"/>
  <c r="F205" i="7" s="1"/>
  <c r="F310" i="6"/>
  <c r="H313" i="7" s="1"/>
  <c r="E250" i="6"/>
  <c r="G253" i="7" s="1"/>
  <c r="Z207" i="6"/>
  <c r="AE210" i="7" s="1"/>
  <c r="H277" i="6"/>
  <c r="J280" i="7" s="1"/>
  <c r="AH280" i="7" s="1"/>
  <c r="AI280" i="7" s="1"/>
  <c r="AG179" i="6"/>
  <c r="AG175" i="6"/>
  <c r="Z175" i="6"/>
  <c r="AE178" i="7" s="1"/>
  <c r="AG178" i="7" s="1"/>
  <c r="BB178" i="7" s="1"/>
  <c r="Z202" i="6"/>
  <c r="AE205" i="7" s="1"/>
  <c r="AG205" i="7" s="1"/>
  <c r="BB205" i="7" s="1"/>
  <c r="F118" i="6"/>
  <c r="H121" i="7" s="1"/>
  <c r="M63" i="7"/>
  <c r="Z57" i="6"/>
  <c r="AE60" i="7" s="1"/>
  <c r="AG60" i="7" s="1"/>
  <c r="BJ60" i="7" s="1"/>
  <c r="M147" i="7"/>
  <c r="M225" i="7"/>
  <c r="M114" i="7"/>
  <c r="AF114" i="7" s="1"/>
  <c r="M193" i="7"/>
  <c r="AF193" i="7" s="1"/>
  <c r="M190" i="7"/>
  <c r="M246" i="7"/>
  <c r="M113" i="7"/>
  <c r="AF113" i="7" s="1"/>
  <c r="M94" i="7"/>
  <c r="M182" i="7"/>
  <c r="M167" i="7"/>
  <c r="M121" i="7"/>
  <c r="AG246" i="6"/>
  <c r="G57" i="6"/>
  <c r="I60" i="7" s="1"/>
  <c r="AJ60" i="7" s="1"/>
  <c r="I52" i="6"/>
  <c r="K55" i="7" s="1"/>
  <c r="D72" i="6"/>
  <c r="F75" i="7" s="1"/>
  <c r="E88" i="6"/>
  <c r="G91" i="7" s="1"/>
  <c r="Z157" i="6"/>
  <c r="AE160" i="7" s="1"/>
  <c r="AG160" i="7" s="1"/>
  <c r="F286" i="6"/>
  <c r="H289" i="7" s="1"/>
  <c r="E103" i="6"/>
  <c r="G106" i="7" s="1"/>
  <c r="F179" i="6"/>
  <c r="H182" i="7" s="1"/>
  <c r="E175" i="6"/>
  <c r="G178" i="7" s="1"/>
  <c r="H179" i="6"/>
  <c r="J182" i="7" s="1"/>
  <c r="AH182" i="7" s="1"/>
  <c r="AI182" i="7" s="1"/>
  <c r="M75" i="7"/>
  <c r="AF75" i="7" s="1"/>
  <c r="M176" i="7"/>
  <c r="H64" i="6"/>
  <c r="J67" i="7" s="1"/>
  <c r="H60" i="6"/>
  <c r="J63" i="7" s="1"/>
  <c r="AH63" i="7" s="1"/>
  <c r="AI63" i="7" s="1"/>
  <c r="AG84" i="6"/>
  <c r="F52" i="6"/>
  <c r="H55" i="7" s="1"/>
  <c r="E282" i="6"/>
  <c r="G285" i="7" s="1"/>
  <c r="D173" i="6"/>
  <c r="F176" i="7" s="1"/>
  <c r="F165" i="6"/>
  <c r="H168" i="7" s="1"/>
  <c r="AG157" i="6"/>
  <c r="E187" i="6"/>
  <c r="G190" i="7" s="1"/>
  <c r="D207" i="6"/>
  <c r="F210" i="7" s="1"/>
  <c r="Z278" i="6"/>
  <c r="AE281" i="7" s="1"/>
  <c r="AG64" i="6"/>
  <c r="AG60" i="6"/>
  <c r="Z60" i="6"/>
  <c r="AE63" i="7" s="1"/>
  <c r="H72" i="6"/>
  <c r="J75" i="7" s="1"/>
  <c r="H84" i="6"/>
  <c r="J87" i="7" s="1"/>
  <c r="AG88" i="6"/>
  <c r="E206" i="6"/>
  <c r="G209" i="7" s="1"/>
  <c r="AG165" i="6"/>
  <c r="H43" i="6"/>
  <c r="J46" i="7" s="1"/>
  <c r="E43" i="6"/>
  <c r="G46" i="7" s="1"/>
  <c r="Z277" i="6"/>
  <c r="AE280" i="7" s="1"/>
  <c r="D110" i="6"/>
  <c r="F113" i="7" s="1"/>
  <c r="E79" i="6"/>
  <c r="G82" i="7" s="1"/>
  <c r="H202" i="6"/>
  <c r="J205" i="7" s="1"/>
  <c r="H207" i="6"/>
  <c r="J210" i="7" s="1"/>
  <c r="E179" i="6"/>
  <c r="G182" i="7" s="1"/>
  <c r="Z179" i="6"/>
  <c r="AE182" i="7" s="1"/>
  <c r="Q182" i="7" s="1"/>
  <c r="D175" i="6"/>
  <c r="F178" i="7" s="1"/>
  <c r="H175" i="6"/>
  <c r="J178" i="7" s="1"/>
  <c r="M60" i="7"/>
  <c r="M209" i="7"/>
  <c r="M160" i="7"/>
  <c r="M285" i="7"/>
  <c r="M289" i="7"/>
  <c r="M313" i="7"/>
  <c r="AF313" i="7" s="1"/>
  <c r="M234" i="7"/>
  <c r="M178" i="7"/>
  <c r="E278" i="6"/>
  <c r="G281" i="7" s="1"/>
  <c r="A32" i="6"/>
  <c r="AG32" i="6" s="1"/>
  <c r="M279" i="7"/>
  <c r="A276" i="6"/>
  <c r="A279" i="7" s="1"/>
  <c r="T265" i="6"/>
  <c r="Z265" i="6"/>
  <c r="AE268" i="7" s="1"/>
  <c r="D265" i="6"/>
  <c r="F268" i="7" s="1"/>
  <c r="T249" i="6"/>
  <c r="AG249" i="6"/>
  <c r="A237" i="6"/>
  <c r="Z237" i="6" s="1"/>
  <c r="AE240" i="7" s="1"/>
  <c r="M240" i="7"/>
  <c r="A229" i="6"/>
  <c r="G229" i="6" s="1"/>
  <c r="I232" i="7" s="1"/>
  <c r="AJ232" i="7" s="1"/>
  <c r="M232" i="7"/>
  <c r="T213" i="6"/>
  <c r="Y216" i="7" s="1"/>
  <c r="E213" i="6"/>
  <c r="G216" i="7" s="1"/>
  <c r="A139" i="6"/>
  <c r="Q139" i="6" s="1"/>
  <c r="M142" i="7"/>
  <c r="D131" i="6"/>
  <c r="F134" i="7" s="1"/>
  <c r="Z131" i="6"/>
  <c r="AE134" i="7" s="1"/>
  <c r="AG134" i="7" s="1"/>
  <c r="E131" i="6"/>
  <c r="G134" i="7" s="1"/>
  <c r="T128" i="6"/>
  <c r="V128" i="6" s="1"/>
  <c r="AA131" i="7" s="1"/>
  <c r="AL131" i="7" s="1"/>
  <c r="D128" i="6"/>
  <c r="F131" i="7" s="1"/>
  <c r="F128" i="6"/>
  <c r="H131" i="7" s="1"/>
  <c r="E128" i="6"/>
  <c r="G131" i="7" s="1"/>
  <c r="Z128" i="6"/>
  <c r="AE131" i="7" s="1"/>
  <c r="AG131" i="7" s="1"/>
  <c r="BB131" i="7" s="1"/>
  <c r="A125" i="6"/>
  <c r="T125" i="6" s="1"/>
  <c r="M128" i="7"/>
  <c r="A46" i="6"/>
  <c r="I46" i="6" s="1"/>
  <c r="K49" i="7" s="1"/>
  <c r="M49" i="7"/>
  <c r="F50" i="6"/>
  <c r="H53" i="7" s="1"/>
  <c r="F113" i="6"/>
  <c r="H116" i="7" s="1"/>
  <c r="F249" i="6"/>
  <c r="H252" i="7" s="1"/>
  <c r="F131" i="6"/>
  <c r="H134" i="7" s="1"/>
  <c r="Z213" i="6"/>
  <c r="AE216" i="7" s="1"/>
  <c r="H265" i="6"/>
  <c r="J268" i="7" s="1"/>
  <c r="M53" i="7"/>
  <c r="M236" i="7"/>
  <c r="M131" i="7"/>
  <c r="H295" i="6"/>
  <c r="J298" i="7" s="1"/>
  <c r="F295" i="6"/>
  <c r="H298" i="7" s="1"/>
  <c r="A287" i="6"/>
  <c r="I287" i="6" s="1"/>
  <c r="K290" i="7" s="1"/>
  <c r="M290" i="7"/>
  <c r="A275" i="6"/>
  <c r="G275" i="6" s="1"/>
  <c r="I278" i="7" s="1"/>
  <c r="M278" i="7"/>
  <c r="A49" i="6"/>
  <c r="I49" i="6" s="1"/>
  <c r="K52" i="7" s="1"/>
  <c r="M52" i="7"/>
  <c r="A40" i="7"/>
  <c r="AG37" i="6"/>
  <c r="AG261" i="7"/>
  <c r="BD261" i="7" s="1"/>
  <c r="AG50" i="6"/>
  <c r="Z50" i="6"/>
  <c r="AE53" i="7" s="1"/>
  <c r="AG53" i="7" s="1"/>
  <c r="BB53" i="7" s="1"/>
  <c r="E45" i="6"/>
  <c r="G48" i="7" s="1"/>
  <c r="E113" i="6"/>
  <c r="G116" i="7" s="1"/>
  <c r="D37" i="6"/>
  <c r="F40" i="7" s="1"/>
  <c r="E249" i="6"/>
  <c r="G252" i="7" s="1"/>
  <c r="E268" i="6"/>
  <c r="G271" i="7" s="1"/>
  <c r="D260" i="6"/>
  <c r="F263" i="7" s="1"/>
  <c r="F265" i="6"/>
  <c r="H268" i="7" s="1"/>
  <c r="D213" i="6"/>
  <c r="F216" i="7" s="1"/>
  <c r="Z260" i="6"/>
  <c r="AE263" i="7" s="1"/>
  <c r="BM263" i="7" s="1"/>
  <c r="H213" i="6"/>
  <c r="J216" i="7" s="1"/>
  <c r="H268" i="6"/>
  <c r="J271" i="7" s="1"/>
  <c r="M116" i="7"/>
  <c r="Z37" i="6"/>
  <c r="AE40" i="7" s="1"/>
  <c r="M298" i="7"/>
  <c r="M252" i="7"/>
  <c r="AF252" i="7" s="1"/>
  <c r="I310" i="6"/>
  <c r="K313" i="7" s="1"/>
  <c r="H310" i="6"/>
  <c r="J313" i="7" s="1"/>
  <c r="A302" i="6"/>
  <c r="H302" i="6" s="1"/>
  <c r="J305" i="7" s="1"/>
  <c r="M305" i="7"/>
  <c r="I286" i="6"/>
  <c r="K289" i="7" s="1"/>
  <c r="Z286" i="6"/>
  <c r="AE289" i="7" s="1"/>
  <c r="Q289" i="7" s="1"/>
  <c r="AG286" i="6"/>
  <c r="H282" i="6"/>
  <c r="J285" i="7" s="1"/>
  <c r="AG282" i="6"/>
  <c r="M110" i="7"/>
  <c r="A107" i="6"/>
  <c r="H107" i="6" s="1"/>
  <c r="J110" i="7" s="1"/>
  <c r="A106" i="7"/>
  <c r="D103" i="6"/>
  <c r="F106" i="7" s="1"/>
  <c r="A92" i="6"/>
  <c r="T92" i="6" s="1"/>
  <c r="M95" i="7"/>
  <c r="A80" i="6"/>
  <c r="M83" i="7"/>
  <c r="F68" i="6"/>
  <c r="H71" i="7" s="1"/>
  <c r="AG68" i="6"/>
  <c r="H52" i="6"/>
  <c r="J55" i="7" s="1"/>
  <c r="AG52" i="6"/>
  <c r="A36" i="6"/>
  <c r="Z36" i="6" s="1"/>
  <c r="AE39" i="7" s="1"/>
  <c r="M39" i="7"/>
  <c r="D50" i="6"/>
  <c r="F53" i="7" s="1"/>
  <c r="H50" i="6"/>
  <c r="J53" i="7" s="1"/>
  <c r="D60" i="6"/>
  <c r="F63" i="7" s="1"/>
  <c r="D84" i="6"/>
  <c r="F87" i="7" s="1"/>
  <c r="Z68" i="6"/>
  <c r="AE71" i="7" s="1"/>
  <c r="Z52" i="6"/>
  <c r="AE55" i="7" s="1"/>
  <c r="F45" i="6"/>
  <c r="H48" i="7" s="1"/>
  <c r="H88" i="6"/>
  <c r="J91" i="7" s="1"/>
  <c r="F37" i="6"/>
  <c r="H40" i="7" s="1"/>
  <c r="D249" i="6"/>
  <c r="F252" i="7" s="1"/>
  <c r="D295" i="6"/>
  <c r="F298" i="7" s="1"/>
  <c r="Z103" i="6"/>
  <c r="AE106" i="7" s="1"/>
  <c r="Q106" i="7" s="1"/>
  <c r="D286" i="6"/>
  <c r="F289" i="7" s="1"/>
  <c r="F268" i="6"/>
  <c r="H271" i="7" s="1"/>
  <c r="AG103" i="6"/>
  <c r="H37" i="6"/>
  <c r="J40" i="7" s="1"/>
  <c r="E310" i="6"/>
  <c r="G313" i="7" s="1"/>
  <c r="F260" i="6"/>
  <c r="H263" i="7" s="1"/>
  <c r="E265" i="6"/>
  <c r="G268" i="7" s="1"/>
  <c r="F213" i="6"/>
  <c r="H216" i="7" s="1"/>
  <c r="H131" i="6"/>
  <c r="J134" i="7" s="1"/>
  <c r="H260" i="6"/>
  <c r="J263" i="7" s="1"/>
  <c r="AG213" i="6"/>
  <c r="M55" i="7"/>
  <c r="M48" i="7"/>
  <c r="M91" i="7"/>
  <c r="H103" i="6"/>
  <c r="J106" i="7" s="1"/>
  <c r="M162" i="7"/>
  <c r="M263" i="7"/>
  <c r="F278" i="6"/>
  <c r="H281" i="7" s="1"/>
  <c r="M310" i="7"/>
  <c r="AG128" i="6"/>
  <c r="H250" i="6"/>
  <c r="J253" i="7" s="1"/>
  <c r="D250" i="6"/>
  <c r="F253" i="7" s="1"/>
  <c r="I190" i="6"/>
  <c r="K193" i="7" s="1"/>
  <c r="E190" i="6"/>
  <c r="G193" i="7" s="1"/>
  <c r="I186" i="6"/>
  <c r="K189" i="7" s="1"/>
  <c r="Z186" i="6"/>
  <c r="AE189" i="7" s="1"/>
  <c r="Q189" i="7" s="1"/>
  <c r="F186" i="6"/>
  <c r="H189" i="7" s="1"/>
  <c r="A182" i="6"/>
  <c r="M185" i="7"/>
  <c r="D178" i="6"/>
  <c r="F181" i="7" s="1"/>
  <c r="AG178" i="6"/>
  <c r="I148" i="6"/>
  <c r="K151" i="7" s="1"/>
  <c r="H148" i="6"/>
  <c r="J151" i="7" s="1"/>
  <c r="AG148" i="6"/>
  <c r="H144" i="6"/>
  <c r="J147" i="7" s="1"/>
  <c r="E144" i="6"/>
  <c r="G147" i="7" s="1"/>
  <c r="A129" i="6"/>
  <c r="M132" i="7"/>
  <c r="A126" i="6"/>
  <c r="E126" i="6" s="1"/>
  <c r="G129" i="7" s="1"/>
  <c r="M129" i="7"/>
  <c r="A122" i="6"/>
  <c r="H122" i="6" s="1"/>
  <c r="J125" i="7" s="1"/>
  <c r="M125" i="7"/>
  <c r="E118" i="6"/>
  <c r="G121" i="7" s="1"/>
  <c r="Z118" i="6"/>
  <c r="AE121" i="7" s="1"/>
  <c r="AG118" i="6"/>
  <c r="Z95" i="6"/>
  <c r="AE98" i="7" s="1"/>
  <c r="Q98" i="7" s="1"/>
  <c r="D95" i="6"/>
  <c r="F98" i="7" s="1"/>
  <c r="I67" i="6"/>
  <c r="K70" i="7" s="1"/>
  <c r="F67" i="6"/>
  <c r="H70" i="7" s="1"/>
  <c r="AS143" i="5"/>
  <c r="AT143" i="5" s="1"/>
  <c r="AO110" i="5"/>
  <c r="AQ110" i="5" s="1"/>
  <c r="AP110" i="5"/>
  <c r="AR110" i="5" s="1"/>
  <c r="AP49" i="5"/>
  <c r="AR49" i="5" s="1"/>
  <c r="AO49" i="5"/>
  <c r="N77" i="2"/>
  <c r="P76" i="2"/>
  <c r="Y76" i="2" s="1"/>
  <c r="O76" i="2"/>
  <c r="F127" i="2"/>
  <c r="F118" i="2"/>
  <c r="C117" i="2"/>
  <c r="D96" i="2"/>
  <c r="A97" i="6"/>
  <c r="F97" i="6" s="1"/>
  <c r="H100" i="7" s="1"/>
  <c r="M100" i="7"/>
  <c r="M85" i="7"/>
  <c r="A82" i="6"/>
  <c r="G82" i="6" s="1"/>
  <c r="I85" i="7" s="1"/>
  <c r="F70" i="6"/>
  <c r="H73" i="7" s="1"/>
  <c r="D70" i="6"/>
  <c r="F73" i="7" s="1"/>
  <c r="M47" i="7"/>
  <c r="A44" i="6"/>
  <c r="AG44" i="6" s="1"/>
  <c r="AR147" i="5"/>
  <c r="AR167" i="5"/>
  <c r="AR222" i="5"/>
  <c r="AR197" i="5"/>
  <c r="AR93" i="5"/>
  <c r="AR215" i="5"/>
  <c r="AR238" i="5"/>
  <c r="AR150" i="5"/>
  <c r="AR26" i="5"/>
  <c r="AR87" i="5"/>
  <c r="AS87" i="5" s="1"/>
  <c r="AT87" i="5" s="1"/>
  <c r="AR307" i="5"/>
  <c r="AS307" i="5" s="1"/>
  <c r="AT307" i="5" s="1"/>
  <c r="AR100" i="5"/>
  <c r="AR277" i="5"/>
  <c r="AX19" i="5"/>
  <c r="AY19" i="5" s="1"/>
  <c r="AZ19" i="5" s="1"/>
  <c r="BA19" i="5" s="1"/>
  <c r="D40" i="6"/>
  <c r="F43" i="7" s="1"/>
  <c r="AP19" i="5"/>
  <c r="AR111" i="5"/>
  <c r="AS116" i="5"/>
  <c r="AT116" i="5" s="1"/>
  <c r="AR77" i="5"/>
  <c r="AO289" i="5"/>
  <c r="AQ289" i="5" s="1"/>
  <c r="AP289" i="5"/>
  <c r="AR289" i="5" s="1"/>
  <c r="AS289" i="5" s="1"/>
  <c r="AT289" i="5" s="1"/>
  <c r="AU289" i="5" s="1"/>
  <c r="AC289" i="5" s="1"/>
  <c r="AO172" i="5"/>
  <c r="AQ172" i="5" s="1"/>
  <c r="AP172" i="5"/>
  <c r="AR172" i="5" s="1"/>
  <c r="AR53" i="5"/>
  <c r="AR118" i="5"/>
  <c r="AO214" i="5"/>
  <c r="AQ214" i="5" s="1"/>
  <c r="AP214" i="5"/>
  <c r="AR214" i="5" s="1"/>
  <c r="AS214" i="5" s="1"/>
  <c r="AT214" i="5" s="1"/>
  <c r="AR36" i="5"/>
  <c r="AR141" i="5"/>
  <c r="AR290" i="5"/>
  <c r="A30" i="6"/>
  <c r="A33" i="7" s="1"/>
  <c r="M33" i="7"/>
  <c r="F121" i="2"/>
  <c r="AR287" i="5"/>
  <c r="AR114" i="5"/>
  <c r="AR169" i="5"/>
  <c r="AR102" i="5"/>
  <c r="AR194" i="5"/>
  <c r="AR61" i="5"/>
  <c r="AR230" i="5"/>
  <c r="AR294" i="5"/>
  <c r="AR90" i="5"/>
  <c r="AS90" i="5" s="1"/>
  <c r="AT90" i="5" s="1"/>
  <c r="AR37" i="5"/>
  <c r="AR129" i="5"/>
  <c r="AR55" i="5"/>
  <c r="AR231" i="5"/>
  <c r="AR300" i="5"/>
  <c r="AR99" i="5"/>
  <c r="AR128" i="5"/>
  <c r="AR271" i="5"/>
  <c r="AR67" i="5"/>
  <c r="AX21" i="5"/>
  <c r="AY21" i="5" s="1"/>
  <c r="AZ21" i="5" s="1"/>
  <c r="BA21" i="5" s="1"/>
  <c r="AX15" i="5"/>
  <c r="AY15" i="5" s="1"/>
  <c r="AZ15" i="5" s="1"/>
  <c r="Q75" i="7"/>
  <c r="Z40" i="6"/>
  <c r="AE43" i="7" s="1"/>
  <c r="AG43" i="7" s="1"/>
  <c r="E70" i="6"/>
  <c r="G73" i="7" s="1"/>
  <c r="BA208" i="5"/>
  <c r="BA197" i="5"/>
  <c r="BA242" i="5"/>
  <c r="AP89" i="5"/>
  <c r="AR89" i="5" s="1"/>
  <c r="AS89" i="5" s="1"/>
  <c r="AT89" i="5" s="1"/>
  <c r="AO45" i="5"/>
  <c r="AR148" i="5"/>
  <c r="AP198" i="5"/>
  <c r="AR198" i="5" s="1"/>
  <c r="AO109" i="5"/>
  <c r="AQ109" i="5" s="1"/>
  <c r="AS109" i="5" s="1"/>
  <c r="AT109" i="5" s="1"/>
  <c r="AO124" i="5"/>
  <c r="AP124" i="5"/>
  <c r="AR124" i="5" s="1"/>
  <c r="AS136" i="5"/>
  <c r="AT136" i="5" s="1"/>
  <c r="AR173" i="5"/>
  <c r="AO247" i="5"/>
  <c r="AP247" i="5"/>
  <c r="AR247" i="5" s="1"/>
  <c r="BA231" i="5"/>
  <c r="AQ62" i="5"/>
  <c r="AR88" i="5"/>
  <c r="AO78" i="5"/>
  <c r="AQ78" i="5" s="1"/>
  <c r="AO196" i="5"/>
  <c r="AQ196" i="5" s="1"/>
  <c r="AZ107" i="5"/>
  <c r="AZ127" i="5"/>
  <c r="AZ245" i="5"/>
  <c r="AZ148" i="5"/>
  <c r="BA148" i="5" s="1"/>
  <c r="AZ304" i="5"/>
  <c r="AZ111" i="5"/>
  <c r="AZ81" i="5"/>
  <c r="AS197" i="5"/>
  <c r="AT197" i="5" s="1"/>
  <c r="AU197" i="5" s="1"/>
  <c r="AC197" i="5" s="1"/>
  <c r="AG197" i="5" s="1"/>
  <c r="AI197" i="5" s="1"/>
  <c r="AJ197" i="5" s="1"/>
  <c r="BC306" i="5"/>
  <c r="BD306" i="5"/>
  <c r="AX306" i="5"/>
  <c r="AY306" i="5" s="1"/>
  <c r="AZ306" i="5" s="1"/>
  <c r="BA306" i="5" s="1"/>
  <c r="BD298" i="5"/>
  <c r="AX298" i="5"/>
  <c r="AY298" i="5" s="1"/>
  <c r="AZ298" i="5" s="1"/>
  <c r="AL298" i="5"/>
  <c r="BD294" i="5"/>
  <c r="AW294" i="5"/>
  <c r="BA294" i="5" s="1"/>
  <c r="AX294" i="5"/>
  <c r="AY294" i="5" s="1"/>
  <c r="AZ294" i="5" s="1"/>
  <c r="AW278" i="5"/>
  <c r="AX278" i="5"/>
  <c r="AY278" i="5" s="1"/>
  <c r="AZ278" i="5" s="1"/>
  <c r="AL243" i="5"/>
  <c r="AX243" i="5"/>
  <c r="AY243" i="5" s="1"/>
  <c r="AZ243" i="5" s="1"/>
  <c r="BD220" i="5"/>
  <c r="BC220" i="5"/>
  <c r="AX220" i="5"/>
  <c r="AY220" i="5" s="1"/>
  <c r="AZ220" i="5" s="1"/>
  <c r="BD208" i="5"/>
  <c r="BC208" i="5"/>
  <c r="AW208" i="5"/>
  <c r="BD204" i="5"/>
  <c r="AX204" i="5"/>
  <c r="AY204" i="5" s="1"/>
  <c r="AZ204" i="5" s="1"/>
  <c r="BC204" i="5"/>
  <c r="AX201" i="5"/>
  <c r="AY201" i="5" s="1"/>
  <c r="AZ201" i="5" s="1"/>
  <c r="BD201" i="5"/>
  <c r="BD197" i="5"/>
  <c r="AW197" i="5"/>
  <c r="BD194" i="5"/>
  <c r="AX194" i="5"/>
  <c r="AY194" i="5" s="1"/>
  <c r="AZ194" i="5" s="1"/>
  <c r="BC194" i="5"/>
  <c r="BD190" i="5"/>
  <c r="AX190" i="5"/>
  <c r="AY190" i="5" s="1"/>
  <c r="AZ182" i="5"/>
  <c r="BD174" i="5"/>
  <c r="AL174" i="5"/>
  <c r="AX174" i="5"/>
  <c r="AY174" i="5" s="1"/>
  <c r="BD170" i="5"/>
  <c r="AX170" i="5"/>
  <c r="AY170" i="5" s="1"/>
  <c r="BD167" i="5"/>
  <c r="AW167" i="5"/>
  <c r="BA167" i="5" s="1"/>
  <c r="BD137" i="5"/>
  <c r="AX137" i="5"/>
  <c r="AY137" i="5" s="1"/>
  <c r="AZ137" i="5" s="1"/>
  <c r="BD133" i="5"/>
  <c r="AW133" i="5"/>
  <c r="BA133" i="5" s="1"/>
  <c r="AX129" i="5"/>
  <c r="AY129" i="5" s="1"/>
  <c r="AZ129" i="5" s="1"/>
  <c r="AL129" i="5"/>
  <c r="BD129" i="5"/>
  <c r="BD123" i="5"/>
  <c r="AL123" i="5"/>
  <c r="BD116" i="5"/>
  <c r="AX116" i="5"/>
  <c r="BD106" i="5"/>
  <c r="AX106" i="5"/>
  <c r="AY106" i="5" s="1"/>
  <c r="AZ106" i="5" s="1"/>
  <c r="BD91" i="5"/>
  <c r="AX91" i="5"/>
  <c r="AY91" i="5" s="1"/>
  <c r="AZ91" i="5" s="1"/>
  <c r="BD83" i="5"/>
  <c r="AX83" i="5"/>
  <c r="AY83" i="5" s="1"/>
  <c r="AZ83" i="5" s="1"/>
  <c r="BD69" i="5"/>
  <c r="AX69" i="5"/>
  <c r="AY69" i="5" s="1"/>
  <c r="AZ69" i="5" s="1"/>
  <c r="AZ52" i="5"/>
  <c r="BD32" i="5"/>
  <c r="AX32" i="5"/>
  <c r="AY32" i="5" s="1"/>
  <c r="AZ32" i="5" s="1"/>
  <c r="AL32" i="5"/>
  <c r="AZ29" i="5"/>
  <c r="BD14" i="5"/>
  <c r="AX14" i="5"/>
  <c r="AY14" i="5" s="1"/>
  <c r="AZ14" i="5" s="1"/>
  <c r="BD18" i="5"/>
  <c r="AW18" i="5"/>
  <c r="BA18" i="5" s="1"/>
  <c r="F130" i="2"/>
  <c r="F124" i="2"/>
  <c r="F133" i="2"/>
  <c r="D133" i="2"/>
  <c r="F123" i="2"/>
  <c r="AR250" i="5"/>
  <c r="AR252" i="5"/>
  <c r="AR305" i="5"/>
  <c r="AR218" i="5"/>
  <c r="AR81" i="5"/>
  <c r="AR301" i="5"/>
  <c r="AR186" i="5"/>
  <c r="AR69" i="5"/>
  <c r="AX17" i="5"/>
  <c r="AY17" i="5" s="1"/>
  <c r="AZ17" i="5" s="1"/>
  <c r="AG313" i="7"/>
  <c r="BD313" i="7" s="1"/>
  <c r="F40" i="6"/>
  <c r="H43" i="7" s="1"/>
  <c r="H40" i="6"/>
  <c r="J43" i="7" s="1"/>
  <c r="AZ65" i="5"/>
  <c r="AX216" i="5"/>
  <c r="AY216" i="5" s="1"/>
  <c r="AZ216" i="5" s="1"/>
  <c r="AZ251" i="5"/>
  <c r="AZ61" i="5"/>
  <c r="BA61" i="5" s="1"/>
  <c r="AZ230" i="5"/>
  <c r="AZ94" i="5"/>
  <c r="AZ234" i="5"/>
  <c r="AZ143" i="5"/>
  <c r="AZ101" i="5"/>
  <c r="BA101" i="5" s="1"/>
  <c r="AZ144" i="5"/>
  <c r="AZ45" i="5"/>
  <c r="AZ108" i="5"/>
  <c r="BA108" i="5" s="1"/>
  <c r="AZ189" i="5"/>
  <c r="AZ261" i="5"/>
  <c r="BA261" i="5" s="1"/>
  <c r="AZ89" i="5"/>
  <c r="AZ196" i="5"/>
  <c r="AZ207" i="5"/>
  <c r="AX163" i="5"/>
  <c r="AP205" i="5"/>
  <c r="AR205" i="5" s="1"/>
  <c r="AS205" i="5" s="1"/>
  <c r="AT205" i="5" s="1"/>
  <c r="AQ251" i="5"/>
  <c r="AR224" i="5"/>
  <c r="AS224" i="5" s="1"/>
  <c r="AT224" i="5" s="1"/>
  <c r="AO261" i="5"/>
  <c r="AQ261" i="5" s="1"/>
  <c r="M43" i="7"/>
  <c r="M104" i="7"/>
  <c r="AO13" i="5"/>
  <c r="AP13" i="5"/>
  <c r="AL116" i="5"/>
  <c r="AL197" i="5"/>
  <c r="AO96" i="5"/>
  <c r="AQ96" i="5" s="1"/>
  <c r="AS96" i="5" s="1"/>
  <c r="AT96" i="5" s="1"/>
  <c r="AU96" i="5" s="1"/>
  <c r="AC96" i="5" s="1"/>
  <c r="AF96" i="5" s="1"/>
  <c r="BC197" i="5"/>
  <c r="AR133" i="5"/>
  <c r="AP279" i="5"/>
  <c r="AR279" i="5" s="1"/>
  <c r="AO176" i="5"/>
  <c r="AP176" i="5"/>
  <c r="AR176" i="5" s="1"/>
  <c r="AO268" i="5"/>
  <c r="AP268" i="5"/>
  <c r="AP164" i="5"/>
  <c r="AR164" i="5" s="1"/>
  <c r="AO164" i="5"/>
  <c r="AQ164" i="5" s="1"/>
  <c r="AR115" i="5"/>
  <c r="AW282" i="5"/>
  <c r="AQ55" i="5"/>
  <c r="AW14" i="5"/>
  <c r="BC18" i="5"/>
  <c r="BD102" i="5"/>
  <c r="BA92" i="5"/>
  <c r="AW83" i="5"/>
  <c r="BA83" i="5" s="1"/>
  <c r="AZ263" i="5"/>
  <c r="AZ42" i="5"/>
  <c r="AZ27" i="5"/>
  <c r="AZ30" i="5"/>
  <c r="BA30" i="5" s="1"/>
  <c r="AZ130" i="5"/>
  <c r="AZ232" i="5"/>
  <c r="AZ307" i="5"/>
  <c r="AZ183" i="5"/>
  <c r="AZ164" i="5"/>
  <c r="AR159" i="5"/>
  <c r="AQ237" i="5"/>
  <c r="AL18" i="5"/>
  <c r="AO215" i="5"/>
  <c r="AQ215" i="5" s="1"/>
  <c r="AQ155" i="5"/>
  <c r="AP86" i="5"/>
  <c r="AR86" i="5" s="1"/>
  <c r="AO86" i="5"/>
  <c r="AQ86" i="5" s="1"/>
  <c r="AS86" i="5" s="1"/>
  <c r="AT86" i="5" s="1"/>
  <c r="AZ309" i="5"/>
  <c r="BA309" i="5" s="1"/>
  <c r="BD301" i="5"/>
  <c r="BC301" i="5"/>
  <c r="BD297" i="5"/>
  <c r="AX297" i="5"/>
  <c r="AY297" i="5" s="1"/>
  <c r="AZ297" i="5" s="1"/>
  <c r="BD277" i="5"/>
  <c r="AW277" i="5"/>
  <c r="BA277" i="5" s="1"/>
  <c r="BC277" i="5"/>
  <c r="BD273" i="5"/>
  <c r="AX273" i="5"/>
  <c r="AY273" i="5" s="1"/>
  <c r="AZ273" i="5" s="1"/>
  <c r="BA273" i="5" s="1"/>
  <c r="BD215" i="5"/>
  <c r="AX215" i="5"/>
  <c r="AY215" i="5" s="1"/>
  <c r="AZ215" i="5" s="1"/>
  <c r="AZ203" i="5"/>
  <c r="AZ181" i="5"/>
  <c r="BD140" i="5"/>
  <c r="AX140" i="5"/>
  <c r="AY140" i="5" s="1"/>
  <c r="AZ140" i="5" s="1"/>
  <c r="BA140" i="5" s="1"/>
  <c r="BD128" i="5"/>
  <c r="AX128" i="5"/>
  <c r="AY128" i="5" s="1"/>
  <c r="BD119" i="5"/>
  <c r="AX119" i="5"/>
  <c r="AZ105" i="5"/>
  <c r="BD98" i="5"/>
  <c r="AX98" i="5"/>
  <c r="AY98" i="5" s="1"/>
  <c r="AZ98" i="5" s="1"/>
  <c r="BD55" i="5"/>
  <c r="AX55" i="5"/>
  <c r="AY55" i="5" s="1"/>
  <c r="AZ55" i="5" s="1"/>
  <c r="BA55" i="5" s="1"/>
  <c r="BD51" i="5"/>
  <c r="AX51" i="5"/>
  <c r="AY51" i="5" s="1"/>
  <c r="AZ51" i="5" s="1"/>
  <c r="BD47" i="5"/>
  <c r="AX47" i="5"/>
  <c r="AY47" i="5" s="1"/>
  <c r="AZ47" i="5" s="1"/>
  <c r="AZ39" i="5"/>
  <c r="BA39" i="5" s="1"/>
  <c r="F120" i="2"/>
  <c r="AZ281" i="5"/>
  <c r="AZ257" i="5"/>
  <c r="AZ103" i="5"/>
  <c r="AZ59" i="5"/>
  <c r="BA59" i="5" s="1"/>
  <c r="AZ82" i="5"/>
  <c r="AZ218" i="5"/>
  <c r="AZ284" i="5"/>
  <c r="AZ132" i="5"/>
  <c r="AZ13" i="5"/>
  <c r="AZ71" i="5"/>
  <c r="AZ147" i="5"/>
  <c r="BA147" i="5" s="1"/>
  <c r="AZ37" i="5"/>
  <c r="BA37" i="5" s="1"/>
  <c r="AZ219" i="5"/>
  <c r="AZ88" i="5"/>
  <c r="BA88" i="5" s="1"/>
  <c r="AZ43" i="5"/>
  <c r="BA43" i="5" s="1"/>
  <c r="AZ255" i="5"/>
  <c r="AZ211" i="5"/>
  <c r="AZ271" i="5"/>
  <c r="AO280" i="5"/>
  <c r="AQ280" i="5" s="1"/>
  <c r="AP280" i="5"/>
  <c r="AR280" i="5" s="1"/>
  <c r="AR145" i="5"/>
  <c r="BD238" i="5"/>
  <c r="F131" i="2"/>
  <c r="F128" i="2"/>
  <c r="D128" i="2"/>
  <c r="D125" i="2"/>
  <c r="A205" i="6"/>
  <c r="G205" i="6" s="1"/>
  <c r="I208" i="7" s="1"/>
  <c r="M208" i="7"/>
  <c r="A163" i="6"/>
  <c r="Q163" i="6" s="1"/>
  <c r="M166" i="7"/>
  <c r="A135" i="6"/>
  <c r="T135" i="6" s="1"/>
  <c r="M138" i="7"/>
  <c r="AL55" i="5"/>
  <c r="AW51" i="5"/>
  <c r="BC14" i="5"/>
  <c r="BC32" i="5"/>
  <c r="BC87" i="5"/>
  <c r="AW106" i="5"/>
  <c r="BC91" i="5"/>
  <c r="AL102" i="5"/>
  <c r="AW116" i="5"/>
  <c r="AW113" i="5"/>
  <c r="BA113" i="5" s="1"/>
  <c r="AW194" i="5"/>
  <c r="AW242" i="5"/>
  <c r="BC190" i="5"/>
  <c r="AL223" i="5"/>
  <c r="BC151" i="5"/>
  <c r="AW170" i="5"/>
  <c r="AL137" i="5"/>
  <c r="AL269" i="5"/>
  <c r="AL119" i="5"/>
  <c r="AW123" i="5"/>
  <c r="AQ247" i="5"/>
  <c r="AL306" i="5"/>
  <c r="BC46" i="5"/>
  <c r="BC123" i="5"/>
  <c r="AW222" i="5"/>
  <c r="AL294" i="5"/>
  <c r="AW99" i="5"/>
  <c r="AW138" i="5"/>
  <c r="AL201" i="5"/>
  <c r="AW68" i="5"/>
  <c r="BC80" i="5"/>
  <c r="AL120" i="5"/>
  <c r="AL168" i="5"/>
  <c r="AL101" i="5"/>
  <c r="AW145" i="5"/>
  <c r="AL255" i="5"/>
  <c r="BC280" i="5"/>
  <c r="AW121" i="5"/>
  <c r="AL233" i="5"/>
  <c r="AU233" i="5" s="1"/>
  <c r="AC233" i="5" s="1"/>
  <c r="AE233" i="5" s="1"/>
  <c r="AL153" i="5"/>
  <c r="AW131" i="5"/>
  <c r="AL276" i="5"/>
  <c r="AW220" i="5"/>
  <c r="AL292" i="5"/>
  <c r="AL163" i="5"/>
  <c r="AW114" i="5"/>
  <c r="BA114" i="5" s="1"/>
  <c r="AW60" i="5"/>
  <c r="AL23" i="5"/>
  <c r="F97" i="2"/>
  <c r="B97" i="2"/>
  <c r="F95" i="2"/>
  <c r="E98" i="2"/>
  <c r="E101" i="2" s="1"/>
  <c r="E104" i="2" s="1"/>
  <c r="E107" i="2" s="1"/>
  <c r="E110" i="2" s="1"/>
  <c r="E113" i="2" s="1"/>
  <c r="E116" i="2" s="1"/>
  <c r="E119" i="2" s="1"/>
  <c r="E122" i="2" s="1"/>
  <c r="E125" i="2" s="1"/>
  <c r="E128" i="2" s="1"/>
  <c r="E131" i="2" s="1"/>
  <c r="E134" i="2" s="1"/>
  <c r="F134" i="2" s="1"/>
  <c r="AN16" i="5"/>
  <c r="AN20" i="5"/>
  <c r="AN18" i="5"/>
  <c r="AO18" i="5" s="1"/>
  <c r="F296" i="6"/>
  <c r="H299" i="7" s="1"/>
  <c r="AG296" i="6"/>
  <c r="A33" i="6"/>
  <c r="I33" i="6" s="1"/>
  <c r="K36" i="7" s="1"/>
  <c r="M36" i="7"/>
  <c r="AZ260" i="5"/>
  <c r="AZ161" i="5"/>
  <c r="AZ160" i="5"/>
  <c r="AZ210" i="5"/>
  <c r="AZ34" i="5"/>
  <c r="BA34" i="5" s="1"/>
  <c r="AZ104" i="5"/>
  <c r="AZ50" i="5"/>
  <c r="AZ53" i="5"/>
  <c r="BA53" i="5" s="1"/>
  <c r="AZ84" i="5"/>
  <c r="AZ165" i="5"/>
  <c r="AZ135" i="5"/>
  <c r="BA135" i="5" s="1"/>
  <c r="AZ68" i="5"/>
  <c r="BA68" i="5" s="1"/>
  <c r="AZ168" i="5"/>
  <c r="BA168" i="5" s="1"/>
  <c r="AZ206" i="5"/>
  <c r="AZ198" i="5"/>
  <c r="AZ118" i="5"/>
  <c r="D118" i="2"/>
  <c r="M72" i="7"/>
  <c r="M61" i="7"/>
  <c r="M76" i="7"/>
  <c r="M56" i="7"/>
  <c r="AO260" i="5"/>
  <c r="AQ260" i="5" s="1"/>
  <c r="AP260" i="5"/>
  <c r="AR260" i="5" s="1"/>
  <c r="BC59" i="5"/>
  <c r="BC128" i="5"/>
  <c r="BC246" i="5"/>
  <c r="AL148" i="5"/>
  <c r="AL204" i="5"/>
  <c r="AL246" i="5"/>
  <c r="AU246" i="5" s="1"/>
  <c r="AC246" i="5" s="1"/>
  <c r="AG246" i="5" s="1"/>
  <c r="AI246" i="5" s="1"/>
  <c r="AJ246" i="5" s="1"/>
  <c r="AW144" i="5"/>
  <c r="AL200" i="5"/>
  <c r="AR75" i="5"/>
  <c r="BE75" i="5" s="1"/>
  <c r="BF75" i="5" s="1"/>
  <c r="AW125" i="5"/>
  <c r="F122" i="2"/>
  <c r="F119" i="2"/>
  <c r="F116" i="2"/>
  <c r="F115" i="2"/>
  <c r="A98" i="2"/>
  <c r="I307" i="6"/>
  <c r="K310" i="7" s="1"/>
  <c r="F307" i="6"/>
  <c r="H310" i="7" s="1"/>
  <c r="I202" i="6"/>
  <c r="K205" i="7" s="1"/>
  <c r="A205" i="7"/>
  <c r="BC23" i="5"/>
  <c r="AP151" i="5"/>
  <c r="AR151" i="5" s="1"/>
  <c r="AP117" i="5"/>
  <c r="AR117" i="5" s="1"/>
  <c r="AP76" i="5"/>
  <c r="AR76" i="5" s="1"/>
  <c r="AP193" i="5"/>
  <c r="AR193" i="5" s="1"/>
  <c r="AS193" i="5" s="1"/>
  <c r="AT193" i="5" s="1"/>
  <c r="AO250" i="5"/>
  <c r="AQ250" i="5" s="1"/>
  <c r="AP132" i="5"/>
  <c r="AR132" i="5" s="1"/>
  <c r="AP29" i="5"/>
  <c r="AR29" i="5" s="1"/>
  <c r="AP92" i="5"/>
  <c r="AR92" i="5" s="1"/>
  <c r="AO300" i="5"/>
  <c r="AQ300" i="5" s="1"/>
  <c r="BE300" i="5" s="1"/>
  <c r="BF300" i="5" s="1"/>
  <c r="AP155" i="5"/>
  <c r="AR155" i="5" s="1"/>
  <c r="AO75" i="5"/>
  <c r="AQ75" i="5" s="1"/>
  <c r="AL12" i="5"/>
  <c r="BC41" i="5"/>
  <c r="AW67" i="5"/>
  <c r="AW79" i="5"/>
  <c r="BA79" i="5" s="1"/>
  <c r="BC29" i="5"/>
  <c r="BC107" i="5"/>
  <c r="AW15" i="5"/>
  <c r="BC39" i="5"/>
  <c r="AW47" i="5"/>
  <c r="BC63" i="5"/>
  <c r="BC30" i="5"/>
  <c r="AW70" i="5"/>
  <c r="BA70" i="5" s="1"/>
  <c r="AW32" i="5"/>
  <c r="BC51" i="5"/>
  <c r="AO100" i="5"/>
  <c r="AQ100" i="5" s="1"/>
  <c r="AS100" i="5" s="1"/>
  <c r="AT100" i="5" s="1"/>
  <c r="AU100" i="5" s="1"/>
  <c r="AC100" i="5" s="1"/>
  <c r="AL36" i="5"/>
  <c r="AP25" i="5"/>
  <c r="AR25" i="5" s="1"/>
  <c r="AW236" i="5"/>
  <c r="BA236" i="5" s="1"/>
  <c r="AO253" i="5"/>
  <c r="AQ253" i="5" s="1"/>
  <c r="AS253" i="5" s="1"/>
  <c r="AT253" i="5" s="1"/>
  <c r="BC215" i="5"/>
  <c r="AL154" i="5"/>
  <c r="AW174" i="5"/>
  <c r="AW179" i="5"/>
  <c r="BC253" i="5"/>
  <c r="AW275" i="5"/>
  <c r="AO231" i="5"/>
  <c r="AQ231" i="5" s="1"/>
  <c r="BC244" i="5"/>
  <c r="AW300" i="5"/>
  <c r="BA300" i="5" s="1"/>
  <c r="BC311" i="5"/>
  <c r="BC116" i="5"/>
  <c r="AO147" i="5"/>
  <c r="AQ147" i="5" s="1"/>
  <c r="AW178" i="5"/>
  <c r="AL167" i="5"/>
  <c r="AO227" i="5"/>
  <c r="AQ227" i="5" s="1"/>
  <c r="AS227" i="5" s="1"/>
  <c r="AT227" i="5" s="1"/>
  <c r="AL273" i="5"/>
  <c r="AL282" i="5"/>
  <c r="AL297" i="5"/>
  <c r="AL136" i="5"/>
  <c r="BC163" i="5"/>
  <c r="AL189" i="5"/>
  <c r="AO202" i="5"/>
  <c r="AQ202" i="5" s="1"/>
  <c r="AO225" i="5"/>
  <c r="AQ225" i="5" s="1"/>
  <c r="AL285" i="5"/>
  <c r="BC288" i="5"/>
  <c r="AO151" i="5"/>
  <c r="AQ151" i="5" s="1"/>
  <c r="AL230" i="5"/>
  <c r="BC295" i="5"/>
  <c r="AW304" i="5"/>
  <c r="AW120" i="5"/>
  <c r="BA120" i="5" s="1"/>
  <c r="AZ299" i="5"/>
  <c r="F96" i="2"/>
  <c r="AW164" i="5"/>
  <c r="AW165" i="5"/>
  <c r="AL208" i="5"/>
  <c r="AL227" i="5"/>
  <c r="BC264" i="5"/>
  <c r="AW302" i="5"/>
  <c r="BA302" i="5" s="1"/>
  <c r="BC121" i="5"/>
  <c r="AL203" i="5"/>
  <c r="AL209" i="5"/>
  <c r="AW216" i="5"/>
  <c r="AL141" i="5"/>
  <c r="AL183" i="5"/>
  <c r="BC122" i="5"/>
  <c r="AL198" i="5"/>
  <c r="BC309" i="5"/>
  <c r="AL248" i="5"/>
  <c r="AW119" i="5"/>
  <c r="AW211" i="5"/>
  <c r="AL288" i="5"/>
  <c r="AW244" i="5"/>
  <c r="BA244" i="5" s="1"/>
  <c r="BC211" i="5"/>
  <c r="AW215" i="5"/>
  <c r="AL150" i="5"/>
  <c r="BC283" i="5"/>
  <c r="AL127" i="5"/>
  <c r="BC195" i="5"/>
  <c r="AW280" i="5"/>
  <c r="AL291" i="5"/>
  <c r="AW202" i="5"/>
  <c r="AL279" i="5"/>
  <c r="BC298" i="5"/>
  <c r="BC168" i="5"/>
  <c r="BC167" i="5"/>
  <c r="AW201" i="5"/>
  <c r="AL176" i="5"/>
  <c r="AL250" i="5"/>
  <c r="BJ113" i="7"/>
  <c r="BD113" i="7"/>
  <c r="BC113" i="7"/>
  <c r="BB113" i="7"/>
  <c r="A312" i="6"/>
  <c r="T312" i="6" s="1"/>
  <c r="M315" i="7"/>
  <c r="A256" i="6"/>
  <c r="M259" i="7"/>
  <c r="A248" i="6"/>
  <c r="A251" i="7" s="1"/>
  <c r="M251" i="7"/>
  <c r="A161" i="6"/>
  <c r="Q161" i="6" s="1"/>
  <c r="M164" i="7"/>
  <c r="T124" i="6"/>
  <c r="H124" i="6"/>
  <c r="J127" i="7" s="1"/>
  <c r="Z124" i="6"/>
  <c r="AE127" i="7" s="1"/>
  <c r="Q127" i="7" s="1"/>
  <c r="F124" i="6"/>
  <c r="H127" i="7" s="1"/>
  <c r="AG124" i="6"/>
  <c r="E124" i="6"/>
  <c r="G127" i="7" s="1"/>
  <c r="A112" i="6"/>
  <c r="T112" i="6" s="1"/>
  <c r="M115" i="7"/>
  <c r="A106" i="6"/>
  <c r="A109" i="7" s="1"/>
  <c r="M109" i="7"/>
  <c r="A102" i="6"/>
  <c r="M105" i="7"/>
  <c r="A64" i="7"/>
  <c r="E61" i="6"/>
  <c r="G64" i="7" s="1"/>
  <c r="AG61" i="6"/>
  <c r="H61" i="6"/>
  <c r="J64" i="7" s="1"/>
  <c r="Z61" i="6"/>
  <c r="AE64" i="7" s="1"/>
  <c r="AG64" i="7" s="1"/>
  <c r="F61" i="6"/>
  <c r="H64" i="7" s="1"/>
  <c r="Q58" i="6"/>
  <c r="D58" i="6"/>
  <c r="F61" i="7" s="1"/>
  <c r="AG58" i="6"/>
  <c r="F58" i="6"/>
  <c r="H61" i="7" s="1"/>
  <c r="H58" i="6"/>
  <c r="J61" i="7" s="1"/>
  <c r="E58" i="6"/>
  <c r="G61" i="7" s="1"/>
  <c r="Z58" i="6"/>
  <c r="AE61" i="7" s="1"/>
  <c r="Q61" i="7" s="1"/>
  <c r="D61" i="6"/>
  <c r="F64" i="7" s="1"/>
  <c r="M127" i="7"/>
  <c r="AG252" i="7"/>
  <c r="Q252" i="7"/>
  <c r="D124" i="6"/>
  <c r="F127" i="7" s="1"/>
  <c r="AG280" i="6"/>
  <c r="E280" i="6"/>
  <c r="G283" i="7" s="1"/>
  <c r="E262" i="6"/>
  <c r="G265" i="7" s="1"/>
  <c r="D262" i="6"/>
  <c r="F265" i="7" s="1"/>
  <c r="G73" i="6"/>
  <c r="I76" i="7" s="1"/>
  <c r="AJ76" i="7" s="1"/>
  <c r="E73" i="6"/>
  <c r="G76" i="7" s="1"/>
  <c r="H73" i="6"/>
  <c r="J76" i="7" s="1"/>
  <c r="Z73" i="6"/>
  <c r="AE76" i="7" s="1"/>
  <c r="V46" i="7"/>
  <c r="F64" i="6"/>
  <c r="H67" i="7" s="1"/>
  <c r="D73" i="6"/>
  <c r="F76" i="7" s="1"/>
  <c r="Z262" i="6"/>
  <c r="AE265" i="7" s="1"/>
  <c r="M283" i="7"/>
  <c r="E295" i="6"/>
  <c r="G298" i="7" s="1"/>
  <c r="I295" i="6"/>
  <c r="K298" i="7" s="1"/>
  <c r="A226" i="6"/>
  <c r="G226" i="6" s="1"/>
  <c r="I229" i="7" s="1"/>
  <c r="M229" i="7"/>
  <c r="H222" i="6"/>
  <c r="J225" i="7" s="1"/>
  <c r="AG222" i="6"/>
  <c r="AG218" i="6"/>
  <c r="E218" i="6"/>
  <c r="G221" i="7" s="1"/>
  <c r="H218" i="6"/>
  <c r="J221" i="7" s="1"/>
  <c r="A210" i="6"/>
  <c r="Q210" i="6" s="1"/>
  <c r="M213" i="7"/>
  <c r="Z206" i="6"/>
  <c r="AE209" i="7" s="1"/>
  <c r="AG209" i="7" s="1"/>
  <c r="BB209" i="7" s="1"/>
  <c r="F206" i="6"/>
  <c r="H209" i="7" s="1"/>
  <c r="A200" i="6"/>
  <c r="G200" i="6" s="1"/>
  <c r="I203" i="7" s="1"/>
  <c r="M203" i="7"/>
  <c r="A193" i="6"/>
  <c r="A196" i="7" s="1"/>
  <c r="M196" i="7"/>
  <c r="A155" i="6"/>
  <c r="Q155" i="6" s="1"/>
  <c r="M158" i="7"/>
  <c r="A114" i="6"/>
  <c r="F114" i="6" s="1"/>
  <c r="H117" i="7" s="1"/>
  <c r="M117" i="7"/>
  <c r="E91" i="6"/>
  <c r="G94" i="7" s="1"/>
  <c r="D91" i="6"/>
  <c r="F94" i="7" s="1"/>
  <c r="A83" i="6"/>
  <c r="T83" i="6" s="1"/>
  <c r="M86" i="7"/>
  <c r="A76" i="6"/>
  <c r="M79" i="7"/>
  <c r="A292" i="6"/>
  <c r="E292" i="6" s="1"/>
  <c r="G295" i="7" s="1"/>
  <c r="M295" i="7"/>
  <c r="A167" i="7"/>
  <c r="F164" i="6"/>
  <c r="H167" i="7" s="1"/>
  <c r="AG164" i="6"/>
  <c r="E164" i="6"/>
  <c r="G167" i="7" s="1"/>
  <c r="Z164" i="6"/>
  <c r="AE167" i="7" s="1"/>
  <c r="D156" i="6"/>
  <c r="F159" i="7" s="1"/>
  <c r="Z156" i="6"/>
  <c r="AE159" i="7" s="1"/>
  <c r="AG159" i="7" s="1"/>
  <c r="BC159" i="7" s="1"/>
  <c r="AG156" i="6"/>
  <c r="A108" i="6"/>
  <c r="M111" i="7"/>
  <c r="Z70" i="6"/>
  <c r="AE73" i="7" s="1"/>
  <c r="AG70" i="6"/>
  <c r="I68" i="6"/>
  <c r="K71" i="7" s="1"/>
  <c r="T68" i="6"/>
  <c r="A55" i="6"/>
  <c r="G55" i="6" s="1"/>
  <c r="I58" i="7" s="1"/>
  <c r="M58" i="7"/>
  <c r="D64" i="6"/>
  <c r="F67" i="7" s="1"/>
  <c r="Z64" i="6"/>
  <c r="AE67" i="7" s="1"/>
  <c r="D68" i="6"/>
  <c r="F71" i="7" s="1"/>
  <c r="H68" i="6"/>
  <c r="J71" i="7" s="1"/>
  <c r="H70" i="6"/>
  <c r="J73" i="7" s="1"/>
  <c r="D280" i="6"/>
  <c r="F283" i="7" s="1"/>
  <c r="M71" i="7"/>
  <c r="M67" i="7"/>
  <c r="M143" i="7"/>
  <c r="M265" i="7"/>
  <c r="H164" i="6"/>
  <c r="J167" i="7" s="1"/>
  <c r="A241" i="6"/>
  <c r="A244" i="7" s="1"/>
  <c r="M244" i="7"/>
  <c r="H233" i="6"/>
  <c r="J236" i="7" s="1"/>
  <c r="E233" i="6"/>
  <c r="G236" i="7" s="1"/>
  <c r="A158" i="6"/>
  <c r="M161" i="7"/>
  <c r="A117" i="6"/>
  <c r="T117" i="6" s="1"/>
  <c r="M120" i="7"/>
  <c r="Z113" i="6"/>
  <c r="AE116" i="7" s="1"/>
  <c r="G113" i="6"/>
  <c r="I116" i="7" s="1"/>
  <c r="AJ116" i="7" s="1"/>
  <c r="D113" i="6"/>
  <c r="F116" i="7" s="1"/>
  <c r="T110" i="6"/>
  <c r="AG110" i="6"/>
  <c r="H110" i="6"/>
  <c r="J113" i="7" s="1"/>
  <c r="E110" i="6"/>
  <c r="G113" i="7" s="1"/>
  <c r="G69" i="6"/>
  <c r="I72" i="7" s="1"/>
  <c r="AJ72" i="7" s="1"/>
  <c r="A72" i="7"/>
  <c r="I69" i="6"/>
  <c r="K72" i="7" s="1"/>
  <c r="D69" i="6"/>
  <c r="F72" i="7" s="1"/>
  <c r="H69" i="6"/>
  <c r="J72" i="7" s="1"/>
  <c r="T37" i="6"/>
  <c r="A293" i="6"/>
  <c r="Q293" i="6" s="1"/>
  <c r="G260" i="6"/>
  <c r="I263" i="7" s="1"/>
  <c r="AK263" i="7" s="1"/>
  <c r="A51" i="6"/>
  <c r="A305" i="6"/>
  <c r="T305" i="6" s="1"/>
  <c r="M308" i="7"/>
  <c r="A297" i="6"/>
  <c r="Q297" i="6" s="1"/>
  <c r="M300" i="7"/>
  <c r="A269" i="6"/>
  <c r="A272" i="7" s="1"/>
  <c r="M272" i="7"/>
  <c r="F93" i="6"/>
  <c r="H96" i="7" s="1"/>
  <c r="A96" i="7"/>
  <c r="Z93" i="6"/>
  <c r="AE96" i="7" s="1"/>
  <c r="H93" i="6"/>
  <c r="J96" i="7" s="1"/>
  <c r="D93" i="6"/>
  <c r="F96" i="7" s="1"/>
  <c r="AG93" i="6"/>
  <c r="A38" i="6"/>
  <c r="Q38" i="6" s="1"/>
  <c r="M41" i="7"/>
  <c r="E93" i="6"/>
  <c r="G96" i="7" s="1"/>
  <c r="Q249" i="7"/>
  <c r="AG249" i="7"/>
  <c r="BJ249" i="7" s="1"/>
  <c r="A301" i="6"/>
  <c r="Q301" i="6" s="1"/>
  <c r="M304" i="7"/>
  <c r="A273" i="6"/>
  <c r="A276" i="7" s="1"/>
  <c r="M276" i="7"/>
  <c r="A266" i="6"/>
  <c r="M269" i="7"/>
  <c r="Q193" i="7"/>
  <c r="AG193" i="7"/>
  <c r="A26" i="6"/>
  <c r="M29" i="7"/>
  <c r="A308" i="6"/>
  <c r="M311" i="7"/>
  <c r="A294" i="6"/>
  <c r="G294" i="6" s="1"/>
  <c r="I297" i="7" s="1"/>
  <c r="AK297" i="7" s="1"/>
  <c r="M297" i="7"/>
  <c r="A283" i="6"/>
  <c r="M286" i="7"/>
  <c r="G272" i="6"/>
  <c r="I275" i="7" s="1"/>
  <c r="E272" i="6"/>
  <c r="G275" i="7" s="1"/>
  <c r="D272" i="6"/>
  <c r="F275" i="7" s="1"/>
  <c r="AG272" i="6"/>
  <c r="F272" i="6"/>
  <c r="H275" i="7" s="1"/>
  <c r="Z272" i="6"/>
  <c r="AE275" i="7" s="1"/>
  <c r="A261" i="6"/>
  <c r="M264" i="7"/>
  <c r="E258" i="6"/>
  <c r="G261" i="7" s="1"/>
  <c r="AG258" i="6"/>
  <c r="D258" i="6"/>
  <c r="F261" i="7" s="1"/>
  <c r="A251" i="6"/>
  <c r="I251" i="6" s="1"/>
  <c r="K254" i="7" s="1"/>
  <c r="M254" i="7"/>
  <c r="F243" i="6"/>
  <c r="H246" i="7" s="1"/>
  <c r="H243" i="6"/>
  <c r="J246" i="7" s="1"/>
  <c r="AG243" i="6"/>
  <c r="A217" i="6"/>
  <c r="M220" i="7"/>
  <c r="Z199" i="6"/>
  <c r="AE202" i="7" s="1"/>
  <c r="F199" i="6"/>
  <c r="H202" i="7" s="1"/>
  <c r="D199" i="6"/>
  <c r="F202" i="7" s="1"/>
  <c r="D184" i="6"/>
  <c r="F187" i="7" s="1"/>
  <c r="Z184" i="6"/>
  <c r="AE187" i="7" s="1"/>
  <c r="AG184" i="6"/>
  <c r="E184" i="6"/>
  <c r="G187" i="7" s="1"/>
  <c r="H184" i="6"/>
  <c r="J187" i="7" s="1"/>
  <c r="F184" i="6"/>
  <c r="H187" i="7" s="1"/>
  <c r="A150" i="6"/>
  <c r="F150" i="6" s="1"/>
  <c r="H153" i="7" s="1"/>
  <c r="M153" i="7"/>
  <c r="A123" i="6"/>
  <c r="Q123" i="6" s="1"/>
  <c r="M126" i="7"/>
  <c r="A109" i="6"/>
  <c r="F109" i="6" s="1"/>
  <c r="H112" i="7" s="1"/>
  <c r="M112" i="7"/>
  <c r="A47" i="6"/>
  <c r="T47" i="6" s="1"/>
  <c r="M50" i="7"/>
  <c r="H272" i="6"/>
  <c r="J275" i="7" s="1"/>
  <c r="M199" i="7"/>
  <c r="AG199" i="6"/>
  <c r="A239" i="6"/>
  <c r="I239" i="6" s="1"/>
  <c r="K242" i="7" s="1"/>
  <c r="M242" i="7"/>
  <c r="A235" i="6"/>
  <c r="Q235" i="6" s="1"/>
  <c r="M238" i="7"/>
  <c r="D231" i="6"/>
  <c r="F234" i="7" s="1"/>
  <c r="H231" i="6"/>
  <c r="J234" i="7" s="1"/>
  <c r="AG231" i="6"/>
  <c r="A228" i="6"/>
  <c r="A231" i="7" s="1"/>
  <c r="M231" i="7"/>
  <c r="A162" i="7"/>
  <c r="I159" i="6"/>
  <c r="K162" i="7" s="1"/>
  <c r="T159" i="6"/>
  <c r="Q159" i="6"/>
  <c r="AG159" i="6"/>
  <c r="H159" i="6"/>
  <c r="J162" i="7" s="1"/>
  <c r="F159" i="6"/>
  <c r="H162" i="7" s="1"/>
  <c r="Z159" i="6"/>
  <c r="AE162" i="7" s="1"/>
  <c r="A153" i="6"/>
  <c r="Q153" i="6" s="1"/>
  <c r="M156" i="7"/>
  <c r="A134" i="6"/>
  <c r="I134" i="6" s="1"/>
  <c r="K137" i="7" s="1"/>
  <c r="M137" i="7"/>
  <c r="A279" i="6"/>
  <c r="A282" i="7" s="1"/>
  <c r="M282" i="7"/>
  <c r="A255" i="6"/>
  <c r="G255" i="6" s="1"/>
  <c r="I258" i="7" s="1"/>
  <c r="M258" i="7"/>
  <c r="Z247" i="6"/>
  <c r="AE250" i="7" s="1"/>
  <c r="H247" i="6"/>
  <c r="J250" i="7" s="1"/>
  <c r="AG247" i="6"/>
  <c r="A221" i="6"/>
  <c r="I221" i="6" s="1"/>
  <c r="K224" i="7" s="1"/>
  <c r="M224" i="7"/>
  <c r="I196" i="6"/>
  <c r="K199" i="7" s="1"/>
  <c r="D196" i="6"/>
  <c r="F199" i="7" s="1"/>
  <c r="Z196" i="6"/>
  <c r="AE199" i="7" s="1"/>
  <c r="F196" i="6"/>
  <c r="H199" i="7" s="1"/>
  <c r="A188" i="6"/>
  <c r="M191" i="7"/>
  <c r="A180" i="6"/>
  <c r="I180" i="6" s="1"/>
  <c r="K183" i="7" s="1"/>
  <c r="M183" i="7"/>
  <c r="I98" i="6"/>
  <c r="K101" i="7" s="1"/>
  <c r="T98" i="6"/>
  <c r="Q98" i="6"/>
  <c r="Z98" i="6"/>
  <c r="AE101" i="7" s="1"/>
  <c r="E98" i="6"/>
  <c r="G101" i="7" s="1"/>
  <c r="A41" i="6"/>
  <c r="Q41" i="6" s="1"/>
  <c r="M44" i="7"/>
  <c r="AG98" i="6"/>
  <c r="E243" i="6"/>
  <c r="G246" i="7" s="1"/>
  <c r="E196" i="6"/>
  <c r="G199" i="7" s="1"/>
  <c r="F258" i="6"/>
  <c r="H261" i="7" s="1"/>
  <c r="Q113" i="7"/>
  <c r="M101" i="7"/>
  <c r="M250" i="7"/>
  <c r="H258" i="6"/>
  <c r="J261" i="7" s="1"/>
  <c r="M275" i="7"/>
  <c r="H296" i="6"/>
  <c r="J299" i="7" s="1"/>
  <c r="F262" i="6"/>
  <c r="H265" i="7" s="1"/>
  <c r="A245" i="6"/>
  <c r="A248" i="7" s="1"/>
  <c r="M248" i="7"/>
  <c r="A238" i="6"/>
  <c r="I238" i="6" s="1"/>
  <c r="K241" i="7" s="1"/>
  <c r="M241" i="7"/>
  <c r="H230" i="6"/>
  <c r="J233" i="7" s="1"/>
  <c r="Z230" i="6"/>
  <c r="AE233" i="7" s="1"/>
  <c r="AG233" i="7" s="1"/>
  <c r="M175" i="7"/>
  <c r="A172" i="6"/>
  <c r="Q172" i="6" s="1"/>
  <c r="A89" i="6"/>
  <c r="I89" i="6" s="1"/>
  <c r="K92" i="7" s="1"/>
  <c r="M92" i="7"/>
  <c r="E85" i="6"/>
  <c r="G88" i="7" s="1"/>
  <c r="D85" i="6"/>
  <c r="F88" i="7" s="1"/>
  <c r="F85" i="6"/>
  <c r="H88" i="7" s="1"/>
  <c r="A78" i="6"/>
  <c r="A81" i="7" s="1"/>
  <c r="M81" i="7"/>
  <c r="A74" i="6"/>
  <c r="F74" i="6" s="1"/>
  <c r="H77" i="7" s="1"/>
  <c r="M77" i="7"/>
  <c r="A66" i="6"/>
  <c r="M69" i="7"/>
  <c r="AK63" i="7"/>
  <c r="AJ63" i="7"/>
  <c r="A214" i="6"/>
  <c r="G214" i="6" s="1"/>
  <c r="I217" i="7" s="1"/>
  <c r="M217" i="7"/>
  <c r="I206" i="6"/>
  <c r="K209" i="7" s="1"/>
  <c r="A209" i="7"/>
  <c r="A197" i="6"/>
  <c r="T197" i="6" s="1"/>
  <c r="M200" i="7"/>
  <c r="A185" i="6"/>
  <c r="A188" i="7" s="1"/>
  <c r="M188" i="7"/>
  <c r="A132" i="6"/>
  <c r="M135" i="7"/>
  <c r="A127" i="6"/>
  <c r="I127" i="6" s="1"/>
  <c r="K130" i="7" s="1"/>
  <c r="M130" i="7"/>
  <c r="A99" i="6"/>
  <c r="Q99" i="6" s="1"/>
  <c r="M102" i="7"/>
  <c r="A96" i="6"/>
  <c r="I96" i="6" s="1"/>
  <c r="K99" i="7" s="1"/>
  <c r="M99" i="7"/>
  <c r="Z91" i="6"/>
  <c r="AE94" i="7" s="1"/>
  <c r="AG91" i="6"/>
  <c r="H91" i="6"/>
  <c r="J94" i="7" s="1"/>
  <c r="G53" i="6"/>
  <c r="I56" i="7" s="1"/>
  <c r="AJ56" i="7" s="1"/>
  <c r="Z53" i="6"/>
  <c r="AE56" i="7" s="1"/>
  <c r="D53" i="6"/>
  <c r="F56" i="7" s="1"/>
  <c r="E53" i="6"/>
  <c r="G56" i="7" s="1"/>
  <c r="H53" i="6"/>
  <c r="J56" i="7" s="1"/>
  <c r="G278" i="6"/>
  <c r="I281" i="7" s="1"/>
  <c r="AJ281" i="7" s="1"/>
  <c r="AG278" i="6"/>
  <c r="H278" i="6"/>
  <c r="J281" i="7" s="1"/>
  <c r="A212" i="6"/>
  <c r="M215" i="7"/>
  <c r="A160" i="6"/>
  <c r="G160" i="6" s="1"/>
  <c r="I163" i="7" s="1"/>
  <c r="AK163" i="7" s="1"/>
  <c r="M163" i="7"/>
  <c r="A133" i="6"/>
  <c r="A136" i="7" s="1"/>
  <c r="M136" i="7"/>
  <c r="A298" i="6"/>
  <c r="M301" i="7"/>
  <c r="A263" i="6"/>
  <c r="I263" i="6" s="1"/>
  <c r="K266" i="7" s="1"/>
  <c r="M266" i="7"/>
  <c r="F218" i="6"/>
  <c r="H221" i="7" s="1"/>
  <c r="Z218" i="6"/>
  <c r="AE221" i="7" s="1"/>
  <c r="A169" i="6"/>
  <c r="G169" i="6" s="1"/>
  <c r="I172" i="7" s="1"/>
  <c r="M172" i="7"/>
  <c r="T157" i="6"/>
  <c r="I157" i="6"/>
  <c r="K160" i="7" s="1"/>
  <c r="A143" i="6"/>
  <c r="E143" i="6" s="1"/>
  <c r="G146" i="7" s="1"/>
  <c r="M146" i="7"/>
  <c r="A100" i="6"/>
  <c r="M103" i="7"/>
  <c r="G79" i="6"/>
  <c r="I82" i="7" s="1"/>
  <c r="Z79" i="6"/>
  <c r="AE82" i="7" s="1"/>
  <c r="G61" i="6"/>
  <c r="I64" i="7" s="1"/>
  <c r="I61" i="6"/>
  <c r="K64" i="7" s="1"/>
  <c r="A59" i="6"/>
  <c r="G59" i="6" s="1"/>
  <c r="I62" i="7" s="1"/>
  <c r="M62" i="7"/>
  <c r="A244" i="6"/>
  <c r="E244" i="6" s="1"/>
  <c r="G247" i="7" s="1"/>
  <c r="P50" i="7"/>
  <c r="P267" i="7"/>
  <c r="O110" i="7"/>
  <c r="P299" i="7"/>
  <c r="P253" i="7"/>
  <c r="O218" i="7"/>
  <c r="P28" i="7"/>
  <c r="P151" i="7"/>
  <c r="O18" i="7"/>
  <c r="O50" i="7"/>
  <c r="O102" i="7"/>
  <c r="O166" i="7"/>
  <c r="O78" i="7"/>
  <c r="O130" i="7"/>
  <c r="O62" i="7"/>
  <c r="P26" i="7"/>
  <c r="O142" i="7"/>
  <c r="O98" i="7"/>
  <c r="O20" i="7"/>
  <c r="P293" i="7"/>
  <c r="P259" i="7"/>
  <c r="O202" i="7"/>
  <c r="O187" i="7"/>
  <c r="O156" i="7"/>
  <c r="P25" i="7"/>
  <c r="O162" i="7"/>
  <c r="O122" i="7"/>
  <c r="P79" i="7"/>
  <c r="P35" i="7"/>
  <c r="P301" i="7"/>
  <c r="P295" i="7"/>
  <c r="P76" i="7"/>
  <c r="O174" i="7"/>
  <c r="P143" i="7"/>
  <c r="P119" i="7"/>
  <c r="P87" i="7"/>
  <c r="P51" i="7"/>
  <c r="P311" i="7"/>
  <c r="P243" i="7"/>
  <c r="P104" i="7"/>
  <c r="P101" i="7"/>
  <c r="P90" i="7"/>
  <c r="P52" i="7"/>
  <c r="P23" i="7"/>
  <c r="P20" i="7"/>
  <c r="O154" i="7"/>
  <c r="O134" i="7"/>
  <c r="P111" i="7"/>
  <c r="O90" i="7"/>
  <c r="P67" i="7"/>
  <c r="O38" i="7"/>
  <c r="P287" i="7"/>
  <c r="P261" i="7"/>
  <c r="P255" i="7"/>
  <c r="O226" i="7"/>
  <c r="P223" i="7"/>
  <c r="P220" i="7"/>
  <c r="O210" i="7"/>
  <c r="P207" i="7"/>
  <c r="P204" i="7"/>
  <c r="O132" i="7"/>
  <c r="O84" i="7"/>
  <c r="P58" i="7"/>
  <c r="O52" i="7"/>
  <c r="P307" i="7"/>
  <c r="P279" i="7"/>
  <c r="P269" i="7"/>
  <c r="P263" i="7"/>
  <c r="P235" i="7"/>
  <c r="P228" i="7"/>
  <c r="P160" i="7"/>
  <c r="P157" i="7"/>
  <c r="P128" i="7"/>
  <c r="P125" i="7"/>
  <c r="P92" i="7"/>
  <c r="O68" i="7"/>
  <c r="O25" i="7"/>
  <c r="O21" i="7"/>
  <c r="O19" i="7"/>
  <c r="P167" i="7"/>
  <c r="O158" i="7"/>
  <c r="O146" i="7"/>
  <c r="P135" i="7"/>
  <c r="O126" i="7"/>
  <c r="O114" i="7"/>
  <c r="P103" i="7"/>
  <c r="O94" i="7"/>
  <c r="O82" i="7"/>
  <c r="O70" i="7"/>
  <c r="O58" i="7"/>
  <c r="O42" i="7"/>
  <c r="P27" i="7"/>
  <c r="P291" i="7"/>
  <c r="P285" i="7"/>
  <c r="P275" i="7"/>
  <c r="P247" i="7"/>
  <c r="P237" i="7"/>
  <c r="P200" i="7"/>
  <c r="P170" i="7"/>
  <c r="O36" i="7"/>
  <c r="O24" i="7"/>
  <c r="P19" i="7"/>
  <c r="O26" i="7"/>
  <c r="O170" i="7"/>
  <c r="P159" i="7"/>
  <c r="O150" i="7"/>
  <c r="O138" i="7"/>
  <c r="P127" i="7"/>
  <c r="O118" i="7"/>
  <c r="O106" i="7"/>
  <c r="P95" i="7"/>
  <c r="O86" i="7"/>
  <c r="O74" i="7"/>
  <c r="P59" i="7"/>
  <c r="O46" i="7"/>
  <c r="O30" i="7"/>
  <c r="O23" i="7"/>
  <c r="P24" i="7"/>
  <c r="P18" i="7"/>
  <c r="P21" i="7"/>
  <c r="P171" i="7"/>
  <c r="P163" i="7"/>
  <c r="P155" i="7"/>
  <c r="P147" i="7"/>
  <c r="P139" i="7"/>
  <c r="P131" i="7"/>
  <c r="P123" i="7"/>
  <c r="P115" i="7"/>
  <c r="P107" i="7"/>
  <c r="P99" i="7"/>
  <c r="P91" i="7"/>
  <c r="P83" i="7"/>
  <c r="P75" i="7"/>
  <c r="O66" i="7"/>
  <c r="O54" i="7"/>
  <c r="P43" i="7"/>
  <c r="O34" i="7"/>
  <c r="P315" i="7"/>
  <c r="P309" i="7"/>
  <c r="P303" i="7"/>
  <c r="P283" i="7"/>
  <c r="P277" i="7"/>
  <c r="P271" i="7"/>
  <c r="P251" i="7"/>
  <c r="P245" i="7"/>
  <c r="P239" i="7"/>
  <c r="O230" i="7"/>
  <c r="P212" i="7"/>
  <c r="O164" i="7"/>
  <c r="P140" i="7"/>
  <c r="P116" i="7"/>
  <c r="P60" i="7"/>
  <c r="O314" i="7"/>
  <c r="O312" i="7"/>
  <c r="O308" i="7"/>
  <c r="O306" i="7"/>
  <c r="O304" i="7"/>
  <c r="O300" i="7"/>
  <c r="O298" i="7"/>
  <c r="O296" i="7"/>
  <c r="O292" i="7"/>
  <c r="O290" i="7"/>
  <c r="O288" i="7"/>
  <c r="O284" i="7"/>
  <c r="O282" i="7"/>
  <c r="O280" i="7"/>
  <c r="O276" i="7"/>
  <c r="O274" i="7"/>
  <c r="O272" i="7"/>
  <c r="O268" i="7"/>
  <c r="O266" i="7"/>
  <c r="O264" i="7"/>
  <c r="O260" i="7"/>
  <c r="O258" i="7"/>
  <c r="O256" i="7"/>
  <c r="O252" i="7"/>
  <c r="O250" i="7"/>
  <c r="O248" i="7"/>
  <c r="O244" i="7"/>
  <c r="O242" i="7"/>
  <c r="O240" i="7"/>
  <c r="O236" i="7"/>
  <c r="O234" i="7"/>
  <c r="P216" i="7"/>
  <c r="P211" i="7"/>
  <c r="P203" i="7"/>
  <c r="O198" i="7"/>
  <c r="O196" i="7"/>
  <c r="P193" i="7"/>
  <c r="P185" i="7"/>
  <c r="O182" i="7"/>
  <c r="O180" i="7"/>
  <c r="P177" i="7"/>
  <c r="P156" i="7"/>
  <c r="P154" i="7"/>
  <c r="P144" i="7"/>
  <c r="P141" i="7"/>
  <c r="O124" i="7"/>
  <c r="P114" i="7"/>
  <c r="P96" i="7"/>
  <c r="P93" i="7"/>
  <c r="P84" i="7"/>
  <c r="P82" i="7"/>
  <c r="P74" i="7"/>
  <c r="P44" i="7"/>
  <c r="P312" i="7"/>
  <c r="O311" i="7"/>
  <c r="P304" i="7"/>
  <c r="O303" i="7"/>
  <c r="P296" i="7"/>
  <c r="O295" i="7"/>
  <c r="P288" i="7"/>
  <c r="O287" i="7"/>
  <c r="P280" i="7"/>
  <c r="O279" i="7"/>
  <c r="P272" i="7"/>
  <c r="O271" i="7"/>
  <c r="P264" i="7"/>
  <c r="O263" i="7"/>
  <c r="P256" i="7"/>
  <c r="O255" i="7"/>
  <c r="P248" i="7"/>
  <c r="O247" i="7"/>
  <c r="P240" i="7"/>
  <c r="O239" i="7"/>
  <c r="P232" i="7"/>
  <c r="P227" i="7"/>
  <c r="P219" i="7"/>
  <c r="O214" i="7"/>
  <c r="P196" i="7"/>
  <c r="P191" i="7"/>
  <c r="P188" i="7"/>
  <c r="P180" i="7"/>
  <c r="P175" i="7"/>
  <c r="P172" i="7"/>
  <c r="O148" i="7"/>
  <c r="P136" i="7"/>
  <c r="P133" i="7"/>
  <c r="P112" i="7"/>
  <c r="P109" i="7"/>
  <c r="P106" i="7"/>
  <c r="P80" i="7"/>
  <c r="P77" i="7"/>
  <c r="P72" i="7"/>
  <c r="P69" i="7"/>
  <c r="O60" i="7"/>
  <c r="P42" i="7"/>
  <c r="P32" i="7"/>
  <c r="P29" i="7"/>
  <c r="O315" i="7"/>
  <c r="P313" i="7"/>
  <c r="O310" i="7"/>
  <c r="P308" i="7"/>
  <c r="O307" i="7"/>
  <c r="P305" i="7"/>
  <c r="O302" i="7"/>
  <c r="P300" i="7"/>
  <c r="O299" i="7"/>
  <c r="P297" i="7"/>
  <c r="O294" i="7"/>
  <c r="P292" i="7"/>
  <c r="O291" i="7"/>
  <c r="P289" i="7"/>
  <c r="O286" i="7"/>
  <c r="P284" i="7"/>
  <c r="O283" i="7"/>
  <c r="P281" i="7"/>
  <c r="O278" i="7"/>
  <c r="P276" i="7"/>
  <c r="O275" i="7"/>
  <c r="P273" i="7"/>
  <c r="O270" i="7"/>
  <c r="P268" i="7"/>
  <c r="O267" i="7"/>
  <c r="P265" i="7"/>
  <c r="O262" i="7"/>
  <c r="P260" i="7"/>
  <c r="O259" i="7"/>
  <c r="P257" i="7"/>
  <c r="P231" i="7"/>
  <c r="P224" i="7"/>
  <c r="O222" i="7"/>
  <c r="P215" i="7"/>
  <c r="P208" i="7"/>
  <c r="O206" i="7"/>
  <c r="P199" i="7"/>
  <c r="P173" i="7"/>
  <c r="P168" i="7"/>
  <c r="P165" i="7"/>
  <c r="P148" i="7"/>
  <c r="P146" i="7"/>
  <c r="P138" i="7"/>
  <c r="P124" i="7"/>
  <c r="P122" i="7"/>
  <c r="O116" i="7"/>
  <c r="P108" i="7"/>
  <c r="O100" i="7"/>
  <c r="O92" i="7"/>
  <c r="P64" i="7"/>
  <c r="P61" i="7"/>
  <c r="P48" i="7"/>
  <c r="P45" i="7"/>
  <c r="P40" i="7"/>
  <c r="P34" i="7"/>
  <c r="P36" i="7"/>
  <c r="O44" i="7"/>
  <c r="P53" i="7"/>
  <c r="P56" i="7"/>
  <c r="P66" i="7"/>
  <c r="P68" i="7"/>
  <c r="O76" i="7"/>
  <c r="P85" i="7"/>
  <c r="P88" i="7"/>
  <c r="P98" i="7"/>
  <c r="P100" i="7"/>
  <c r="O108" i="7"/>
  <c r="P117" i="7"/>
  <c r="P120" i="7"/>
  <c r="P130" i="7"/>
  <c r="P132" i="7"/>
  <c r="O140" i="7"/>
  <c r="P149" i="7"/>
  <c r="P152" i="7"/>
  <c r="P162" i="7"/>
  <c r="P164" i="7"/>
  <c r="O172" i="7"/>
  <c r="O179" i="7"/>
  <c r="P183" i="7"/>
  <c r="O188" i="7"/>
  <c r="O190" i="7"/>
  <c r="O195" i="7"/>
  <c r="O199" i="7"/>
  <c r="O203" i="7"/>
  <c r="O207" i="7"/>
  <c r="O211" i="7"/>
  <c r="O215" i="7"/>
  <c r="O219" i="7"/>
  <c r="O223" i="7"/>
  <c r="O227" i="7"/>
  <c r="O231" i="7"/>
  <c r="O235" i="7"/>
  <c r="P236" i="7"/>
  <c r="O238" i="7"/>
  <c r="P241" i="7"/>
  <c r="O243" i="7"/>
  <c r="P244" i="7"/>
  <c r="O246" i="7"/>
  <c r="P249" i="7"/>
  <c r="O251" i="7"/>
  <c r="P252" i="7"/>
  <c r="O254" i="7"/>
  <c r="O257" i="7"/>
  <c r="P258" i="7"/>
  <c r="O261" i="7"/>
  <c r="P262" i="7"/>
  <c r="O265" i="7"/>
  <c r="P266" i="7"/>
  <c r="O269" i="7"/>
  <c r="P270" i="7"/>
  <c r="O273" i="7"/>
  <c r="P274" i="7"/>
  <c r="O277" i="7"/>
  <c r="P278" i="7"/>
  <c r="O281" i="7"/>
  <c r="P282" i="7"/>
  <c r="O285" i="7"/>
  <c r="P286" i="7"/>
  <c r="O289" i="7"/>
  <c r="P290" i="7"/>
  <c r="O293" i="7"/>
  <c r="P294" i="7"/>
  <c r="O297" i="7"/>
  <c r="P298" i="7"/>
  <c r="O301" i="7"/>
  <c r="P302" i="7"/>
  <c r="O305" i="7"/>
  <c r="P306" i="7"/>
  <c r="O309" i="7"/>
  <c r="P310" i="7"/>
  <c r="O313" i="7"/>
  <c r="P314" i="7"/>
  <c r="P31" i="7"/>
  <c r="P39" i="7"/>
  <c r="P47" i="7"/>
  <c r="P55" i="7"/>
  <c r="P63" i="7"/>
  <c r="P71" i="7"/>
  <c r="O29" i="7"/>
  <c r="O31" i="7"/>
  <c r="O33" i="7"/>
  <c r="O37" i="7"/>
  <c r="O39" i="7"/>
  <c r="O41" i="7"/>
  <c r="O45" i="7"/>
  <c r="O47" i="7"/>
  <c r="O49" i="7"/>
  <c r="O53" i="7"/>
  <c r="O55" i="7"/>
  <c r="O57" i="7"/>
  <c r="O61" i="7"/>
  <c r="O63" i="7"/>
  <c r="O65" i="7"/>
  <c r="O69" i="7"/>
  <c r="O71" i="7"/>
  <c r="O73" i="7"/>
  <c r="O77" i="7"/>
  <c r="O79" i="7"/>
  <c r="O81" i="7"/>
  <c r="O85" i="7"/>
  <c r="O87" i="7"/>
  <c r="O89" i="7"/>
  <c r="O93" i="7"/>
  <c r="O95" i="7"/>
  <c r="O97" i="7"/>
  <c r="O101" i="7"/>
  <c r="O103" i="7"/>
  <c r="O105" i="7"/>
  <c r="O109" i="7"/>
  <c r="O111" i="7"/>
  <c r="O113" i="7"/>
  <c r="O117" i="7"/>
  <c r="O119" i="7"/>
  <c r="O121" i="7"/>
  <c r="O125" i="7"/>
  <c r="O127" i="7"/>
  <c r="O129" i="7"/>
  <c r="O133" i="7"/>
  <c r="O135" i="7"/>
  <c r="O137" i="7"/>
  <c r="O141" i="7"/>
  <c r="O143" i="7"/>
  <c r="O145" i="7"/>
  <c r="O149" i="7"/>
  <c r="O151" i="7"/>
  <c r="O153" i="7"/>
  <c r="O157" i="7"/>
  <c r="O159" i="7"/>
  <c r="O161" i="7"/>
  <c r="O165" i="7"/>
  <c r="O167" i="7"/>
  <c r="O169" i="7"/>
  <c r="O173" i="7"/>
  <c r="O175" i="7"/>
  <c r="P176" i="7"/>
  <c r="O178" i="7"/>
  <c r="P181" i="7"/>
  <c r="O183" i="7"/>
  <c r="P184" i="7"/>
  <c r="O186" i="7"/>
  <c r="P189" i="7"/>
  <c r="O191" i="7"/>
  <c r="P192" i="7"/>
  <c r="O194" i="7"/>
  <c r="P197" i="7"/>
  <c r="O200" i="7"/>
  <c r="P201" i="7"/>
  <c r="O204" i="7"/>
  <c r="P205" i="7"/>
  <c r="O208" i="7"/>
  <c r="P209" i="7"/>
  <c r="O212" i="7"/>
  <c r="P213" i="7"/>
  <c r="O216" i="7"/>
  <c r="P217" i="7"/>
  <c r="O220" i="7"/>
  <c r="P221" i="7"/>
  <c r="O224" i="7"/>
  <c r="P225" i="7"/>
  <c r="O228" i="7"/>
  <c r="P229" i="7"/>
  <c r="O232" i="7"/>
  <c r="P233" i="7"/>
  <c r="O176" i="7"/>
  <c r="P179" i="7"/>
  <c r="O184" i="7"/>
  <c r="P187" i="7"/>
  <c r="O192" i="7"/>
  <c r="P195" i="7"/>
  <c r="P198" i="7"/>
  <c r="O201" i="7"/>
  <c r="P202" i="7"/>
  <c r="O205" i="7"/>
  <c r="P206" i="7"/>
  <c r="O209" i="7"/>
  <c r="P210" i="7"/>
  <c r="O213" i="7"/>
  <c r="P214" i="7"/>
  <c r="O217" i="7"/>
  <c r="P218" i="7"/>
  <c r="O221" i="7"/>
  <c r="P222" i="7"/>
  <c r="O225" i="7"/>
  <c r="P226" i="7"/>
  <c r="O229" i="7"/>
  <c r="P230" i="7"/>
  <c r="O233" i="7"/>
  <c r="P234" i="7"/>
  <c r="O237" i="7"/>
  <c r="P238" i="7"/>
  <c r="O241" i="7"/>
  <c r="P242" i="7"/>
  <c r="O245" i="7"/>
  <c r="P246" i="7"/>
  <c r="O249" i="7"/>
  <c r="P250" i="7"/>
  <c r="O253" i="7"/>
  <c r="P254" i="7"/>
  <c r="O27" i="7"/>
  <c r="P30" i="7"/>
  <c r="O32" i="7"/>
  <c r="P33" i="7"/>
  <c r="O35" i="7"/>
  <c r="P38" i="7"/>
  <c r="O40" i="7"/>
  <c r="P41" i="7"/>
  <c r="O43" i="7"/>
  <c r="P46" i="7"/>
  <c r="O48" i="7"/>
  <c r="P49" i="7"/>
  <c r="O51" i="7"/>
  <c r="P54" i="7"/>
  <c r="O56" i="7"/>
  <c r="P57" i="7"/>
  <c r="O59" i="7"/>
  <c r="P62" i="7"/>
  <c r="O64" i="7"/>
  <c r="P65" i="7"/>
  <c r="O67" i="7"/>
  <c r="P70" i="7"/>
  <c r="O72" i="7"/>
  <c r="P73" i="7"/>
  <c r="O75" i="7"/>
  <c r="P78" i="7"/>
  <c r="O80" i="7"/>
  <c r="P81" i="7"/>
  <c r="O83" i="7"/>
  <c r="P86" i="7"/>
  <c r="O88" i="7"/>
  <c r="P89" i="7"/>
  <c r="O91" i="7"/>
  <c r="P94" i="7"/>
  <c r="O96" i="7"/>
  <c r="P97" i="7"/>
  <c r="O99" i="7"/>
  <c r="P102" i="7"/>
  <c r="O104" i="7"/>
  <c r="P105" i="7"/>
  <c r="O107" i="7"/>
  <c r="P110" i="7"/>
  <c r="O112" i="7"/>
  <c r="P113" i="7"/>
  <c r="O115" i="7"/>
  <c r="P118" i="7"/>
  <c r="O120" i="7"/>
  <c r="P121" i="7"/>
  <c r="O123" i="7"/>
  <c r="P126" i="7"/>
  <c r="O128" i="7"/>
  <c r="P129" i="7"/>
  <c r="O131" i="7"/>
  <c r="P134" i="7"/>
  <c r="O136" i="7"/>
  <c r="P137" i="7"/>
  <c r="O139" i="7"/>
  <c r="P142" i="7"/>
  <c r="O144" i="7"/>
  <c r="P145" i="7"/>
  <c r="O147" i="7"/>
  <c r="P150" i="7"/>
  <c r="O152" i="7"/>
  <c r="P153" i="7"/>
  <c r="O155" i="7"/>
  <c r="P158" i="7"/>
  <c r="O160" i="7"/>
  <c r="P161" i="7"/>
  <c r="O163" i="7"/>
  <c r="P166" i="7"/>
  <c r="O168" i="7"/>
  <c r="P169" i="7"/>
  <c r="O171" i="7"/>
  <c r="P174" i="7"/>
  <c r="O177" i="7"/>
  <c r="P178" i="7"/>
  <c r="O181" i="7"/>
  <c r="P182" i="7"/>
  <c r="O185" i="7"/>
  <c r="P186" i="7"/>
  <c r="O189" i="7"/>
  <c r="P190" i="7"/>
  <c r="O193" i="7"/>
  <c r="P194" i="7"/>
  <c r="O197" i="7"/>
  <c r="AU223" i="7"/>
  <c r="AU136" i="7"/>
  <c r="AU117" i="7"/>
  <c r="AU267" i="7"/>
  <c r="AU301" i="7"/>
  <c r="AU107" i="7"/>
  <c r="AU273" i="7"/>
  <c r="AU293" i="7"/>
  <c r="AU185" i="7"/>
  <c r="AU277" i="7"/>
  <c r="AU308" i="7"/>
  <c r="AU251" i="7"/>
  <c r="AU59" i="7"/>
  <c r="AU113" i="7"/>
  <c r="AU97" i="7"/>
  <c r="AU191" i="7"/>
  <c r="AU132" i="7"/>
  <c r="AU35" i="7"/>
  <c r="AU194" i="7"/>
  <c r="AU80" i="7"/>
  <c r="AU158" i="7"/>
  <c r="AU225" i="7"/>
  <c r="AU89" i="7"/>
  <c r="AU119" i="7"/>
  <c r="AU110" i="7"/>
  <c r="AU45" i="7"/>
  <c r="AU252" i="7"/>
  <c r="AU181" i="7"/>
  <c r="AU127" i="7"/>
  <c r="AU133" i="7"/>
  <c r="AU261" i="7"/>
  <c r="AU148" i="7"/>
  <c r="AU234" i="7"/>
  <c r="E7" i="8"/>
  <c r="A6" i="7"/>
  <c r="S1" i="8"/>
  <c r="Q114" i="7"/>
  <c r="AG114" i="7"/>
  <c r="Q168" i="7"/>
  <c r="AO103" i="5"/>
  <c r="AP103" i="5"/>
  <c r="AR103" i="5" s="1"/>
  <c r="AP211" i="5"/>
  <c r="AR211" i="5" s="1"/>
  <c r="AO211" i="5"/>
  <c r="AQ211" i="5" s="1"/>
  <c r="AO187" i="5"/>
  <c r="AQ187" i="5" s="1"/>
  <c r="AP187" i="5"/>
  <c r="AR187" i="5" s="1"/>
  <c r="AP228" i="5"/>
  <c r="AR228" i="5" s="1"/>
  <c r="AO228" i="5"/>
  <c r="AQ228" i="5" s="1"/>
  <c r="A137" i="6"/>
  <c r="T137" i="6" s="1"/>
  <c r="M140" i="7"/>
  <c r="Z101" i="6"/>
  <c r="AE104" i="7" s="1"/>
  <c r="D101" i="6"/>
  <c r="F104" i="7" s="1"/>
  <c r="H101" i="6"/>
  <c r="J104" i="7" s="1"/>
  <c r="F101" i="6"/>
  <c r="H104" i="7" s="1"/>
  <c r="AG101" i="6"/>
  <c r="AO297" i="5"/>
  <c r="AQ297" i="5" s="1"/>
  <c r="AP297" i="5"/>
  <c r="AR297" i="5" s="1"/>
  <c r="A130" i="6"/>
  <c r="M133" i="7"/>
  <c r="A116" i="6"/>
  <c r="M119" i="7"/>
  <c r="D111" i="6"/>
  <c r="F114" i="7" s="1"/>
  <c r="F111" i="6"/>
  <c r="H114" i="7" s="1"/>
  <c r="AG111" i="6"/>
  <c r="E111" i="6"/>
  <c r="G114" i="7" s="1"/>
  <c r="A86" i="6"/>
  <c r="D86" i="6" s="1"/>
  <c r="F89" i="7" s="1"/>
  <c r="M89" i="7"/>
  <c r="BE111" i="5"/>
  <c r="BF111" i="5" s="1"/>
  <c r="BG111" i="5" s="1"/>
  <c r="BB75" i="7"/>
  <c r="BC75" i="7"/>
  <c r="BJ75" i="7"/>
  <c r="AG168" i="7"/>
  <c r="AS162" i="5"/>
  <c r="AT162" i="5" s="1"/>
  <c r="AO135" i="5"/>
  <c r="AQ135" i="5" s="1"/>
  <c r="AP135" i="5"/>
  <c r="AR135" i="5" s="1"/>
  <c r="AP223" i="5"/>
  <c r="AR223" i="5" s="1"/>
  <c r="AP57" i="5"/>
  <c r="AR57" i="5" s="1"/>
  <c r="AO57" i="5"/>
  <c r="AQ57" i="5" s="1"/>
  <c r="AO282" i="5"/>
  <c r="AQ282" i="5" s="1"/>
  <c r="AP282" i="5"/>
  <c r="AR282" i="5" s="1"/>
  <c r="AP190" i="5"/>
  <c r="AR190" i="5" s="1"/>
  <c r="AO190" i="5"/>
  <c r="AQ190" i="5" s="1"/>
  <c r="AP171" i="5"/>
  <c r="AR171" i="5" s="1"/>
  <c r="AO171" i="5"/>
  <c r="AQ171" i="5" s="1"/>
  <c r="AW35" i="5"/>
  <c r="AO158" i="5"/>
  <c r="AQ158" i="5" s="1"/>
  <c r="AP158" i="5"/>
  <c r="AR158" i="5" s="1"/>
  <c r="AO170" i="5"/>
  <c r="AQ170" i="5" s="1"/>
  <c r="AP170" i="5"/>
  <c r="AR170" i="5" s="1"/>
  <c r="AP119" i="5"/>
  <c r="AR119" i="5" s="1"/>
  <c r="AO119" i="5"/>
  <c r="AQ119" i="5" s="1"/>
  <c r="AO263" i="5"/>
  <c r="AQ263" i="5" s="1"/>
  <c r="AP263" i="5"/>
  <c r="AR263" i="5" s="1"/>
  <c r="AO235" i="5"/>
  <c r="AQ235" i="5" s="1"/>
  <c r="AP235" i="5"/>
  <c r="AR235" i="5" s="1"/>
  <c r="AP44" i="5"/>
  <c r="AR44" i="5" s="1"/>
  <c r="AO44" i="5"/>
  <c r="AQ44" i="5" s="1"/>
  <c r="BA304" i="5"/>
  <c r="AO230" i="5"/>
  <c r="AQ230" i="5" s="1"/>
  <c r="AS230" i="5" s="1"/>
  <c r="AT230" i="5" s="1"/>
  <c r="AU230" i="5" s="1"/>
  <c r="AC230" i="5" s="1"/>
  <c r="AG84" i="7"/>
  <c r="AP236" i="5"/>
  <c r="AR236" i="5" s="1"/>
  <c r="AO236" i="5"/>
  <c r="AQ236" i="5" s="1"/>
  <c r="AO130" i="5"/>
  <c r="AQ130" i="5" s="1"/>
  <c r="AS130" i="5" s="1"/>
  <c r="AT130" i="5" s="1"/>
  <c r="AP130" i="5"/>
  <c r="AR130" i="5" s="1"/>
  <c r="A35" i="6"/>
  <c r="M38" i="7"/>
  <c r="AM86" i="7"/>
  <c r="AM38" i="7"/>
  <c r="AM47" i="7"/>
  <c r="AM72" i="7"/>
  <c r="AM91" i="7"/>
  <c r="AM93" i="7"/>
  <c r="AM94" i="7"/>
  <c r="AM129" i="7"/>
  <c r="AM167" i="7"/>
  <c r="AM196" i="7"/>
  <c r="AM204" i="7"/>
  <c r="AM206" i="7"/>
  <c r="AM208" i="7"/>
  <c r="AM278" i="7"/>
  <c r="AM282" i="7"/>
  <c r="AM296" i="7"/>
  <c r="AM298" i="7"/>
  <c r="AM34" i="7"/>
  <c r="AM97" i="7"/>
  <c r="AM120" i="7"/>
  <c r="AM140" i="7"/>
  <c r="AM157" i="7"/>
  <c r="AM160" i="7"/>
  <c r="AM187" i="7"/>
  <c r="AM251" i="7"/>
  <c r="AM260" i="7"/>
  <c r="AM261" i="7"/>
  <c r="AM285" i="7"/>
  <c r="AM289" i="7"/>
  <c r="AM310" i="7"/>
  <c r="AM312" i="7"/>
  <c r="AM19" i="7"/>
  <c r="AM149" i="7"/>
  <c r="AM209" i="7"/>
  <c r="AM212" i="7"/>
  <c r="AM214" i="7"/>
  <c r="AM216" i="7"/>
  <c r="AM257" i="7"/>
  <c r="AM275" i="7"/>
  <c r="AM304" i="7"/>
  <c r="AM24" i="7"/>
  <c r="AM26" i="7"/>
  <c r="AM90" i="7"/>
  <c r="AM134" i="7"/>
  <c r="AM178" i="7"/>
  <c r="AM232" i="7"/>
  <c r="AM249" i="7"/>
  <c r="AM280" i="7"/>
  <c r="AM293" i="7"/>
  <c r="AM17" i="7"/>
  <c r="AM22" i="7"/>
  <c r="AM32" i="7"/>
  <c r="AM222" i="7"/>
  <c r="AM224" i="7"/>
  <c r="AM88" i="7"/>
  <c r="AM158" i="7"/>
  <c r="AM217" i="7"/>
  <c r="AM220" i="7"/>
  <c r="AM59" i="7"/>
  <c r="AM60" i="7"/>
  <c r="AM61" i="7"/>
  <c r="AM62" i="7"/>
  <c r="AM63" i="7"/>
  <c r="AM314" i="7"/>
  <c r="AM28" i="7"/>
  <c r="AM240" i="7"/>
  <c r="AM248" i="7"/>
  <c r="BA219" i="5"/>
  <c r="AP175" i="5"/>
  <c r="AR175" i="5" s="1"/>
  <c r="AO175" i="5"/>
  <c r="AQ175" i="5" s="1"/>
  <c r="AO234" i="5"/>
  <c r="AQ234" i="5" s="1"/>
  <c r="AP234" i="5"/>
  <c r="AR234" i="5" s="1"/>
  <c r="AP131" i="5"/>
  <c r="AR131" i="5" s="1"/>
  <c r="AO131" i="5"/>
  <c r="AQ131" i="5" s="1"/>
  <c r="AO303" i="5"/>
  <c r="AQ303" i="5" s="1"/>
  <c r="AP303" i="5"/>
  <c r="AR303" i="5" s="1"/>
  <c r="AP28" i="5"/>
  <c r="AR28" i="5" s="1"/>
  <c r="AS28" i="5" s="1"/>
  <c r="AT28" i="5" s="1"/>
  <c r="AU28" i="5" s="1"/>
  <c r="AC28" i="5" s="1"/>
  <c r="AE28" i="5" s="1"/>
  <c r="AO28" i="5"/>
  <c r="AQ28" i="5" s="1"/>
  <c r="AO310" i="5"/>
  <c r="AQ310" i="5" s="1"/>
  <c r="AP310" i="5"/>
  <c r="AR310" i="5" s="1"/>
  <c r="AP165" i="5"/>
  <c r="AR165" i="5" s="1"/>
  <c r="AO165" i="5"/>
  <c r="AQ165" i="5" s="1"/>
  <c r="AP42" i="5"/>
  <c r="AR42" i="5" s="1"/>
  <c r="AO42" i="5"/>
  <c r="AQ42" i="5" s="1"/>
  <c r="AO121" i="5"/>
  <c r="AQ121" i="5" s="1"/>
  <c r="AP121" i="5"/>
  <c r="AR121" i="5" s="1"/>
  <c r="BA36" i="5"/>
  <c r="AX310" i="5"/>
  <c r="AY310" i="5" s="1"/>
  <c r="AZ310" i="5" s="1"/>
  <c r="BD310" i="5"/>
  <c r="BC310" i="5"/>
  <c r="BD303" i="5"/>
  <c r="AW303" i="5"/>
  <c r="BC303" i="5"/>
  <c r="AX303" i="5"/>
  <c r="AY303" i="5" s="1"/>
  <c r="AZ303" i="5" s="1"/>
  <c r="BD120" i="5"/>
  <c r="BC120" i="5"/>
  <c r="BD76" i="5"/>
  <c r="BC76" i="5"/>
  <c r="AX76" i="5"/>
  <c r="AY76" i="5" s="1"/>
  <c r="AZ76" i="5" s="1"/>
  <c r="BA76" i="5" s="1"/>
  <c r="BD73" i="5"/>
  <c r="AX73" i="5"/>
  <c r="AY73" i="5" s="1"/>
  <c r="AZ73" i="5" s="1"/>
  <c r="BA73" i="5" s="1"/>
  <c r="BD62" i="5"/>
  <c r="AX62" i="5"/>
  <c r="AY62" i="5" s="1"/>
  <c r="AZ62" i="5" s="1"/>
  <c r="BA295" i="5"/>
  <c r="BD189" i="5"/>
  <c r="AW189" i="5"/>
  <c r="BA189" i="5" s="1"/>
  <c r="BC189" i="5"/>
  <c r="BD185" i="5"/>
  <c r="AX185" i="5"/>
  <c r="AY185" i="5" s="1"/>
  <c r="AZ185" i="5" s="1"/>
  <c r="BC185" i="5"/>
  <c r="BD158" i="5"/>
  <c r="AX158" i="5"/>
  <c r="AY158" i="5" s="1"/>
  <c r="AZ158" i="5" s="1"/>
  <c r="BD90" i="5"/>
  <c r="AL86" i="5"/>
  <c r="AU86" i="5" s="1"/>
  <c r="AC86" i="5" s="1"/>
  <c r="BD86" i="5"/>
  <c r="AX86" i="5"/>
  <c r="BD82" i="5"/>
  <c r="AL82" i="5"/>
  <c r="BD31" i="5"/>
  <c r="AX31" i="5"/>
  <c r="AY31" i="5" s="1"/>
  <c r="AZ31" i="5" s="1"/>
  <c r="BA31" i="5" s="1"/>
  <c r="BD16" i="5"/>
  <c r="BC16" i="5"/>
  <c r="AU28" i="7"/>
  <c r="AU122" i="7"/>
  <c r="AU134" i="7"/>
  <c r="AU130" i="7"/>
  <c r="AU17" i="7"/>
  <c r="AU126" i="7"/>
  <c r="AU115" i="7"/>
  <c r="AU157" i="7"/>
  <c r="AU202" i="7"/>
  <c r="AU236" i="7"/>
  <c r="AU298" i="7"/>
  <c r="AU124" i="7"/>
  <c r="AU163" i="7"/>
  <c r="AU180" i="7"/>
  <c r="AU218" i="7"/>
  <c r="AU242" i="7"/>
  <c r="AU265" i="7"/>
  <c r="AU306" i="7"/>
  <c r="AU69" i="7"/>
  <c r="AU125" i="7"/>
  <c r="AU190" i="7"/>
  <c r="AU312" i="7"/>
  <c r="AU256" i="7"/>
  <c r="AU177" i="7"/>
  <c r="AU279" i="7"/>
  <c r="AU105" i="7"/>
  <c r="AU149" i="7"/>
  <c r="AU237" i="7"/>
  <c r="AU309" i="7"/>
  <c r="AU171" i="7"/>
  <c r="AU235" i="7"/>
  <c r="AU16" i="7"/>
  <c r="AU20" i="7"/>
  <c r="AU34" i="7"/>
  <c r="AU54" i="7"/>
  <c r="AU81" i="7"/>
  <c r="AU153" i="7"/>
  <c r="AU206" i="7"/>
  <c r="AU281" i="7"/>
  <c r="AU104" i="7"/>
  <c r="AU165" i="7"/>
  <c r="AU193" i="7"/>
  <c r="AU233" i="7"/>
  <c r="AU276" i="7"/>
  <c r="AU61" i="7"/>
  <c r="AU100" i="7"/>
  <c r="AU211" i="7"/>
  <c r="AU120" i="7"/>
  <c r="AU151" i="7"/>
  <c r="AU311" i="7"/>
  <c r="AU140" i="7"/>
  <c r="AU207" i="7"/>
  <c r="AU68" i="7"/>
  <c r="AU203" i="7"/>
  <c r="AU290" i="7"/>
  <c r="AU26" i="7"/>
  <c r="AU41" i="7"/>
  <c r="AU38" i="7"/>
  <c r="AU101" i="7"/>
  <c r="AU172" i="7"/>
  <c r="AU219" i="7"/>
  <c r="AU283" i="7"/>
  <c r="AU129" i="7"/>
  <c r="AU167" i="7"/>
  <c r="AU210" i="7"/>
  <c r="AU255" i="7"/>
  <c r="AU291" i="7"/>
  <c r="AU64" i="7"/>
  <c r="AU131" i="7"/>
  <c r="AU248" i="7"/>
  <c r="AU123" i="7"/>
  <c r="AU209" i="7"/>
  <c r="AU22" i="7"/>
  <c r="AU143" i="7"/>
  <c r="AU260" i="7"/>
  <c r="AU156" i="7"/>
  <c r="AU226" i="7"/>
  <c r="AU174" i="7"/>
  <c r="AU315" i="7"/>
  <c r="AU178" i="7"/>
  <c r="AU257" i="7"/>
  <c r="AU75" i="7"/>
  <c r="AU275" i="7"/>
  <c r="AU215" i="7"/>
  <c r="AU173" i="7"/>
  <c r="AU162" i="7"/>
  <c r="BA26" i="5"/>
  <c r="BA283" i="5"/>
  <c r="AO182" i="5"/>
  <c r="AQ182" i="5" s="1"/>
  <c r="AP182" i="5"/>
  <c r="AR182" i="5" s="1"/>
  <c r="AO51" i="5"/>
  <c r="AQ51" i="5" s="1"/>
  <c r="AP51" i="5"/>
  <c r="AR51" i="5" s="1"/>
  <c r="AP309" i="5"/>
  <c r="AR309" i="5" s="1"/>
  <c r="AO309" i="5"/>
  <c r="AQ309" i="5" s="1"/>
  <c r="A306" i="6"/>
  <c r="Q306" i="6" s="1"/>
  <c r="M309" i="7"/>
  <c r="A259" i="6"/>
  <c r="M262" i="7"/>
  <c r="A253" i="6"/>
  <c r="A256" i="7" s="1"/>
  <c r="M256" i="7"/>
  <c r="A242" i="6"/>
  <c r="A245" i="7" s="1"/>
  <c r="M245" i="7"/>
  <c r="A177" i="6"/>
  <c r="Q177" i="6" s="1"/>
  <c r="M180" i="7"/>
  <c r="AP79" i="5"/>
  <c r="AR79" i="5" s="1"/>
  <c r="AO79" i="5"/>
  <c r="AQ79" i="5" s="1"/>
  <c r="AP180" i="5"/>
  <c r="AR180" i="5" s="1"/>
  <c r="AO180" i="5"/>
  <c r="AQ180" i="5" s="1"/>
  <c r="AQ70" i="5"/>
  <c r="BA129" i="5"/>
  <c r="BA102" i="5"/>
  <c r="AQ124" i="5"/>
  <c r="AS124" i="5" s="1"/>
  <c r="AT124" i="5" s="1"/>
  <c r="AU124" i="5" s="1"/>
  <c r="AC124" i="5" s="1"/>
  <c r="AG124" i="5" s="1"/>
  <c r="AI124" i="5" s="1"/>
  <c r="AJ124" i="5" s="1"/>
  <c r="BC35" i="5"/>
  <c r="AO69" i="5"/>
  <c r="AQ69" i="5" s="1"/>
  <c r="BC69" i="5"/>
  <c r="BC73" i="5"/>
  <c r="AO93" i="5"/>
  <c r="AL98" i="5"/>
  <c r="AO99" i="5"/>
  <c r="AQ99" i="5" s="1"/>
  <c r="AO63" i="5"/>
  <c r="AQ63" i="5" s="1"/>
  <c r="BE63" i="5" s="1"/>
  <c r="BF63" i="5" s="1"/>
  <c r="AW98" i="5"/>
  <c r="AO178" i="5"/>
  <c r="AQ178" i="5" s="1"/>
  <c r="AS178" i="5" s="1"/>
  <c r="AT178" i="5" s="1"/>
  <c r="AO156" i="5"/>
  <c r="AQ156" i="5" s="1"/>
  <c r="AO194" i="5"/>
  <c r="AQ194" i="5" s="1"/>
  <c r="AO149" i="5"/>
  <c r="AQ149" i="5" s="1"/>
  <c r="AO157" i="5"/>
  <c r="AQ157" i="5" s="1"/>
  <c r="AO114" i="5"/>
  <c r="AQ114" i="5" s="1"/>
  <c r="AS114" i="5" s="1"/>
  <c r="AT114" i="5" s="1"/>
  <c r="BD289" i="5"/>
  <c r="BE289" i="5" s="1"/>
  <c r="BF289" i="5" s="1"/>
  <c r="BC289" i="5"/>
  <c r="M312" i="7"/>
  <c r="A309" i="6"/>
  <c r="A267" i="6"/>
  <c r="G267" i="6" s="1"/>
  <c r="I270" i="7" s="1"/>
  <c r="M270" i="7"/>
  <c r="A261" i="7"/>
  <c r="G258" i="6"/>
  <c r="I261" i="7" s="1"/>
  <c r="AK261" i="7" s="1"/>
  <c r="A195" i="6"/>
  <c r="A198" i="7" s="1"/>
  <c r="M198" i="7"/>
  <c r="A176" i="6"/>
  <c r="M179" i="7"/>
  <c r="BA251" i="5"/>
  <c r="BA183" i="5"/>
  <c r="AQ128" i="5"/>
  <c r="AQ176" i="5"/>
  <c r="AQ268" i="5"/>
  <c r="AP127" i="5"/>
  <c r="AR127" i="5" s="1"/>
  <c r="AO127" i="5"/>
  <c r="AQ127" i="5" s="1"/>
  <c r="AQ88" i="5"/>
  <c r="AL73" i="5"/>
  <c r="BC31" i="5"/>
  <c r="AW62" i="5"/>
  <c r="AW66" i="5"/>
  <c r="AO76" i="5"/>
  <c r="AQ76" i="5" s="1"/>
  <c r="AL78" i="5"/>
  <c r="AW90" i="5"/>
  <c r="AW94" i="5"/>
  <c r="BA94" i="5" s="1"/>
  <c r="AW69" i="5"/>
  <c r="BA69" i="5" s="1"/>
  <c r="BC304" i="5"/>
  <c r="BD304" i="5"/>
  <c r="BC240" i="5"/>
  <c r="BD240" i="5"/>
  <c r="AX217" i="5"/>
  <c r="AY217" i="5" s="1"/>
  <c r="AZ217" i="5" s="1"/>
  <c r="AW217" i="5"/>
  <c r="BD213" i="5"/>
  <c r="AW213" i="5"/>
  <c r="BA213" i="5" s="1"/>
  <c r="BD209" i="5"/>
  <c r="AW209" i="5"/>
  <c r="BA209" i="5" s="1"/>
  <c r="M34" i="7"/>
  <c r="A31" i="6"/>
  <c r="E31" i="6" s="1"/>
  <c r="G34" i="7" s="1"/>
  <c r="AL66" i="5"/>
  <c r="AW228" i="5"/>
  <c r="AL165" i="5"/>
  <c r="BC236" i="5"/>
  <c r="AO306" i="5"/>
  <c r="AQ306" i="5" s="1"/>
  <c r="AO298" i="5"/>
  <c r="AQ298" i="5" s="1"/>
  <c r="AO290" i="5"/>
  <c r="AQ290" i="5" s="1"/>
  <c r="AO113" i="5"/>
  <c r="AQ113" i="5" s="1"/>
  <c r="BD175" i="5"/>
  <c r="J1" i="11"/>
  <c r="L1" i="10"/>
  <c r="I222" i="6"/>
  <c r="K225" i="7" s="1"/>
  <c r="A225" i="7"/>
  <c r="I124" i="6"/>
  <c r="K127" i="7" s="1"/>
  <c r="G124" i="6"/>
  <c r="I127" i="7" s="1"/>
  <c r="A94" i="7"/>
  <c r="G91" i="6"/>
  <c r="I94" i="7" s="1"/>
  <c r="T52" i="6"/>
  <c r="G52" i="6"/>
  <c r="I55" i="7" s="1"/>
  <c r="G43" i="6"/>
  <c r="I46" i="7" s="1"/>
  <c r="I43" i="6"/>
  <c r="K46" i="7" s="1"/>
  <c r="A46" i="7"/>
  <c r="T43" i="6"/>
  <c r="AQ77" i="5"/>
  <c r="AO22" i="5"/>
  <c r="AO150" i="5"/>
  <c r="AQ150" i="5" s="1"/>
  <c r="AO252" i="5"/>
  <c r="AQ252" i="5" s="1"/>
  <c r="AS252" i="5" s="1"/>
  <c r="AT252" i="5" s="1"/>
  <c r="AL69" i="5"/>
  <c r="AL31" i="5"/>
  <c r="AL35" i="5"/>
  <c r="BC62" i="5"/>
  <c r="AW82" i="5"/>
  <c r="BA82" i="5" s="1"/>
  <c r="AW86" i="5"/>
  <c r="AL94" i="5"/>
  <c r="BC98" i="5"/>
  <c r="AO84" i="5"/>
  <c r="AQ84" i="5" s="1"/>
  <c r="AL158" i="5"/>
  <c r="AL236" i="5"/>
  <c r="AW206" i="5"/>
  <c r="BA206" i="5" s="1"/>
  <c r="AW246" i="5"/>
  <c r="AL240" i="5"/>
  <c r="AL229" i="5"/>
  <c r="BC100" i="5"/>
  <c r="AW109" i="5"/>
  <c r="BA109" i="5" s="1"/>
  <c r="AO107" i="5"/>
  <c r="AQ107" i="5" s="1"/>
  <c r="BC82" i="5"/>
  <c r="AW110" i="5"/>
  <c r="BA110" i="5" s="1"/>
  <c r="AL41" i="5"/>
  <c r="AW71" i="5"/>
  <c r="AW91" i="5"/>
  <c r="BA91" i="5" s="1"/>
  <c r="BC101" i="5"/>
  <c r="AL108" i="5"/>
  <c r="AL47" i="5"/>
  <c r="AL117" i="5"/>
  <c r="AW128" i="5"/>
  <c r="AW159" i="5"/>
  <c r="AO148" i="5"/>
  <c r="AQ148" i="5" s="1"/>
  <c r="AO186" i="5"/>
  <c r="AQ186" i="5" s="1"/>
  <c r="AS186" i="5" s="1"/>
  <c r="AT186" i="5" s="1"/>
  <c r="AL218" i="5"/>
  <c r="AL179" i="5"/>
  <c r="AL212" i="5"/>
  <c r="AO218" i="5"/>
  <c r="BC261" i="5"/>
  <c r="AW311" i="5"/>
  <c r="AL192" i="5"/>
  <c r="AL222" i="5"/>
  <c r="AL122" i="5"/>
  <c r="AW219" i="5"/>
  <c r="AL225" i="5"/>
  <c r="BC233" i="5"/>
  <c r="AW285" i="5"/>
  <c r="BA285" i="5" s="1"/>
  <c r="AW289" i="5"/>
  <c r="AW279" i="5"/>
  <c r="AL185" i="5"/>
  <c r="BC184" i="5"/>
  <c r="AL303" i="5"/>
  <c r="AW292" i="5"/>
  <c r="AW204" i="5"/>
  <c r="BC292" i="5"/>
  <c r="AL232" i="5"/>
  <c r="AL139" i="5"/>
  <c r="BC302" i="5"/>
  <c r="BC155" i="5"/>
  <c r="BC47" i="5"/>
  <c r="M237" i="7"/>
  <c r="A234" i="6"/>
  <c r="G234" i="6" s="1"/>
  <c r="I237" i="7" s="1"/>
  <c r="AK237" i="7" s="1"/>
  <c r="A90" i="6"/>
  <c r="G90" i="6" s="1"/>
  <c r="I93" i="7" s="1"/>
  <c r="M93" i="7"/>
  <c r="AW25" i="5"/>
  <c r="BC103" i="5"/>
  <c r="AL109" i="5"/>
  <c r="AU109" i="5" s="1"/>
  <c r="AC109" i="5" s="1"/>
  <c r="AD109" i="5" s="1"/>
  <c r="AL106" i="5"/>
  <c r="AL84" i="5"/>
  <c r="AL68" i="5"/>
  <c r="AL43" i="5"/>
  <c r="AO29" i="5"/>
  <c r="AQ29" i="5" s="1"/>
  <c r="AS29" i="5" s="1"/>
  <c r="AT29" i="5" s="1"/>
  <c r="AO27" i="5"/>
  <c r="AQ27" i="5" s="1"/>
  <c r="AS27" i="5" s="1"/>
  <c r="AT27" i="5" s="1"/>
  <c r="AW22" i="5"/>
  <c r="BA22" i="5" s="1"/>
  <c r="AW111" i="5"/>
  <c r="BA111" i="5" s="1"/>
  <c r="BC113" i="5"/>
  <c r="AW115" i="5"/>
  <c r="AW240" i="5"/>
  <c r="BA240" i="5" s="1"/>
  <c r="BC247" i="5"/>
  <c r="BC142" i="5"/>
  <c r="AL159" i="5"/>
  <c r="BC145" i="5"/>
  <c r="AL140" i="5"/>
  <c r="AL162" i="5"/>
  <c r="BC170" i="5"/>
  <c r="BC140" i="5"/>
  <c r="BC174" i="5"/>
  <c r="AL251" i="5"/>
  <c r="BC201" i="5"/>
  <c r="BC219" i="5"/>
  <c r="AW301" i="5"/>
  <c r="BA301" i="5" s="1"/>
  <c r="AW252" i="5"/>
  <c r="BA252" i="5" s="1"/>
  <c r="AW268" i="5"/>
  <c r="BC148" i="5"/>
  <c r="BC119" i="5"/>
  <c r="AW160" i="5"/>
  <c r="AW276" i="5"/>
  <c r="AL295" i="5"/>
  <c r="AW153" i="5"/>
  <c r="AW290" i="5"/>
  <c r="BA290" i="5" s="1"/>
  <c r="AW253" i="5"/>
  <c r="BA253" i="5" s="1"/>
  <c r="BC136" i="5"/>
  <c r="BG136" i="5" s="1"/>
  <c r="BC198" i="5"/>
  <c r="AL207" i="5"/>
  <c r="AL237" i="5"/>
  <c r="BC272" i="5"/>
  <c r="BC273" i="5"/>
  <c r="BC285" i="5"/>
  <c r="BC297" i="5"/>
  <c r="AL113" i="5"/>
  <c r="AL247" i="5"/>
  <c r="AL166" i="5"/>
  <c r="AL173" i="5"/>
  <c r="AW184" i="5"/>
  <c r="AL256" i="5"/>
  <c r="AL290" i="5"/>
  <c r="BC58" i="5"/>
  <c r="I218" i="6"/>
  <c r="K221" i="7" s="1"/>
  <c r="A221" i="7"/>
  <c r="D218" i="6"/>
  <c r="F221" i="7" s="1"/>
  <c r="I110" i="6"/>
  <c r="K113" i="7" s="1"/>
  <c r="Q110" i="6"/>
  <c r="A285" i="6"/>
  <c r="T285" i="6" s="1"/>
  <c r="AS111" i="5"/>
  <c r="AT111" i="5" s="1"/>
  <c r="AU111" i="5" s="1"/>
  <c r="AC111" i="5" s="1"/>
  <c r="AD111" i="5" s="1"/>
  <c r="BE252" i="5"/>
  <c r="BF252" i="5" s="1"/>
  <c r="BG252" i="5" s="1"/>
  <c r="BE28" i="5"/>
  <c r="BF28" i="5" s="1"/>
  <c r="BG28" i="5" s="1"/>
  <c r="AS215" i="5"/>
  <c r="AT215" i="5" s="1"/>
  <c r="AU215" i="5" s="1"/>
  <c r="AC215" i="5" s="1"/>
  <c r="AG215" i="5" s="1"/>
  <c r="AI215" i="5" s="1"/>
  <c r="AJ215" i="5" s="1"/>
  <c r="A29" i="6"/>
  <c r="G29" i="6" s="1"/>
  <c r="I32" i="7" s="1"/>
  <c r="M32" i="7"/>
  <c r="I25" i="6"/>
  <c r="K28" i="7" s="1"/>
  <c r="F25" i="6"/>
  <c r="H28" i="7" s="1"/>
  <c r="H25" i="6"/>
  <c r="J28" i="7" s="1"/>
  <c r="Z25" i="6"/>
  <c r="AE28" i="7" s="1"/>
  <c r="AG28" i="7" s="1"/>
  <c r="I300" i="6"/>
  <c r="K303" i="7" s="1"/>
  <c r="Z300" i="6"/>
  <c r="AE303" i="7" s="1"/>
  <c r="F300" i="6"/>
  <c r="H303" i="7" s="1"/>
  <c r="H300" i="6"/>
  <c r="J303" i="7" s="1"/>
  <c r="E300" i="6"/>
  <c r="G303" i="7" s="1"/>
  <c r="D300" i="6"/>
  <c r="F303" i="7" s="1"/>
  <c r="AG300" i="6"/>
  <c r="M155" i="7"/>
  <c r="A152" i="6"/>
  <c r="A149" i="6"/>
  <c r="I149" i="6" s="1"/>
  <c r="K152" i="7" s="1"/>
  <c r="M152" i="7"/>
  <c r="A146" i="6"/>
  <c r="M149" i="7"/>
  <c r="Z140" i="6"/>
  <c r="AE143" i="7" s="1"/>
  <c r="H140" i="6"/>
  <c r="J143" i="7" s="1"/>
  <c r="D140" i="6"/>
  <c r="F143" i="7" s="1"/>
  <c r="F140" i="6"/>
  <c r="H143" i="7" s="1"/>
  <c r="AG140" i="6"/>
  <c r="A136" i="6"/>
  <c r="Q136" i="6" s="1"/>
  <c r="M139" i="7"/>
  <c r="A121" i="6"/>
  <c r="T121" i="6" s="1"/>
  <c r="M124" i="7"/>
  <c r="A105" i="6"/>
  <c r="T105" i="6" s="1"/>
  <c r="M108" i="7"/>
  <c r="AP97" i="5"/>
  <c r="AR97" i="5" s="1"/>
  <c r="AO97" i="5"/>
  <c r="AQ97" i="5" s="1"/>
  <c r="AO168" i="5"/>
  <c r="AQ168" i="5" s="1"/>
  <c r="AP168" i="5"/>
  <c r="AR168" i="5" s="1"/>
  <c r="AO207" i="5"/>
  <c r="AQ207" i="5" s="1"/>
  <c r="AP207" i="5"/>
  <c r="AR207" i="5" s="1"/>
  <c r="AO273" i="5"/>
  <c r="AQ273" i="5" s="1"/>
  <c r="AP273" i="5"/>
  <c r="AR273" i="5" s="1"/>
  <c r="AP302" i="5"/>
  <c r="AR302" i="5" s="1"/>
  <c r="AO302" i="5"/>
  <c r="AQ302" i="5" s="1"/>
  <c r="AP56" i="5"/>
  <c r="AR56" i="5" s="1"/>
  <c r="AO56" i="5"/>
  <c r="AQ56" i="5" s="1"/>
  <c r="AS56" i="5" s="1"/>
  <c r="AT56" i="5" s="1"/>
  <c r="AO32" i="5"/>
  <c r="AQ32" i="5" s="1"/>
  <c r="AP32" i="5"/>
  <c r="AR32" i="5" s="1"/>
  <c r="AO275" i="5"/>
  <c r="AQ275" i="5" s="1"/>
  <c r="AP275" i="5"/>
  <c r="AR275" i="5" s="1"/>
  <c r="AO191" i="5"/>
  <c r="AQ191" i="5" s="1"/>
  <c r="AP191" i="5"/>
  <c r="AR191" i="5" s="1"/>
  <c r="AP72" i="5"/>
  <c r="AR72" i="5" s="1"/>
  <c r="AO72" i="5"/>
  <c r="AQ72" i="5" s="1"/>
  <c r="E101" i="6"/>
  <c r="G104" i="7" s="1"/>
  <c r="A104" i="7"/>
  <c r="A71" i="6"/>
  <c r="G71" i="6" s="1"/>
  <c r="I74" i="7" s="1"/>
  <c r="M74" i="7"/>
  <c r="A48" i="6"/>
  <c r="A51" i="7" s="1"/>
  <c r="M51" i="7"/>
  <c r="BA139" i="5"/>
  <c r="AO296" i="5"/>
  <c r="AQ296" i="5" s="1"/>
  <c r="AP296" i="5"/>
  <c r="AR296" i="5" s="1"/>
  <c r="M171" i="7"/>
  <c r="A168" i="6"/>
  <c r="Q168" i="6" s="1"/>
  <c r="A34" i="6"/>
  <c r="I34" i="6" s="1"/>
  <c r="K37" i="7" s="1"/>
  <c r="M37" i="7"/>
  <c r="AO262" i="5"/>
  <c r="AQ262" i="5" s="1"/>
  <c r="AP262" i="5"/>
  <c r="AR262" i="5" s="1"/>
  <c r="AO255" i="5"/>
  <c r="AQ255" i="5" s="1"/>
  <c r="AP255" i="5"/>
  <c r="AR255" i="5" s="1"/>
  <c r="AP139" i="5"/>
  <c r="AR139" i="5" s="1"/>
  <c r="AO139" i="5"/>
  <c r="AQ139" i="5" s="1"/>
  <c r="AP199" i="5"/>
  <c r="AR199" i="5" s="1"/>
  <c r="AO199" i="5"/>
  <c r="AQ199" i="5" s="1"/>
  <c r="AO112" i="5"/>
  <c r="AQ112" i="5" s="1"/>
  <c r="AP112" i="5"/>
  <c r="AR112" i="5" s="1"/>
  <c r="BA66" i="5"/>
  <c r="BA98" i="5"/>
  <c r="A284" i="6"/>
  <c r="A287" i="7" s="1"/>
  <c r="M287" i="7"/>
  <c r="Y75" i="2"/>
  <c r="T75" i="2" s="1"/>
  <c r="Z75" i="2"/>
  <c r="U75" i="2" s="1"/>
  <c r="W75" i="2"/>
  <c r="R75" i="2" s="1"/>
  <c r="AO179" i="5"/>
  <c r="AQ179" i="5" s="1"/>
  <c r="AP179" i="5"/>
  <c r="AR179" i="5" s="1"/>
  <c r="AP183" i="5"/>
  <c r="AR183" i="5" s="1"/>
  <c r="AO183" i="5"/>
  <c r="AQ183" i="5" s="1"/>
  <c r="AP181" i="5"/>
  <c r="AR181" i="5" s="1"/>
  <c r="AO181" i="5"/>
  <c r="AQ181" i="5" s="1"/>
  <c r="AO108" i="5"/>
  <c r="AQ108" i="5" s="1"/>
  <c r="AP108" i="5"/>
  <c r="AR108" i="5" s="1"/>
  <c r="AO74" i="5"/>
  <c r="AQ74" i="5" s="1"/>
  <c r="AP74" i="5"/>
  <c r="AR74" i="5" s="1"/>
  <c r="AP43" i="5"/>
  <c r="AR43" i="5" s="1"/>
  <c r="AO43" i="5"/>
  <c r="AQ43" i="5" s="1"/>
  <c r="AP125" i="5"/>
  <c r="AR125" i="5" s="1"/>
  <c r="AO125" i="5"/>
  <c r="AQ125" i="5" s="1"/>
  <c r="AQ93" i="5"/>
  <c r="AO53" i="5"/>
  <c r="AQ53" i="5" s="1"/>
  <c r="BA56" i="5"/>
  <c r="BA50" i="5"/>
  <c r="G311" i="6"/>
  <c r="I314" i="7" s="1"/>
  <c r="AK314" i="7" s="1"/>
  <c r="AG311" i="6"/>
  <c r="F311" i="6"/>
  <c r="H314" i="7" s="1"/>
  <c r="D311" i="6"/>
  <c r="F314" i="7" s="1"/>
  <c r="H311" i="6"/>
  <c r="J314" i="7" s="1"/>
  <c r="I311" i="6"/>
  <c r="K314" i="7" s="1"/>
  <c r="Z311" i="6"/>
  <c r="AE314" i="7" s="1"/>
  <c r="M306" i="7"/>
  <c r="A303" i="6"/>
  <c r="A306" i="7" s="1"/>
  <c r="T282" i="6"/>
  <c r="G282" i="6"/>
  <c r="I285" i="7" s="1"/>
  <c r="I282" i="6"/>
  <c r="K285" i="7" s="1"/>
  <c r="Z282" i="6"/>
  <c r="AE285" i="7" s="1"/>
  <c r="D282" i="6"/>
  <c r="F285" i="7" s="1"/>
  <c r="A274" i="6"/>
  <c r="A277" i="7" s="1"/>
  <c r="M277" i="7"/>
  <c r="H111" i="6"/>
  <c r="J114" i="7" s="1"/>
  <c r="A114" i="7"/>
  <c r="A65" i="6"/>
  <c r="I65" i="6" s="1"/>
  <c r="K68" i="7" s="1"/>
  <c r="M68" i="7"/>
  <c r="BA225" i="5"/>
  <c r="BA192" i="5"/>
  <c r="X75" i="2"/>
  <c r="S75" i="2" s="1"/>
  <c r="BA260" i="5"/>
  <c r="AP58" i="5"/>
  <c r="AR58" i="5" s="1"/>
  <c r="AO58" i="5"/>
  <c r="AQ58" i="5" s="1"/>
  <c r="AP137" i="5"/>
  <c r="AR137" i="5" s="1"/>
  <c r="AO137" i="5"/>
  <c r="AQ137" i="5" s="1"/>
  <c r="AP160" i="5"/>
  <c r="AR160" i="5" s="1"/>
  <c r="AO160" i="5"/>
  <c r="AQ160" i="5" s="1"/>
  <c r="AP295" i="5"/>
  <c r="AR295" i="5" s="1"/>
  <c r="AO295" i="5"/>
  <c r="AQ295" i="5" s="1"/>
  <c r="AP35" i="5"/>
  <c r="AR35" i="5" s="1"/>
  <c r="AO35" i="5"/>
  <c r="AQ35" i="5" s="1"/>
  <c r="AO269" i="5"/>
  <c r="AQ269" i="5" s="1"/>
  <c r="AP269" i="5"/>
  <c r="AR269" i="5" s="1"/>
  <c r="AP270" i="5"/>
  <c r="AR270" i="5" s="1"/>
  <c r="AO270" i="5"/>
  <c r="AQ270" i="5" s="1"/>
  <c r="AO201" i="5"/>
  <c r="AQ201" i="5" s="1"/>
  <c r="AP201" i="5"/>
  <c r="AR201" i="5" s="1"/>
  <c r="AP31" i="5"/>
  <c r="AR31" i="5" s="1"/>
  <c r="AO31" i="5"/>
  <c r="AQ31" i="5" s="1"/>
  <c r="BC308" i="5"/>
  <c r="BD308" i="5"/>
  <c r="AL308" i="5"/>
  <c r="AX308" i="5"/>
  <c r="AY308" i="5" s="1"/>
  <c r="AZ308" i="5" s="1"/>
  <c r="AW308" i="5"/>
  <c r="BA308" i="5" s="1"/>
  <c r="BD305" i="5"/>
  <c r="AW305" i="5"/>
  <c r="BA305" i="5" s="1"/>
  <c r="AL305" i="5"/>
  <c r="BD302" i="5"/>
  <c r="BD299" i="5"/>
  <c r="AL299" i="5"/>
  <c r="BD284" i="5"/>
  <c r="BC284" i="5"/>
  <c r="AX274" i="5"/>
  <c r="AY274" i="5" s="1"/>
  <c r="AZ274" i="5" s="1"/>
  <c r="AW274" i="5"/>
  <c r="AW270" i="5"/>
  <c r="AX270" i="5"/>
  <c r="AY270" i="5" s="1"/>
  <c r="AZ270" i="5" s="1"/>
  <c r="BA270" i="5" s="1"/>
  <c r="BD270" i="5"/>
  <c r="AL270" i="5"/>
  <c r="AL266" i="5"/>
  <c r="BD266" i="5"/>
  <c r="BD262" i="5"/>
  <c r="AW262" i="5"/>
  <c r="BD258" i="5"/>
  <c r="AX258" i="5"/>
  <c r="AY258" i="5" s="1"/>
  <c r="AZ258" i="5" s="1"/>
  <c r="AL258" i="5"/>
  <c r="BD254" i="5"/>
  <c r="BC254" i="5"/>
  <c r="AW250" i="5"/>
  <c r="BD250" i="5"/>
  <c r="AX250" i="5"/>
  <c r="BC250" i="5"/>
  <c r="BD224" i="5"/>
  <c r="AX224" i="5"/>
  <c r="AL224" i="5"/>
  <c r="AU224" i="5" s="1"/>
  <c r="AC224" i="5" s="1"/>
  <c r="AG224" i="5" s="1"/>
  <c r="AI224" i="5" s="1"/>
  <c r="AJ224" i="5" s="1"/>
  <c r="BD221" i="5"/>
  <c r="AW221" i="5"/>
  <c r="BA221" i="5" s="1"/>
  <c r="AL221" i="5"/>
  <c r="BC221" i="5"/>
  <c r="BD210" i="5"/>
  <c r="AL210" i="5"/>
  <c r="BD203" i="5"/>
  <c r="BC203" i="5"/>
  <c r="AW203" i="5"/>
  <c r="BD200" i="5"/>
  <c r="BC200" i="5"/>
  <c r="AW200" i="5"/>
  <c r="BA200" i="5" s="1"/>
  <c r="BC196" i="5"/>
  <c r="BD196" i="5"/>
  <c r="AL196" i="5"/>
  <c r="BC182" i="5"/>
  <c r="BD182" i="5"/>
  <c r="AL182" i="5"/>
  <c r="AW182" i="5"/>
  <c r="AL178" i="5"/>
  <c r="AU178" i="5" s="1"/>
  <c r="AC178" i="5" s="1"/>
  <c r="BD178" i="5"/>
  <c r="BE178" i="5" s="1"/>
  <c r="BF178" i="5" s="1"/>
  <c r="BD149" i="5"/>
  <c r="AW149" i="5"/>
  <c r="AX149" i="5"/>
  <c r="AY149" i="5" s="1"/>
  <c r="AZ149" i="5" s="1"/>
  <c r="AX142" i="5"/>
  <c r="AY142" i="5" s="1"/>
  <c r="AZ142" i="5" s="1"/>
  <c r="BA142" i="5" s="1"/>
  <c r="BD142" i="5"/>
  <c r="BD134" i="5"/>
  <c r="AW134" i="5"/>
  <c r="BA134" i="5" s="1"/>
  <c r="AL134" i="5"/>
  <c r="BD130" i="5"/>
  <c r="BC130" i="5"/>
  <c r="AL130" i="5"/>
  <c r="BC118" i="5"/>
  <c r="BD118" i="5"/>
  <c r="AL118" i="5"/>
  <c r="BD112" i="5"/>
  <c r="BC112" i="5"/>
  <c r="AX112" i="5"/>
  <c r="AY112" i="5" s="1"/>
  <c r="AZ112" i="5" s="1"/>
  <c r="AW112" i="5"/>
  <c r="BD105" i="5"/>
  <c r="BC105" i="5"/>
  <c r="BD49" i="5"/>
  <c r="AL49" i="5"/>
  <c r="BD24" i="5"/>
  <c r="BC24" i="5"/>
  <c r="AL24" i="5"/>
  <c r="N298" i="5"/>
  <c r="O298" i="5" s="1"/>
  <c r="Q298" i="5" s="1"/>
  <c r="C10" i="7"/>
  <c r="AV19" i="7" s="1"/>
  <c r="A28" i="6"/>
  <c r="Q28" i="6" s="1"/>
  <c r="M31" i="7"/>
  <c r="M243" i="7"/>
  <c r="A240" i="6"/>
  <c r="Q240" i="6" s="1"/>
  <c r="G236" i="6"/>
  <c r="I239" i="7" s="1"/>
  <c r="AK239" i="7" s="1"/>
  <c r="H236" i="6"/>
  <c r="J239" i="7" s="1"/>
  <c r="T231" i="6"/>
  <c r="I231" i="6"/>
  <c r="K234" i="7" s="1"/>
  <c r="G231" i="6"/>
  <c r="I234" i="7" s="1"/>
  <c r="Z231" i="6"/>
  <c r="AE234" i="7" s="1"/>
  <c r="A225" i="6"/>
  <c r="I225" i="6" s="1"/>
  <c r="K228" i="7" s="1"/>
  <c r="M228" i="7"/>
  <c r="I220" i="6"/>
  <c r="K223" i="7" s="1"/>
  <c r="A223" i="7"/>
  <c r="Z220" i="6"/>
  <c r="AE223" i="7" s="1"/>
  <c r="AG220" i="6"/>
  <c r="A215" i="6"/>
  <c r="Q215" i="6" s="1"/>
  <c r="M218" i="7"/>
  <c r="A203" i="6"/>
  <c r="M206" i="7"/>
  <c r="A201" i="6"/>
  <c r="G201" i="6" s="1"/>
  <c r="I204" i="7" s="1"/>
  <c r="M204" i="7"/>
  <c r="A198" i="6"/>
  <c r="M201" i="7"/>
  <c r="A189" i="6"/>
  <c r="A192" i="7" s="1"/>
  <c r="M192" i="7"/>
  <c r="H173" i="6"/>
  <c r="J176" i="7" s="1"/>
  <c r="F173" i="6"/>
  <c r="H176" i="7" s="1"/>
  <c r="A171" i="6"/>
  <c r="T171" i="6" s="1"/>
  <c r="M174" i="7"/>
  <c r="AO144" i="5"/>
  <c r="AQ144" i="5" s="1"/>
  <c r="AP144" i="5"/>
  <c r="AR144" i="5" s="1"/>
  <c r="BA107" i="5"/>
  <c r="BA175" i="5"/>
  <c r="BD307" i="5"/>
  <c r="AW307" i="5"/>
  <c r="BA307" i="5" s="1"/>
  <c r="AL307" i="5"/>
  <c r="AU307" i="5" s="1"/>
  <c r="AC307" i="5" s="1"/>
  <c r="AW296" i="5"/>
  <c r="AX296" i="5"/>
  <c r="AY296" i="5" s="1"/>
  <c r="AZ296" i="5" s="1"/>
  <c r="BC296" i="5"/>
  <c r="BD286" i="5"/>
  <c r="AL286" i="5"/>
  <c r="BD265" i="5"/>
  <c r="AL265" i="5"/>
  <c r="AW265" i="5"/>
  <c r="BA265" i="5" s="1"/>
  <c r="BC265" i="5"/>
  <c r="BD239" i="5"/>
  <c r="BC239" i="5"/>
  <c r="AW239" i="5"/>
  <c r="AL239" i="5"/>
  <c r="BD231" i="5"/>
  <c r="AL231" i="5"/>
  <c r="BC231" i="5"/>
  <c r="BD227" i="5"/>
  <c r="BE227" i="5" s="1"/>
  <c r="BF227" i="5" s="1"/>
  <c r="BC227" i="5"/>
  <c r="AW227" i="5"/>
  <c r="BA227" i="5" s="1"/>
  <c r="BD205" i="5"/>
  <c r="BE205" i="5" s="1"/>
  <c r="BF205" i="5" s="1"/>
  <c r="AL205" i="5"/>
  <c r="AU205" i="5" s="1"/>
  <c r="AC205" i="5" s="1"/>
  <c r="BC205" i="5"/>
  <c r="BD181" i="5"/>
  <c r="AL181" i="5"/>
  <c r="AW181" i="5"/>
  <c r="BA181" i="5" s="1"/>
  <c r="BD177" i="5"/>
  <c r="AL177" i="5"/>
  <c r="AW177" i="5"/>
  <c r="BA177" i="5" s="1"/>
  <c r="BC177" i="5"/>
  <c r="BD162" i="5"/>
  <c r="AW162" i="5"/>
  <c r="AX162" i="5"/>
  <c r="AY162" i="5" s="1"/>
  <c r="AZ162" i="5" s="1"/>
  <c r="BD141" i="5"/>
  <c r="BC141" i="5"/>
  <c r="AW141" i="5"/>
  <c r="BD97" i="5"/>
  <c r="BC97" i="5"/>
  <c r="BD93" i="5"/>
  <c r="AW93" i="5"/>
  <c r="BA93" i="5" s="1"/>
  <c r="BC93" i="5"/>
  <c r="AL93" i="5"/>
  <c r="BD89" i="5"/>
  <c r="BE89" i="5" s="1"/>
  <c r="BF89" i="5" s="1"/>
  <c r="BC89" i="5"/>
  <c r="AL85" i="5"/>
  <c r="BD85" i="5"/>
  <c r="BC85" i="5"/>
  <c r="BD81" i="5"/>
  <c r="AL81" i="5"/>
  <c r="BD72" i="5"/>
  <c r="BC72" i="5"/>
  <c r="BD48" i="5"/>
  <c r="AW48" i="5"/>
  <c r="BA48" i="5" s="1"/>
  <c r="AL48" i="5"/>
  <c r="BD44" i="5"/>
  <c r="BE44" i="5" s="1"/>
  <c r="BF44" i="5" s="1"/>
  <c r="BC44" i="5"/>
  <c r="AL44" i="5"/>
  <c r="BD40" i="5"/>
  <c r="BC40" i="5"/>
  <c r="AW40" i="5"/>
  <c r="BD33" i="5"/>
  <c r="AX33" i="5"/>
  <c r="AY33" i="5" s="1"/>
  <c r="AZ33" i="5" s="1"/>
  <c r="BD27" i="5"/>
  <c r="BE27" i="5" s="1"/>
  <c r="BF27" i="5" s="1"/>
  <c r="AL27" i="5"/>
  <c r="AU27" i="5" s="1"/>
  <c r="AC27" i="5" s="1"/>
  <c r="BD17" i="5"/>
  <c r="AL17" i="5"/>
  <c r="AL13" i="5"/>
  <c r="BD13" i="5"/>
  <c r="AU25" i="7"/>
  <c r="AU37" i="7"/>
  <c r="AU70" i="7"/>
  <c r="AU106" i="7"/>
  <c r="AU24" i="7"/>
  <c r="AU32" i="7"/>
  <c r="AU63" i="7"/>
  <c r="AU78" i="7"/>
  <c r="AU49" i="7"/>
  <c r="AU33" i="7"/>
  <c r="AU72" i="7"/>
  <c r="AU99" i="7"/>
  <c r="AU128" i="7"/>
  <c r="AU139" i="7"/>
  <c r="AU168" i="7"/>
  <c r="AU187" i="7"/>
  <c r="AU200" i="7"/>
  <c r="AU238" i="7"/>
  <c r="AU253" i="7"/>
  <c r="AU266" i="7"/>
  <c r="AU285" i="7"/>
  <c r="AU300" i="7"/>
  <c r="AU313" i="7"/>
  <c r="AU76" i="7"/>
  <c r="AU109" i="7"/>
  <c r="AU144" i="7"/>
  <c r="AU150" i="7"/>
  <c r="AU161" i="7"/>
  <c r="AU176" i="7"/>
  <c r="AU182" i="7"/>
  <c r="AU197" i="7"/>
  <c r="AU208" i="7"/>
  <c r="AU214" i="7"/>
  <c r="AU231" i="7"/>
  <c r="AU246" i="7"/>
  <c r="AU263" i="7"/>
  <c r="AU278" i="7"/>
  <c r="AU289" i="7"/>
  <c r="AU295" i="7"/>
  <c r="AU310" i="7"/>
  <c r="AU103" i="7"/>
  <c r="AU179" i="7"/>
  <c r="AU216" i="7"/>
  <c r="AU243" i="7"/>
  <c r="AU254" i="7"/>
  <c r="AU280" i="7"/>
  <c r="AU294" i="7"/>
  <c r="AU87" i="7"/>
  <c r="AU224" i="7"/>
  <c r="AU73" i="7"/>
  <c r="AU57" i="7"/>
  <c r="AU40" i="7"/>
  <c r="AU58" i="7"/>
  <c r="AU114" i="7"/>
  <c r="AU55" i="7"/>
  <c r="AU39" i="7"/>
  <c r="AU48" i="7"/>
  <c r="AU43" i="7"/>
  <c r="AU27" i="7"/>
  <c r="AU60" i="7"/>
  <c r="AU79" i="7"/>
  <c r="AU95" i="7"/>
  <c r="AU108" i="7"/>
  <c r="AU121" i="7"/>
  <c r="AU155" i="7"/>
  <c r="AU170" i="7"/>
  <c r="AU217" i="7"/>
  <c r="AU232" i="7"/>
  <c r="AU249" i="7"/>
  <c r="AU264" i="7"/>
  <c r="AU270" i="7"/>
  <c r="AU296" i="7"/>
  <c r="AU302" i="7"/>
  <c r="AU71" i="7"/>
  <c r="AU96" i="7"/>
  <c r="AU116" i="7"/>
  <c r="AU154" i="7"/>
  <c r="AU195" i="7"/>
  <c r="AU201" i="7"/>
  <c r="AU227" i="7"/>
  <c r="AU240" i="7"/>
  <c r="AU250" i="7"/>
  <c r="AU272" i="7"/>
  <c r="AU282" i="7"/>
  <c r="AU304" i="7"/>
  <c r="AU314" i="7"/>
  <c r="AU67" i="7"/>
  <c r="AU92" i="7"/>
  <c r="AU147" i="7"/>
  <c r="AU166" i="7"/>
  <c r="AU198" i="7"/>
  <c r="AU230" i="7"/>
  <c r="AU307" i="7"/>
  <c r="AU112" i="7"/>
  <c r="AU160" i="7"/>
  <c r="AU288" i="7"/>
  <c r="AU91" i="7"/>
  <c r="AU145" i="7"/>
  <c r="AU183" i="7"/>
  <c r="AU241" i="7"/>
  <c r="AU83" i="7"/>
  <c r="AU111" i="7"/>
  <c r="AU175" i="7"/>
  <c r="AU205" i="7"/>
  <c r="AU228" i="7"/>
  <c r="AU239" i="7"/>
  <c r="AU269" i="7"/>
  <c r="AU292" i="7"/>
  <c r="AU220" i="7"/>
  <c r="AU284" i="7"/>
  <c r="AU299" i="7"/>
  <c r="AU36" i="7"/>
  <c r="AU118" i="7"/>
  <c r="AU47" i="7"/>
  <c r="AU52" i="7"/>
  <c r="AU82" i="7"/>
  <c r="AU94" i="7"/>
  <c r="AU44" i="7"/>
  <c r="AU46" i="7"/>
  <c r="AU53" i="7"/>
  <c r="AU66" i="7"/>
  <c r="AU29" i="7"/>
  <c r="AU62" i="7"/>
  <c r="AU65" i="7"/>
  <c r="AU88" i="7"/>
  <c r="AU141" i="7"/>
  <c r="AU189" i="7"/>
  <c r="AU204" i="7"/>
  <c r="AU221" i="7"/>
  <c r="AU268" i="7"/>
  <c r="AU84" i="7"/>
  <c r="AU146" i="7"/>
  <c r="AU159" i="7"/>
  <c r="AU169" i="7"/>
  <c r="AU186" i="7"/>
  <c r="AU199" i="7"/>
  <c r="AU212" i="7"/>
  <c r="AU229" i="7"/>
  <c r="AU244" i="7"/>
  <c r="AU259" i="7"/>
  <c r="AU274" i="7"/>
  <c r="AU287" i="7"/>
  <c r="AU297" i="7"/>
  <c r="AU152" i="7"/>
  <c r="AU184" i="7"/>
  <c r="AU222" i="7"/>
  <c r="AU262" i="7"/>
  <c r="AU286" i="7"/>
  <c r="AU93" i="7"/>
  <c r="AU192" i="7"/>
  <c r="AU85" i="7"/>
  <c r="AU247" i="7"/>
  <c r="AU305" i="7"/>
  <c r="AU77" i="7"/>
  <c r="AU137" i="7"/>
  <c r="AU164" i="7"/>
  <c r="AU196" i="7"/>
  <c r="AU213" i="7"/>
  <c r="AU245" i="7"/>
  <c r="AU271" i="7"/>
  <c r="AU303" i="7"/>
  <c r="AU135" i="7"/>
  <c r="AU188" i="7"/>
  <c r="AU258" i="7"/>
  <c r="AU102" i="7"/>
  <c r="AU86" i="7"/>
  <c r="AU90" i="7"/>
  <c r="AU31" i="7"/>
  <c r="AU19" i="7"/>
  <c r="AU50" i="7"/>
  <c r="AU23" i="7"/>
  <c r="AU142" i="7"/>
  <c r="AU18" i="7"/>
  <c r="A270" i="6"/>
  <c r="M273" i="7"/>
  <c r="T233" i="6"/>
  <c r="G233" i="6"/>
  <c r="I236" i="7" s="1"/>
  <c r="AK236" i="7" s="1"/>
  <c r="F233" i="6"/>
  <c r="H236" i="7" s="1"/>
  <c r="D233" i="6"/>
  <c r="F236" i="7" s="1"/>
  <c r="I233" i="6"/>
  <c r="K236" i="7" s="1"/>
  <c r="Z233" i="6"/>
  <c r="AE236" i="7" s="1"/>
  <c r="A227" i="6"/>
  <c r="I227" i="6" s="1"/>
  <c r="K230" i="7" s="1"/>
  <c r="M230" i="7"/>
  <c r="A224" i="6"/>
  <c r="G224" i="6" s="1"/>
  <c r="I227" i="7" s="1"/>
  <c r="M227" i="7"/>
  <c r="A211" i="6"/>
  <c r="M214" i="7"/>
  <c r="A209" i="6"/>
  <c r="A212" i="7" s="1"/>
  <c r="M212" i="7"/>
  <c r="A192" i="6"/>
  <c r="G192" i="6" s="1"/>
  <c r="I195" i="7" s="1"/>
  <c r="M195" i="7"/>
  <c r="AO80" i="5"/>
  <c r="AQ80" i="5" s="1"/>
  <c r="AP80" i="5"/>
  <c r="AR80" i="5" s="1"/>
  <c r="AP184" i="5"/>
  <c r="AR184" i="5" s="1"/>
  <c r="AO184" i="5"/>
  <c r="AQ184" i="5" s="1"/>
  <c r="AP257" i="5"/>
  <c r="AR257" i="5" s="1"/>
  <c r="AO257" i="5"/>
  <c r="AQ257" i="5" s="1"/>
  <c r="AO212" i="5"/>
  <c r="AQ212" i="5" s="1"/>
  <c r="AP212" i="5"/>
  <c r="AR212" i="5" s="1"/>
  <c r="AP60" i="5"/>
  <c r="AR60" i="5" s="1"/>
  <c r="AO60" i="5"/>
  <c r="AQ60" i="5" s="1"/>
  <c r="AO30" i="5"/>
  <c r="AQ30" i="5" s="1"/>
  <c r="AP30" i="5"/>
  <c r="AR30" i="5" s="1"/>
  <c r="AP23" i="5"/>
  <c r="AR23" i="5" s="1"/>
  <c r="AO23" i="5"/>
  <c r="AQ23" i="5" s="1"/>
  <c r="AO185" i="5"/>
  <c r="AQ185" i="5" s="1"/>
  <c r="AP185" i="5"/>
  <c r="AR185" i="5" s="1"/>
  <c r="AP210" i="5"/>
  <c r="AR210" i="5" s="1"/>
  <c r="AO210" i="5"/>
  <c r="AQ210" i="5" s="1"/>
  <c r="AO293" i="5"/>
  <c r="AQ293" i="5" s="1"/>
  <c r="AP293" i="5"/>
  <c r="AR293" i="5" s="1"/>
  <c r="AP283" i="5"/>
  <c r="AR283" i="5" s="1"/>
  <c r="AO283" i="5"/>
  <c r="AQ283" i="5" s="1"/>
  <c r="AO248" i="5"/>
  <c r="AQ248" i="5" s="1"/>
  <c r="AP248" i="5"/>
  <c r="AR248" i="5" s="1"/>
  <c r="AP123" i="5"/>
  <c r="AR123" i="5" s="1"/>
  <c r="AO123" i="5"/>
  <c r="AQ123" i="5" s="1"/>
  <c r="AO241" i="5"/>
  <c r="AQ241" i="5" s="1"/>
  <c r="AP241" i="5"/>
  <c r="AR241" i="5" s="1"/>
  <c r="BC33" i="5"/>
  <c r="AW49" i="5"/>
  <c r="BA49" i="5" s="1"/>
  <c r="AW27" i="5"/>
  <c r="BA27" i="5" s="1"/>
  <c r="BC210" i="5"/>
  <c r="BA280" i="5"/>
  <c r="BC305" i="5"/>
  <c r="I304" i="6"/>
  <c r="K307" i="7" s="1"/>
  <c r="D304" i="6"/>
  <c r="F307" i="7" s="1"/>
  <c r="A288" i="6"/>
  <c r="M291" i="7"/>
  <c r="A281" i="6"/>
  <c r="T281" i="6" s="1"/>
  <c r="M284" i="7"/>
  <c r="A249" i="7"/>
  <c r="G246" i="6"/>
  <c r="I249" i="7" s="1"/>
  <c r="AK249" i="7" s="1"/>
  <c r="E246" i="6"/>
  <c r="G249" i="7" s="1"/>
  <c r="H246" i="6"/>
  <c r="J249" i="7" s="1"/>
  <c r="D246" i="6"/>
  <c r="F249" i="7" s="1"/>
  <c r="A246" i="7"/>
  <c r="G243" i="6"/>
  <c r="I246" i="7" s="1"/>
  <c r="Q243" i="6"/>
  <c r="T243" i="6"/>
  <c r="I243" i="6"/>
  <c r="K246" i="7" s="1"/>
  <c r="Z243" i="6"/>
  <c r="AE246" i="7" s="1"/>
  <c r="D243" i="6"/>
  <c r="F246" i="7" s="1"/>
  <c r="G187" i="6"/>
  <c r="I190" i="7" s="1"/>
  <c r="AJ190" i="7" s="1"/>
  <c r="F187" i="6"/>
  <c r="H190" i="7" s="1"/>
  <c r="A181" i="6"/>
  <c r="A184" i="7" s="1"/>
  <c r="M184" i="7"/>
  <c r="H178" i="6"/>
  <c r="J181" i="7" s="1"/>
  <c r="E178" i="6"/>
  <c r="G181" i="7" s="1"/>
  <c r="Z178" i="6"/>
  <c r="AE181" i="7" s="1"/>
  <c r="AG181" i="7" s="1"/>
  <c r="H162" i="6"/>
  <c r="J165" i="7" s="1"/>
  <c r="F162" i="6"/>
  <c r="H165" i="7" s="1"/>
  <c r="G142" i="6"/>
  <c r="I145" i="7" s="1"/>
  <c r="AJ145" i="7" s="1"/>
  <c r="AG142" i="6"/>
  <c r="A145" i="7"/>
  <c r="F142" i="6"/>
  <c r="H145" i="7" s="1"/>
  <c r="A120" i="6"/>
  <c r="Q120" i="6" s="1"/>
  <c r="M123" i="7"/>
  <c r="A104" i="6"/>
  <c r="G104" i="6" s="1"/>
  <c r="I107" i="7" s="1"/>
  <c r="M107" i="7"/>
  <c r="G85" i="6"/>
  <c r="I88" i="7" s="1"/>
  <c r="AH88" i="7" s="1"/>
  <c r="AI88" i="7" s="1"/>
  <c r="I85" i="6"/>
  <c r="K88" i="7" s="1"/>
  <c r="Z85" i="6"/>
  <c r="AE88" i="7" s="1"/>
  <c r="AG85" i="6"/>
  <c r="I77" i="6"/>
  <c r="K80" i="7" s="1"/>
  <c r="G77" i="6"/>
  <c r="I80" i="7" s="1"/>
  <c r="F77" i="6"/>
  <c r="H80" i="7" s="1"/>
  <c r="A75" i="6"/>
  <c r="M78" i="7"/>
  <c r="I73" i="6"/>
  <c r="K76" i="7" s="1"/>
  <c r="A76" i="7"/>
  <c r="AG73" i="6"/>
  <c r="AO163" i="5"/>
  <c r="AQ163" i="5" s="1"/>
  <c r="AP163" i="5"/>
  <c r="AR163" i="5" s="1"/>
  <c r="AP59" i="5"/>
  <c r="AR59" i="5" s="1"/>
  <c r="AO59" i="5"/>
  <c r="AQ59" i="5" s="1"/>
  <c r="AQ37" i="5"/>
  <c r="AO104" i="5"/>
  <c r="AQ104" i="5" s="1"/>
  <c r="AP104" i="5"/>
  <c r="AR104" i="5" s="1"/>
  <c r="BA215" i="5"/>
  <c r="AO46" i="5"/>
  <c r="AQ46" i="5" s="1"/>
  <c r="AP46" i="5"/>
  <c r="AR46" i="5" s="1"/>
  <c r="AO229" i="5"/>
  <c r="AQ229" i="5" s="1"/>
  <c r="AP229" i="5"/>
  <c r="AR229" i="5" s="1"/>
  <c r="AL97" i="5"/>
  <c r="AO36" i="5"/>
  <c r="AQ36" i="5" s="1"/>
  <c r="AW16" i="5"/>
  <c r="BA16" i="5" s="1"/>
  <c r="AW205" i="5"/>
  <c r="AL152" i="5"/>
  <c r="AW224" i="5"/>
  <c r="D310" i="6"/>
  <c r="F313" i="7" s="1"/>
  <c r="G310" i="6"/>
  <c r="I313" i="7" s="1"/>
  <c r="AK313" i="7" s="1"/>
  <c r="G307" i="6"/>
  <c r="I310" i="7" s="1"/>
  <c r="AK310" i="7" s="1"/>
  <c r="Z307" i="6"/>
  <c r="AE310" i="7" s="1"/>
  <c r="D307" i="6"/>
  <c r="F310" i="7" s="1"/>
  <c r="E307" i="6"/>
  <c r="G310" i="7" s="1"/>
  <c r="A299" i="6"/>
  <c r="A302" i="7" s="1"/>
  <c r="M302" i="7"/>
  <c r="M293" i="7"/>
  <c r="A290" i="6"/>
  <c r="A293" i="7" s="1"/>
  <c r="A271" i="6"/>
  <c r="M274" i="7"/>
  <c r="A166" i="6"/>
  <c r="M169" i="7"/>
  <c r="A94" i="6"/>
  <c r="G94" i="6" s="1"/>
  <c r="I97" i="7" s="1"/>
  <c r="M97" i="7"/>
  <c r="AO92" i="5"/>
  <c r="AQ92" i="5" s="1"/>
  <c r="AW13" i="5"/>
  <c r="BA13" i="5" s="1"/>
  <c r="AQ103" i="5"/>
  <c r="AS103" i="5" s="1"/>
  <c r="AT103" i="5" s="1"/>
  <c r="AU103" i="5" s="1"/>
  <c r="AC103" i="5" s="1"/>
  <c r="AD103" i="5" s="1"/>
  <c r="AO50" i="5"/>
  <c r="AQ50" i="5" s="1"/>
  <c r="AO277" i="5"/>
  <c r="AQ277" i="5" s="1"/>
  <c r="AQ174" i="5"/>
  <c r="AP71" i="5"/>
  <c r="AR71" i="5" s="1"/>
  <c r="AO71" i="5"/>
  <c r="AQ71" i="5" s="1"/>
  <c r="AO265" i="5"/>
  <c r="AQ265" i="5" s="1"/>
  <c r="AP64" i="5"/>
  <c r="AR64" i="5" s="1"/>
  <c r="AO64" i="5"/>
  <c r="AQ64" i="5" s="1"/>
  <c r="AP73" i="5"/>
  <c r="AR73" i="5" s="1"/>
  <c r="AO73" i="5"/>
  <c r="AQ73" i="5" s="1"/>
  <c r="AP232" i="5"/>
  <c r="AR232" i="5" s="1"/>
  <c r="AO232" i="5"/>
  <c r="AQ232" i="5" s="1"/>
  <c r="AO118" i="5"/>
  <c r="AQ118" i="5" s="1"/>
  <c r="AO209" i="5"/>
  <c r="AQ209" i="5" s="1"/>
  <c r="AP209" i="5"/>
  <c r="AR209" i="5" s="1"/>
  <c r="AO195" i="5"/>
  <c r="AQ195" i="5" s="1"/>
  <c r="AP195" i="5"/>
  <c r="AR195" i="5" s="1"/>
  <c r="BC50" i="5"/>
  <c r="AW54" i="5"/>
  <c r="BA78" i="5"/>
  <c r="BC83" i="5"/>
  <c r="AW89" i="5"/>
  <c r="AL91" i="5"/>
  <c r="AW196" i="5"/>
  <c r="BA196" i="5" s="1"/>
  <c r="AW235" i="5"/>
  <c r="BC299" i="5"/>
  <c r="BC134" i="5"/>
  <c r="AQ218" i="5"/>
  <c r="BC248" i="5"/>
  <c r="AW248" i="5"/>
  <c r="AW258" i="5"/>
  <c r="BC138" i="5"/>
  <c r="BC178" i="5"/>
  <c r="BC258" i="5"/>
  <c r="AW158" i="5"/>
  <c r="BA158" i="5" s="1"/>
  <c r="AL149" i="5"/>
  <c r="AL262" i="5"/>
  <c r="AW284" i="5"/>
  <c r="BA284" i="5" s="1"/>
  <c r="AO65" i="5"/>
  <c r="AQ65" i="5" s="1"/>
  <c r="AS65" i="5" s="1"/>
  <c r="AT65" i="5" s="1"/>
  <c r="AO17" i="5"/>
  <c r="AO94" i="5"/>
  <c r="AQ94" i="5" s="1"/>
  <c r="AO177" i="5"/>
  <c r="AQ177" i="5" s="1"/>
  <c r="AO249" i="5"/>
  <c r="AQ249" i="5" s="1"/>
  <c r="AO299" i="5"/>
  <c r="AQ299" i="5" s="1"/>
  <c r="AO285" i="5"/>
  <c r="AQ285" i="5" s="1"/>
  <c r="AO276" i="5"/>
  <c r="AQ276" i="5" s="1"/>
  <c r="AO141" i="5"/>
  <c r="AQ141" i="5" s="1"/>
  <c r="AP285" i="5"/>
  <c r="AR285" i="5" s="1"/>
  <c r="AP70" i="5"/>
  <c r="AR70" i="5" s="1"/>
  <c r="AP24" i="5"/>
  <c r="AR24" i="5" s="1"/>
  <c r="AP226" i="5"/>
  <c r="AR226" i="5" s="1"/>
  <c r="AP177" i="5"/>
  <c r="AR177" i="5" s="1"/>
  <c r="AP39" i="5"/>
  <c r="AR39" i="5" s="1"/>
  <c r="AP216" i="5"/>
  <c r="AR216" i="5" s="1"/>
  <c r="AP278" i="5"/>
  <c r="AR278" i="5" s="1"/>
  <c r="AP154" i="5"/>
  <c r="AR154" i="5" s="1"/>
  <c r="AP242" i="5"/>
  <c r="AR242" i="5" s="1"/>
  <c r="AP126" i="5"/>
  <c r="AR126" i="5" s="1"/>
  <c r="AP91" i="5"/>
  <c r="AR91" i="5" s="1"/>
  <c r="AP52" i="5"/>
  <c r="AR52" i="5" s="1"/>
  <c r="AP291" i="5"/>
  <c r="AR291" i="5" s="1"/>
  <c r="AP217" i="5"/>
  <c r="AR217" i="5" s="1"/>
  <c r="AP188" i="5"/>
  <c r="AR188" i="5" s="1"/>
  <c r="AP157" i="5"/>
  <c r="AR157" i="5" s="1"/>
  <c r="AP84" i="5"/>
  <c r="AR84" i="5" s="1"/>
  <c r="AP98" i="5"/>
  <c r="AR98" i="5" s="1"/>
  <c r="AP259" i="5"/>
  <c r="AR259" i="5" s="1"/>
  <c r="AO95" i="5"/>
  <c r="AQ95" i="5" s="1"/>
  <c r="AS95" i="5" s="1"/>
  <c r="AT95" i="5" s="1"/>
  <c r="AO287" i="5"/>
  <c r="AQ287" i="5" s="1"/>
  <c r="AP251" i="5"/>
  <c r="AR251" i="5" s="1"/>
  <c r="AP101" i="5"/>
  <c r="AR101" i="5" s="1"/>
  <c r="AS101" i="5" s="1"/>
  <c r="AT101" i="5" s="1"/>
  <c r="AU101" i="5" s="1"/>
  <c r="AC101" i="5" s="1"/>
  <c r="AP206" i="5"/>
  <c r="AR206" i="5" s="1"/>
  <c r="AO161" i="5"/>
  <c r="AQ161" i="5" s="1"/>
  <c r="AO222" i="5"/>
  <c r="AQ222" i="5" s="1"/>
  <c r="AS222" i="5" s="1"/>
  <c r="AT222" i="5" s="1"/>
  <c r="AP138" i="5"/>
  <c r="AR138" i="5" s="1"/>
  <c r="AW264" i="5"/>
  <c r="BA264" i="5" s="1"/>
  <c r="BD264" i="5"/>
  <c r="BD246" i="5"/>
  <c r="AX246" i="5"/>
  <c r="AY246" i="5" s="1"/>
  <c r="AZ246" i="5" s="1"/>
  <c r="BD219" i="5"/>
  <c r="AL219" i="5"/>
  <c r="BD212" i="5"/>
  <c r="AW212" i="5"/>
  <c r="BC212" i="5"/>
  <c r="BD180" i="5"/>
  <c r="AL180" i="5"/>
  <c r="AW180" i="5"/>
  <c r="BA180" i="5" s="1"/>
  <c r="BC161" i="5"/>
  <c r="AW161" i="5"/>
  <c r="BA161" i="5" s="1"/>
  <c r="BD100" i="5"/>
  <c r="AX100" i="5"/>
  <c r="AM30" i="7"/>
  <c r="AM306" i="7"/>
  <c r="I296" i="6"/>
  <c r="K299" i="7" s="1"/>
  <c r="D296" i="6"/>
  <c r="F299" i="7" s="1"/>
  <c r="Z296" i="6"/>
  <c r="AE299" i="7" s="1"/>
  <c r="G295" i="6"/>
  <c r="I298" i="7" s="1"/>
  <c r="Z295" i="6"/>
  <c r="AE298" i="7" s="1"/>
  <c r="AG295" i="6"/>
  <c r="A291" i="6"/>
  <c r="I291" i="6" s="1"/>
  <c r="K294" i="7" s="1"/>
  <c r="M294" i="7"/>
  <c r="A289" i="6"/>
  <c r="AM290" i="7"/>
  <c r="T280" i="6"/>
  <c r="I280" i="6"/>
  <c r="K283" i="7" s="1"/>
  <c r="H280" i="6"/>
  <c r="J283" i="7" s="1"/>
  <c r="G280" i="6"/>
  <c r="I283" i="7" s="1"/>
  <c r="Z280" i="6"/>
  <c r="AE283" i="7" s="1"/>
  <c r="AM281" i="7"/>
  <c r="AM258" i="7"/>
  <c r="A257" i="7"/>
  <c r="G254" i="6"/>
  <c r="I257" i="7" s="1"/>
  <c r="AJ257" i="7" s="1"/>
  <c r="F254" i="6"/>
  <c r="H257" i="7" s="1"/>
  <c r="D254" i="6"/>
  <c r="F257" i="7" s="1"/>
  <c r="A252" i="6"/>
  <c r="T252" i="6" s="1"/>
  <c r="AM252" i="7"/>
  <c r="M235" i="7"/>
  <c r="A232" i="6"/>
  <c r="G230" i="6"/>
  <c r="I233" i="7" s="1"/>
  <c r="F230" i="6"/>
  <c r="H233" i="7" s="1"/>
  <c r="D230" i="6"/>
  <c r="F233" i="7" s="1"/>
  <c r="A223" i="6"/>
  <c r="I223" i="6" s="1"/>
  <c r="K226" i="7" s="1"/>
  <c r="M226" i="7"/>
  <c r="G199" i="6"/>
  <c r="I202" i="7" s="1"/>
  <c r="AJ202" i="7" s="1"/>
  <c r="Q199" i="6"/>
  <c r="E199" i="6"/>
  <c r="G202" i="7" s="1"/>
  <c r="H199" i="6"/>
  <c r="J202" i="7" s="1"/>
  <c r="T199" i="6"/>
  <c r="A194" i="6"/>
  <c r="Q194" i="6" s="1"/>
  <c r="M197" i="7"/>
  <c r="AM191" i="7"/>
  <c r="A183" i="6"/>
  <c r="I183" i="6" s="1"/>
  <c r="K186" i="7" s="1"/>
  <c r="AM175" i="7"/>
  <c r="A170" i="6"/>
  <c r="M173" i="7"/>
  <c r="AM170" i="7"/>
  <c r="AM156" i="7"/>
  <c r="A151" i="6"/>
  <c r="G151" i="6" s="1"/>
  <c r="I154" i="7" s="1"/>
  <c r="M154" i="7"/>
  <c r="AM142" i="7"/>
  <c r="A119" i="6"/>
  <c r="Q119" i="6" s="1"/>
  <c r="M122" i="7"/>
  <c r="AM106" i="7"/>
  <c r="A63" i="6"/>
  <c r="Q63" i="6" s="1"/>
  <c r="M66" i="7"/>
  <c r="AP281" i="5"/>
  <c r="AR281" i="5" s="1"/>
  <c r="AO281" i="5"/>
  <c r="AQ281" i="5" s="1"/>
  <c r="AO256" i="5"/>
  <c r="AQ256" i="5" s="1"/>
  <c r="AP256" i="5"/>
  <c r="AR256" i="5" s="1"/>
  <c r="AP41" i="5"/>
  <c r="AR41" i="5" s="1"/>
  <c r="AO41" i="5"/>
  <c r="AQ41" i="5" s="1"/>
  <c r="AO204" i="5"/>
  <c r="AQ204" i="5" s="1"/>
  <c r="AP204" i="5"/>
  <c r="AR204" i="5" s="1"/>
  <c r="AW20" i="5"/>
  <c r="AW44" i="5"/>
  <c r="BA44" i="5" s="1"/>
  <c r="BC48" i="5"/>
  <c r="AW72" i="5"/>
  <c r="BA72" i="5" s="1"/>
  <c r="AO67" i="5"/>
  <c r="AQ67" i="5" s="1"/>
  <c r="AL105" i="5"/>
  <c r="AW105" i="5"/>
  <c r="BA105" i="5" s="1"/>
  <c r="AO81" i="5"/>
  <c r="AQ81" i="5" s="1"/>
  <c r="BC21" i="5"/>
  <c r="BA127" i="5"/>
  <c r="AL142" i="5"/>
  <c r="BC158" i="5"/>
  <c r="BC224" i="5"/>
  <c r="BC307" i="5"/>
  <c r="BC270" i="5"/>
  <c r="AL138" i="5"/>
  <c r="AL112" i="5"/>
  <c r="BD248" i="5"/>
  <c r="AX248" i="5"/>
  <c r="AY248" i="5" s="1"/>
  <c r="AZ248" i="5" s="1"/>
  <c r="AL99" i="5"/>
  <c r="BD99" i="5"/>
  <c r="AX99" i="5"/>
  <c r="AL70" i="5"/>
  <c r="BC70" i="5"/>
  <c r="BD67" i="5"/>
  <c r="AL67" i="5"/>
  <c r="AX67" i="5"/>
  <c r="AY67" i="5" s="1"/>
  <c r="AZ67" i="5" s="1"/>
  <c r="BA67" i="5" s="1"/>
  <c r="BD58" i="5"/>
  <c r="AL58" i="5"/>
  <c r="AX58" i="5"/>
  <c r="AY58" i="5" s="1"/>
  <c r="AZ58" i="5" s="1"/>
  <c r="BA58" i="5" s="1"/>
  <c r="AL54" i="5"/>
  <c r="AX54" i="5"/>
  <c r="AY54" i="5" s="1"/>
  <c r="AZ54" i="5" s="1"/>
  <c r="A27" i="6"/>
  <c r="A30" i="7" s="1"/>
  <c r="M30" i="7"/>
  <c r="A265" i="7"/>
  <c r="G262" i="6"/>
  <c r="I265" i="7" s="1"/>
  <c r="H262" i="6"/>
  <c r="J265" i="7" s="1"/>
  <c r="A257" i="6"/>
  <c r="M260" i="7"/>
  <c r="Q247" i="6"/>
  <c r="T247" i="6"/>
  <c r="I247" i="6"/>
  <c r="K250" i="7" s="1"/>
  <c r="F247" i="6"/>
  <c r="H250" i="7" s="1"/>
  <c r="A216" i="6"/>
  <c r="M219" i="7"/>
  <c r="T207" i="6"/>
  <c r="AG207" i="6"/>
  <c r="A191" i="6"/>
  <c r="T191" i="6" s="1"/>
  <c r="M194" i="7"/>
  <c r="A167" i="6"/>
  <c r="G167" i="6" s="1"/>
  <c r="I170" i="7" s="1"/>
  <c r="M170" i="7"/>
  <c r="H156" i="6"/>
  <c r="J159" i="7" s="1"/>
  <c r="E156" i="6"/>
  <c r="G159" i="7" s="1"/>
  <c r="A147" i="6"/>
  <c r="I147" i="6" s="1"/>
  <c r="K150" i="7" s="1"/>
  <c r="M150" i="7"/>
  <c r="A145" i="6"/>
  <c r="Q145" i="6" s="1"/>
  <c r="M148" i="7"/>
  <c r="M118" i="7"/>
  <c r="A115" i="6"/>
  <c r="Q115" i="6" s="1"/>
  <c r="G72" i="6"/>
  <c r="I75" i="7" s="1"/>
  <c r="E72" i="6"/>
  <c r="G75" i="7" s="1"/>
  <c r="F72" i="6"/>
  <c r="H75" i="7" s="1"/>
  <c r="A42" i="6"/>
  <c r="T42" i="6" s="1"/>
  <c r="M45" i="7"/>
  <c r="A39" i="6"/>
  <c r="T39" i="6" s="1"/>
  <c r="M42" i="7"/>
  <c r="AM39" i="7"/>
  <c r="AM40" i="7"/>
  <c r="AM42" i="7"/>
  <c r="AM45" i="7"/>
  <c r="AM54" i="7"/>
  <c r="AM74" i="7"/>
  <c r="AM76" i="7"/>
  <c r="AM77" i="7"/>
  <c r="AM78" i="7"/>
  <c r="AM79" i="7"/>
  <c r="AM84" i="7"/>
  <c r="AM95" i="7"/>
  <c r="AM96" i="7"/>
  <c r="AM101" i="7"/>
  <c r="AM107" i="7"/>
  <c r="AM108" i="7"/>
  <c r="AM110" i="7"/>
  <c r="AM113" i="7"/>
  <c r="AM114" i="7"/>
  <c r="AM118" i="7"/>
  <c r="AM123" i="7"/>
  <c r="AM128" i="7"/>
  <c r="AM131" i="7"/>
  <c r="AM133" i="7"/>
  <c r="AM137" i="7"/>
  <c r="AM138" i="7"/>
  <c r="AM139" i="7"/>
  <c r="AM41" i="7"/>
  <c r="AM46" i="7"/>
  <c r="AM56" i="7"/>
  <c r="AM57" i="7"/>
  <c r="AM58" i="7"/>
  <c r="AM65" i="7"/>
  <c r="AM68" i="7"/>
  <c r="AM82" i="7"/>
  <c r="AM83" i="7"/>
  <c r="AM89" i="7"/>
  <c r="AM103" i="7"/>
  <c r="AM104" i="7"/>
  <c r="AM111" i="7"/>
  <c r="AM115" i="7"/>
  <c r="AM116" i="7"/>
  <c r="AM119" i="7"/>
  <c r="AM122" i="7"/>
  <c r="AM124" i="7"/>
  <c r="AM125" i="7"/>
  <c r="AM126" i="7"/>
  <c r="AM132" i="7"/>
  <c r="AM135" i="7"/>
  <c r="AM143" i="7"/>
  <c r="AM145" i="7"/>
  <c r="AM146" i="7"/>
  <c r="AM147" i="7"/>
  <c r="AM148" i="7"/>
  <c r="AM152" i="7"/>
  <c r="AM159" i="7"/>
  <c r="AM164" i="7"/>
  <c r="AM173" i="7"/>
  <c r="AM179" i="7"/>
  <c r="AM181" i="7"/>
  <c r="AM185" i="7"/>
  <c r="AM186" i="7"/>
  <c r="AM189" i="7"/>
  <c r="AM190" i="7"/>
  <c r="AM193" i="7"/>
  <c r="AM194" i="7"/>
  <c r="AM197" i="7"/>
  <c r="AM198" i="7"/>
  <c r="AM201" i="7"/>
  <c r="AM203" i="7"/>
  <c r="AM207" i="7"/>
  <c r="AM211" i="7"/>
  <c r="AM215" i="7"/>
  <c r="AM219" i="7"/>
  <c r="AM223" i="7"/>
  <c r="AM227" i="7"/>
  <c r="AM230" i="7"/>
  <c r="AM234" i="7"/>
  <c r="AM238" i="7"/>
  <c r="AM242" i="7"/>
  <c r="AM244" i="7"/>
  <c r="AM245" i="7"/>
  <c r="AM247" i="7"/>
  <c r="AM254" i="7"/>
  <c r="AM255" i="7"/>
  <c r="AM262" i="7"/>
  <c r="AM263" i="7"/>
  <c r="AM270" i="7"/>
  <c r="AM271" i="7"/>
  <c r="AM277" i="7"/>
  <c r="AM50" i="7"/>
  <c r="AM80" i="7"/>
  <c r="AM87" i="7"/>
  <c r="AM92" i="7"/>
  <c r="AM98" i="7"/>
  <c r="AM99" i="7"/>
  <c r="AM109" i="7"/>
  <c r="AM121" i="7"/>
  <c r="AM127" i="7"/>
  <c r="AM141" i="7"/>
  <c r="AM144" i="7"/>
  <c r="AM151" i="7"/>
  <c r="AM154" i="7"/>
  <c r="AM162" i="7"/>
  <c r="AM163" i="7"/>
  <c r="AM165" i="7"/>
  <c r="AM168" i="7"/>
  <c r="AM169" i="7"/>
  <c r="AM172" i="7"/>
  <c r="AM176" i="7"/>
  <c r="AM177" i="7"/>
  <c r="AM183" i="7"/>
  <c r="AM192" i="7"/>
  <c r="AM199" i="7"/>
  <c r="AM202" i="7"/>
  <c r="AM205" i="7"/>
  <c r="AM210" i="7"/>
  <c r="AM213" i="7"/>
  <c r="AM218" i="7"/>
  <c r="AM221" i="7"/>
  <c r="AM226" i="7"/>
  <c r="AM229" i="7"/>
  <c r="AM231" i="7"/>
  <c r="AM233" i="7"/>
  <c r="AM235" i="7"/>
  <c r="AM237" i="7"/>
  <c r="AM239" i="7"/>
  <c r="AM241" i="7"/>
  <c r="AM243" i="7"/>
  <c r="AM246" i="7"/>
  <c r="AM256" i="7"/>
  <c r="AM265" i="7"/>
  <c r="AM266" i="7"/>
  <c r="AM276" i="7"/>
  <c r="AM283" i="7"/>
  <c r="AM284" i="7"/>
  <c r="AM287" i="7"/>
  <c r="AM291" i="7"/>
  <c r="AM292" i="7"/>
  <c r="AM295" i="7"/>
  <c r="AM297" i="7"/>
  <c r="AM299" i="7"/>
  <c r="AM301" i="7"/>
  <c r="AM303" i="7"/>
  <c r="AM305" i="7"/>
  <c r="AM307" i="7"/>
  <c r="AM309" i="7"/>
  <c r="AM311" i="7"/>
  <c r="AM313" i="7"/>
  <c r="AM315" i="7"/>
  <c r="AM25" i="7"/>
  <c r="AM27" i="7"/>
  <c r="AM29" i="7"/>
  <c r="AM31" i="7"/>
  <c r="AM33" i="7"/>
  <c r="AM48" i="7"/>
  <c r="AM49" i="7"/>
  <c r="AM67" i="7"/>
  <c r="AM69" i="7"/>
  <c r="AM70" i="7"/>
  <c r="AM71" i="7"/>
  <c r="AM73" i="7"/>
  <c r="AM81" i="7"/>
  <c r="AM85" i="7"/>
  <c r="AM112" i="7"/>
  <c r="AM117" i="7"/>
  <c r="AM136" i="7"/>
  <c r="AM150" i="7"/>
  <c r="AM195" i="7"/>
  <c r="AM259" i="7"/>
  <c r="AM264" i="7"/>
  <c r="AM267" i="7"/>
  <c r="AM268" i="7"/>
  <c r="AM269" i="7"/>
  <c r="AM273" i="7"/>
  <c r="AM286" i="7"/>
  <c r="AM288" i="7"/>
  <c r="AM300" i="7"/>
  <c r="AM302" i="7"/>
  <c r="AM18" i="7"/>
  <c r="AM20" i="7"/>
  <c r="AM21" i="7"/>
  <c r="AM23" i="7"/>
  <c r="AM16" i="7"/>
  <c r="AM52" i="7"/>
  <c r="AM64" i="7"/>
  <c r="AM66" i="7"/>
  <c r="AM75" i="7"/>
  <c r="AM100" i="7"/>
  <c r="AM102" i="7"/>
  <c r="AM105" i="7"/>
  <c r="AM153" i="7"/>
  <c r="AM155" i="7"/>
  <c r="AM161" i="7"/>
  <c r="AM166" i="7"/>
  <c r="AM171" i="7"/>
  <c r="AM174" i="7"/>
  <c r="AM180" i="7"/>
  <c r="AM182" i="7"/>
  <c r="AM184" i="7"/>
  <c r="AM188" i="7"/>
  <c r="AM200" i="7"/>
  <c r="AM225" i="7"/>
  <c r="AM228" i="7"/>
  <c r="AM236" i="7"/>
  <c r="AM250" i="7"/>
  <c r="AM253" i="7"/>
  <c r="AM272" i="7"/>
  <c r="AM274" i="7"/>
  <c r="AM279" i="7"/>
  <c r="AM294" i="7"/>
  <c r="AM308" i="7"/>
  <c r="AZ117" i="5"/>
  <c r="BA117" i="5" s="1"/>
  <c r="AZ269" i="5"/>
  <c r="BA269" i="5" s="1"/>
  <c r="AZ60" i="5"/>
  <c r="BA60" i="5" s="1"/>
  <c r="AZ145" i="5"/>
  <c r="AZ190" i="5"/>
  <c r="AZ228" i="5"/>
  <c r="AZ171" i="5"/>
  <c r="AZ172" i="5"/>
  <c r="BA172" i="5" s="1"/>
  <c r="AZ184" i="5"/>
  <c r="BA184" i="5" s="1"/>
  <c r="AZ174" i="5"/>
  <c r="AZ229" i="5"/>
  <c r="BA229" i="5" s="1"/>
  <c r="AZ267" i="5"/>
  <c r="AZ128" i="5"/>
  <c r="BA128" i="5" s="1"/>
  <c r="AZ131" i="5"/>
  <c r="BA131" i="5" s="1"/>
  <c r="AZ170" i="5"/>
  <c r="BA170" i="5" s="1"/>
  <c r="AZ233" i="5"/>
  <c r="BA233" i="5" s="1"/>
  <c r="AZ123" i="5"/>
  <c r="BA123" i="5" s="1"/>
  <c r="BC13" i="5"/>
  <c r="AP21" i="5"/>
  <c r="AO21" i="5"/>
  <c r="AP120" i="5"/>
  <c r="AR120" i="5" s="1"/>
  <c r="AO278" i="5"/>
  <c r="AQ278" i="5" s="1"/>
  <c r="AO294" i="5"/>
  <c r="AQ294" i="5" s="1"/>
  <c r="AO129" i="5"/>
  <c r="AQ129" i="5" s="1"/>
  <c r="AO203" i="5"/>
  <c r="AQ203" i="5" s="1"/>
  <c r="AP203" i="5"/>
  <c r="AR203" i="5" s="1"/>
  <c r="AO217" i="5"/>
  <c r="AQ217" i="5" s="1"/>
  <c r="AO68" i="5"/>
  <c r="AQ68" i="5" s="1"/>
  <c r="AO259" i="5"/>
  <c r="AQ259" i="5" s="1"/>
  <c r="AO272" i="5"/>
  <c r="AQ272" i="5" s="1"/>
  <c r="AP174" i="5"/>
  <c r="AR174" i="5" s="1"/>
  <c r="AO115" i="5"/>
  <c r="AQ115" i="5" s="1"/>
  <c r="AO61" i="5"/>
  <c r="AQ61" i="5" s="1"/>
  <c r="AP78" i="5"/>
  <c r="AR78" i="5" s="1"/>
  <c r="AP149" i="5"/>
  <c r="AR149" i="5" s="1"/>
  <c r="AO126" i="5"/>
  <c r="AQ126" i="5" s="1"/>
  <c r="AO83" i="5"/>
  <c r="AQ83" i="5" s="1"/>
  <c r="AP267" i="5"/>
  <c r="AR267" i="5" s="1"/>
  <c r="AO154" i="5"/>
  <c r="AQ154" i="5" s="1"/>
  <c r="AP200" i="5"/>
  <c r="AR200" i="5" s="1"/>
  <c r="AP292" i="5"/>
  <c r="AR292" i="5" s="1"/>
  <c r="AO304" i="5"/>
  <c r="AQ304" i="5" s="1"/>
  <c r="AP221" i="5"/>
  <c r="AR221" i="5" s="1"/>
  <c r="AO208" i="5"/>
  <c r="AQ208" i="5" s="1"/>
  <c r="AP208" i="5"/>
  <c r="AR208" i="5" s="1"/>
  <c r="AP107" i="5"/>
  <c r="AR107" i="5" s="1"/>
  <c r="AP140" i="5"/>
  <c r="AR140" i="5" s="1"/>
  <c r="AP105" i="5"/>
  <c r="AR105" i="5" s="1"/>
  <c r="AO40" i="5"/>
  <c r="AQ40" i="5" s="1"/>
  <c r="AL89" i="5"/>
  <c r="AU89" i="5" s="1"/>
  <c r="AC89" i="5" s="1"/>
  <c r="BC99" i="5"/>
  <c r="BC27" i="5"/>
  <c r="AL16" i="5"/>
  <c r="BC20" i="5"/>
  <c r="AW24" i="5"/>
  <c r="BA24" i="5" s="1"/>
  <c r="AL40" i="5"/>
  <c r="AL110" i="5"/>
  <c r="AL56" i="5"/>
  <c r="AW254" i="5"/>
  <c r="BA254" i="5" s="1"/>
  <c r="AW118" i="5"/>
  <c r="BA118" i="5" s="1"/>
  <c r="AW288" i="5"/>
  <c r="BC266" i="5"/>
  <c r="BC286" i="5"/>
  <c r="B7" i="5"/>
  <c r="AP38" i="5"/>
  <c r="AR38" i="5" s="1"/>
  <c r="AS38" i="5" s="1"/>
  <c r="AT38" i="5" s="1"/>
  <c r="AU38" i="5" s="1"/>
  <c r="AC38" i="5" s="1"/>
  <c r="AE38" i="5" s="1"/>
  <c r="AP274" i="5"/>
  <c r="AR274" i="5" s="1"/>
  <c r="BD282" i="5"/>
  <c r="BE282" i="5" s="1"/>
  <c r="BF282" i="5" s="1"/>
  <c r="BC282" i="5"/>
  <c r="BD271" i="5"/>
  <c r="BE271" i="5" s="1"/>
  <c r="BF271" i="5" s="1"/>
  <c r="BC271" i="5"/>
  <c r="BD263" i="5"/>
  <c r="BE263" i="5" s="1"/>
  <c r="BF263" i="5" s="1"/>
  <c r="BG263" i="5" s="1"/>
  <c r="AL263" i="5"/>
  <c r="BD255" i="5"/>
  <c r="AW255" i="5"/>
  <c r="BA255" i="5" s="1"/>
  <c r="BD243" i="5"/>
  <c r="BC243" i="5"/>
  <c r="AW243" i="5"/>
  <c r="BA243" i="5" s="1"/>
  <c r="BD211" i="5"/>
  <c r="AL211" i="5"/>
  <c r="BD187" i="5"/>
  <c r="AL187" i="5"/>
  <c r="BD143" i="5"/>
  <c r="BE143" i="5" s="1"/>
  <c r="BF143" i="5" s="1"/>
  <c r="AL143" i="5"/>
  <c r="BD109" i="5"/>
  <c r="BE109" i="5" s="1"/>
  <c r="BF109" i="5" s="1"/>
  <c r="BC109" i="5"/>
  <c r="BD96" i="5"/>
  <c r="BE96" i="5" s="1"/>
  <c r="BF96" i="5" s="1"/>
  <c r="BG96" i="5" s="1"/>
  <c r="AW96" i="5"/>
  <c r="BA96" i="5" s="1"/>
  <c r="BD71" i="5"/>
  <c r="AL71" i="5"/>
  <c r="AL39" i="5"/>
  <c r="BD39" i="5"/>
  <c r="BD12" i="5"/>
  <c r="AW12" i="5"/>
  <c r="BA12" i="5" s="1"/>
  <c r="T286" i="6"/>
  <c r="G286" i="6"/>
  <c r="I289" i="7" s="1"/>
  <c r="T278" i="6"/>
  <c r="I278" i="6"/>
  <c r="K281" i="7" s="1"/>
  <c r="A271" i="7"/>
  <c r="Z268" i="6"/>
  <c r="AE271" i="7" s="1"/>
  <c r="A264" i="6"/>
  <c r="I264" i="6" s="1"/>
  <c r="K267" i="7" s="1"/>
  <c r="M267" i="7"/>
  <c r="A219" i="6"/>
  <c r="A222" i="7" s="1"/>
  <c r="M222" i="7"/>
  <c r="I208" i="6"/>
  <c r="K211" i="7" s="1"/>
  <c r="A211" i="7"/>
  <c r="F208" i="6"/>
  <c r="H211" i="7" s="1"/>
  <c r="I204" i="6"/>
  <c r="K207" i="7" s="1"/>
  <c r="A207" i="7"/>
  <c r="D204" i="6"/>
  <c r="F207" i="7" s="1"/>
  <c r="AG204" i="6"/>
  <c r="G154" i="6"/>
  <c r="I157" i="7" s="1"/>
  <c r="A157" i="7"/>
  <c r="I154" i="6"/>
  <c r="K157" i="7" s="1"/>
  <c r="A147" i="7"/>
  <c r="I144" i="6"/>
  <c r="K147" i="7" s="1"/>
  <c r="A141" i="6"/>
  <c r="I141" i="6" s="1"/>
  <c r="K144" i="7" s="1"/>
  <c r="M144" i="7"/>
  <c r="A87" i="6"/>
  <c r="A90" i="7" s="1"/>
  <c r="M90" i="7"/>
  <c r="G81" i="6"/>
  <c r="I84" i="7" s="1"/>
  <c r="AK84" i="7" s="1"/>
  <c r="I81" i="6"/>
  <c r="K84" i="7" s="1"/>
  <c r="AP18" i="5"/>
  <c r="AO122" i="5"/>
  <c r="AQ122" i="5" s="1"/>
  <c r="AO206" i="5"/>
  <c r="AQ206" i="5" s="1"/>
  <c r="AO305" i="5"/>
  <c r="AQ305" i="5" s="1"/>
  <c r="AO284" i="5"/>
  <c r="AQ284" i="5" s="1"/>
  <c r="AO91" i="5"/>
  <c r="AQ91" i="5" s="1"/>
  <c r="AO133" i="5"/>
  <c r="AQ133" i="5" s="1"/>
  <c r="AO52" i="5"/>
  <c r="AQ52" i="5" s="1"/>
  <c r="AS52" i="5" s="1"/>
  <c r="AT52" i="5" s="1"/>
  <c r="AO274" i="5"/>
  <c r="AQ274" i="5" s="1"/>
  <c r="AS274" i="5" s="1"/>
  <c r="AT274" i="5" s="1"/>
  <c r="AP54" i="5"/>
  <c r="AR54" i="5" s="1"/>
  <c r="AO66" i="5"/>
  <c r="AQ66" i="5" s="1"/>
  <c r="AP276" i="5"/>
  <c r="AR276" i="5" s="1"/>
  <c r="AO33" i="5"/>
  <c r="AQ33" i="5" s="1"/>
  <c r="AO245" i="5"/>
  <c r="AQ245" i="5" s="1"/>
  <c r="AS245" i="5" s="1"/>
  <c r="AT245" i="5" s="1"/>
  <c r="AP240" i="5"/>
  <c r="AR240" i="5" s="1"/>
  <c r="AP220" i="5"/>
  <c r="AR220" i="5" s="1"/>
  <c r="AP166" i="5"/>
  <c r="AR166" i="5" s="1"/>
  <c r="AS166" i="5" s="1"/>
  <c r="AT166" i="5" s="1"/>
  <c r="AO238" i="5"/>
  <c r="AQ238" i="5" s="1"/>
  <c r="AP17" i="5"/>
  <c r="BC75" i="5"/>
  <c r="BG75" i="5" s="1"/>
  <c r="AW17" i="5"/>
  <c r="BA17" i="5" s="1"/>
  <c r="AL33" i="5"/>
  <c r="AW84" i="5"/>
  <c r="AO102" i="5"/>
  <c r="AQ102" i="5" s="1"/>
  <c r="AL20" i="5"/>
  <c r="BC67" i="5"/>
  <c r="BC54" i="5"/>
  <c r="AW87" i="5"/>
  <c r="BA87" i="5" s="1"/>
  <c r="BC169" i="5"/>
  <c r="AL235" i="5"/>
  <c r="AW267" i="5"/>
  <c r="BA267" i="5" s="1"/>
  <c r="AW310" i="5"/>
  <c r="BC232" i="5"/>
  <c r="BC262" i="5"/>
  <c r="AW210" i="5"/>
  <c r="BA210" i="5" s="1"/>
  <c r="AW176" i="5"/>
  <c r="AW293" i="5"/>
  <c r="BA293" i="5" s="1"/>
  <c r="AW297" i="5"/>
  <c r="AL304" i="5"/>
  <c r="AL310" i="5"/>
  <c r="AW271" i="5"/>
  <c r="BA271" i="5" s="1"/>
  <c r="AL300" i="5"/>
  <c r="AO146" i="5"/>
  <c r="AQ146" i="5" s="1"/>
  <c r="AS146" i="5" s="1"/>
  <c r="AT146" i="5" s="1"/>
  <c r="BC300" i="5"/>
  <c r="AL278" i="5"/>
  <c r="BC149" i="5"/>
  <c r="AL194" i="5"/>
  <c r="BC144" i="5"/>
  <c r="A275" i="7"/>
  <c r="Q272" i="6"/>
  <c r="A253" i="7"/>
  <c r="G250" i="6"/>
  <c r="I253" i="7" s="1"/>
  <c r="Q249" i="6"/>
  <c r="I249" i="6"/>
  <c r="K252" i="7" s="1"/>
  <c r="A178" i="7"/>
  <c r="Q175" i="6"/>
  <c r="T175" i="6"/>
  <c r="A131" i="7"/>
  <c r="G128" i="6"/>
  <c r="I131" i="7" s="1"/>
  <c r="AK131" i="7" s="1"/>
  <c r="Q128" i="6"/>
  <c r="H128" i="6"/>
  <c r="J131" i="7" s="1"/>
  <c r="I84" i="6"/>
  <c r="K87" i="7" s="1"/>
  <c r="G84" i="6"/>
  <c r="I87" i="7" s="1"/>
  <c r="AJ87" i="7" s="1"/>
  <c r="A56" i="7"/>
  <c r="I53" i="6"/>
  <c r="K56" i="7" s="1"/>
  <c r="G37" i="6"/>
  <c r="I40" i="7" s="1"/>
  <c r="I37" i="6"/>
  <c r="K40" i="7" s="1"/>
  <c r="Q37" i="6"/>
  <c r="AO145" i="5"/>
  <c r="AQ145" i="5" s="1"/>
  <c r="AP213" i="5"/>
  <c r="AR213" i="5" s="1"/>
  <c r="AW81" i="5"/>
  <c r="BA81" i="5" s="1"/>
  <c r="AW33" i="5"/>
  <c r="AW75" i="5"/>
  <c r="BA75" i="5" s="1"/>
  <c r="AL30" i="5"/>
  <c r="AW46" i="5"/>
  <c r="BA46" i="5" s="1"/>
  <c r="AL50" i="5"/>
  <c r="BC102" i="5"/>
  <c r="BC108" i="5"/>
  <c r="AL83" i="5"/>
  <c r="BC17" i="5"/>
  <c r="BC81" i="5"/>
  <c r="AL62" i="5"/>
  <c r="AL25" i="5"/>
  <c r="AO120" i="5"/>
  <c r="AQ120" i="5" s="1"/>
  <c r="AW190" i="5"/>
  <c r="AO169" i="5"/>
  <c r="AQ169" i="5" s="1"/>
  <c r="AO258" i="5"/>
  <c r="AQ258" i="5" s="1"/>
  <c r="BC143" i="5"/>
  <c r="AW130" i="5"/>
  <c r="BA130" i="5" s="1"/>
  <c r="AW157" i="5"/>
  <c r="BA157" i="5" s="1"/>
  <c r="AL169" i="5"/>
  <c r="AL214" i="5"/>
  <c r="AU214" i="5" s="1"/>
  <c r="AC214" i="5" s="1"/>
  <c r="AL160" i="5"/>
  <c r="AW299" i="5"/>
  <c r="AL242" i="5"/>
  <c r="AL254" i="5"/>
  <c r="AW136" i="5"/>
  <c r="BA136" i="5" s="1"/>
  <c r="AW218" i="5"/>
  <c r="BA218" i="5" s="1"/>
  <c r="AW45" i="5"/>
  <c r="Q265" i="6"/>
  <c r="I265" i="6"/>
  <c r="K268" i="7" s="1"/>
  <c r="I88" i="6"/>
  <c r="K91" i="7" s="1"/>
  <c r="G88" i="6"/>
  <c r="I91" i="7" s="1"/>
  <c r="AJ91" i="7" s="1"/>
  <c r="A82" i="7"/>
  <c r="I79" i="6"/>
  <c r="K82" i="7" s="1"/>
  <c r="A73" i="7"/>
  <c r="Q70" i="6"/>
  <c r="G64" i="6"/>
  <c r="I67" i="7" s="1"/>
  <c r="T64" i="6"/>
  <c r="I64" i="6"/>
  <c r="K67" i="7" s="1"/>
  <c r="AE197" i="5"/>
  <c r="AD197" i="5"/>
  <c r="AG233" i="5"/>
  <c r="AI233" i="5" s="1"/>
  <c r="AJ233" i="5" s="1"/>
  <c r="AD233" i="5"/>
  <c r="AG86" i="5"/>
  <c r="AI86" i="5" s="1"/>
  <c r="AJ86" i="5" s="1"/>
  <c r="AF230" i="5"/>
  <c r="AF224" i="5"/>
  <c r="AF103" i="5"/>
  <c r="AE111" i="5"/>
  <c r="AG111" i="5"/>
  <c r="AI111" i="5" s="1"/>
  <c r="AJ111" i="5" s="1"/>
  <c r="AD100" i="5"/>
  <c r="AF100" i="5"/>
  <c r="AE289" i="5"/>
  <c r="AD289" i="5"/>
  <c r="AG289" i="5"/>
  <c r="AI289" i="5" s="1"/>
  <c r="AJ289" i="5" s="1"/>
  <c r="AF289" i="5"/>
  <c r="AF215" i="5"/>
  <c r="AE215" i="5"/>
  <c r="AD215" i="5"/>
  <c r="AD124" i="5"/>
  <c r="AE246" i="5"/>
  <c r="AF246" i="5"/>
  <c r="AD246" i="5"/>
  <c r="AE96" i="5"/>
  <c r="AD96" i="5"/>
  <c r="AG96" i="5"/>
  <c r="AI96" i="5" s="1"/>
  <c r="AJ96" i="5" s="1"/>
  <c r="BJ165" i="7"/>
  <c r="BC165" i="7"/>
  <c r="BB165" i="7"/>
  <c r="BA124" i="5"/>
  <c r="BA194" i="5"/>
  <c r="BA257" i="5"/>
  <c r="AP264" i="5"/>
  <c r="AR264" i="5" s="1"/>
  <c r="AO264" i="5"/>
  <c r="AQ264" i="5" s="1"/>
  <c r="AO47" i="5"/>
  <c r="AQ47" i="5" s="1"/>
  <c r="AP47" i="5"/>
  <c r="AR47" i="5" s="1"/>
  <c r="W76" i="2"/>
  <c r="BA143" i="5"/>
  <c r="BA262" i="5"/>
  <c r="BA232" i="5"/>
  <c r="BA298" i="5"/>
  <c r="BC22" i="5"/>
  <c r="AL22" i="5"/>
  <c r="AP239" i="5"/>
  <c r="AR239" i="5" s="1"/>
  <c r="AO239" i="5"/>
  <c r="AQ239" i="5" s="1"/>
  <c r="AO152" i="5"/>
  <c r="AQ152" i="5" s="1"/>
  <c r="AP152" i="5"/>
  <c r="AR152" i="5" s="1"/>
  <c r="AP308" i="5"/>
  <c r="AR308" i="5" s="1"/>
  <c r="AO308" i="5"/>
  <c r="AQ308" i="5" s="1"/>
  <c r="AP189" i="5"/>
  <c r="AR189" i="5" s="1"/>
  <c r="AO189" i="5"/>
  <c r="AQ189" i="5" s="1"/>
  <c r="AP243" i="5"/>
  <c r="AR243" i="5" s="1"/>
  <c r="AO243" i="5"/>
  <c r="AQ243" i="5" s="1"/>
  <c r="AO311" i="5"/>
  <c r="AQ311" i="5" s="1"/>
  <c r="AP311" i="5"/>
  <c r="AR311" i="5" s="1"/>
  <c r="AO286" i="5"/>
  <c r="AQ286" i="5" s="1"/>
  <c r="AP286" i="5"/>
  <c r="AR286" i="5" s="1"/>
  <c r="AO106" i="5"/>
  <c r="AQ106" i="5" s="1"/>
  <c r="AP106" i="5"/>
  <c r="AR106" i="5" s="1"/>
  <c r="BA212" i="5"/>
  <c r="BD35" i="5"/>
  <c r="AX35" i="5"/>
  <c r="BA203" i="5"/>
  <c r="AO192" i="5"/>
  <c r="AQ192" i="5" s="1"/>
  <c r="AP192" i="5"/>
  <c r="AR192" i="5" s="1"/>
  <c r="AO48" i="5"/>
  <c r="AQ48" i="5" s="1"/>
  <c r="AP48" i="5"/>
  <c r="AR48" i="5" s="1"/>
  <c r="AP34" i="5"/>
  <c r="AR34" i="5" s="1"/>
  <c r="AO34" i="5"/>
  <c r="AQ34" i="5" s="1"/>
  <c r="BA198" i="5"/>
  <c r="AU21" i="7"/>
  <c r="AU42" i="7"/>
  <c r="AU56" i="7"/>
  <c r="AU51" i="7"/>
  <c r="AU138" i="7"/>
  <c r="AU30" i="7"/>
  <c r="AU74" i="7"/>
  <c r="AO288" i="5"/>
  <c r="AQ288" i="5" s="1"/>
  <c r="AP288" i="5"/>
  <c r="AR288" i="5" s="1"/>
  <c r="AP142" i="5"/>
  <c r="AR142" i="5" s="1"/>
  <c r="AO142" i="5"/>
  <c r="AQ142" i="5" s="1"/>
  <c r="AO266" i="5"/>
  <c r="AQ266" i="5" s="1"/>
  <c r="AP82" i="5"/>
  <c r="AR82" i="5" s="1"/>
  <c r="AO82" i="5"/>
  <c r="AQ82" i="5" s="1"/>
  <c r="AK280" i="7"/>
  <c r="AJ280" i="7"/>
  <c r="AO254" i="5"/>
  <c r="AQ254" i="5" s="1"/>
  <c r="BD293" i="5"/>
  <c r="AL293" i="5"/>
  <c r="BC293" i="5"/>
  <c r="BD281" i="5"/>
  <c r="BC281" i="5"/>
  <c r="AW281" i="5"/>
  <c r="AL281" i="5"/>
  <c r="BD274" i="5"/>
  <c r="BE274" i="5" s="1"/>
  <c r="BF274" i="5" s="1"/>
  <c r="AL274" i="5"/>
  <c r="BC274" i="5"/>
  <c r="BD257" i="5"/>
  <c r="BC257" i="5"/>
  <c r="AL257" i="5"/>
  <c r="BD253" i="5"/>
  <c r="BE253" i="5" s="1"/>
  <c r="BF253" i="5" s="1"/>
  <c r="BG253" i="5" s="1"/>
  <c r="AL253" i="5"/>
  <c r="AU253" i="5" s="1"/>
  <c r="AC253" i="5" s="1"/>
  <c r="AW245" i="5"/>
  <c r="BA245" i="5" s="1"/>
  <c r="BD245" i="5"/>
  <c r="BE245" i="5" s="1"/>
  <c r="BF245" i="5" s="1"/>
  <c r="BC245" i="5"/>
  <c r="AL245" i="5"/>
  <c r="AU245" i="5" s="1"/>
  <c r="AC245" i="5" s="1"/>
  <c r="BD241" i="5"/>
  <c r="AL241" i="5"/>
  <c r="AL238" i="5"/>
  <c r="BC238" i="5"/>
  <c r="BD234" i="5"/>
  <c r="BE234" i="5" s="1"/>
  <c r="BF234" i="5" s="1"/>
  <c r="AW234" i="5"/>
  <c r="BA234" i="5" s="1"/>
  <c r="BC234" i="5"/>
  <c r="AL234" i="5"/>
  <c r="BD230" i="5"/>
  <c r="BE230" i="5" s="1"/>
  <c r="BF230" i="5" s="1"/>
  <c r="AW230" i="5"/>
  <c r="BA230" i="5" s="1"/>
  <c r="BC230" i="5"/>
  <c r="AW226" i="5"/>
  <c r="BA226" i="5" s="1"/>
  <c r="AL226" i="5"/>
  <c r="BC226" i="5"/>
  <c r="BD217" i="5"/>
  <c r="BC217" i="5"/>
  <c r="AL217" i="5"/>
  <c r="BD207" i="5"/>
  <c r="AW207" i="5"/>
  <c r="BC207" i="5"/>
  <c r="BD199" i="5"/>
  <c r="BE199" i="5" s="1"/>
  <c r="BF199" i="5" s="1"/>
  <c r="AW199" i="5"/>
  <c r="BA199" i="5" s="1"/>
  <c r="BC199" i="5"/>
  <c r="AL199" i="5"/>
  <c r="AL193" i="5"/>
  <c r="AU193" i="5" s="1"/>
  <c r="AC193" i="5" s="1"/>
  <c r="AW193" i="5"/>
  <c r="BC193" i="5"/>
  <c r="BD193" i="5"/>
  <c r="BE193" i="5" s="1"/>
  <c r="BF193" i="5" s="1"/>
  <c r="BD186" i="5"/>
  <c r="BE186" i="5" s="1"/>
  <c r="BF186" i="5" s="1"/>
  <c r="BC186" i="5"/>
  <c r="AL186" i="5"/>
  <c r="AU186" i="5" s="1"/>
  <c r="AC186" i="5" s="1"/>
  <c r="BD171" i="5"/>
  <c r="AL171" i="5"/>
  <c r="AW171" i="5"/>
  <c r="BC171" i="5"/>
  <c r="BD166" i="5"/>
  <c r="AW166" i="5"/>
  <c r="BA166" i="5" s="1"/>
  <c r="BC166" i="5"/>
  <c r="BD151" i="5"/>
  <c r="AW151" i="5"/>
  <c r="BA151" i="5" s="1"/>
  <c r="AL151" i="5"/>
  <c r="BD146" i="5"/>
  <c r="AW146" i="5"/>
  <c r="BA146" i="5" s="1"/>
  <c r="AL146" i="5"/>
  <c r="BC146" i="5"/>
  <c r="BD132" i="5"/>
  <c r="AL132" i="5"/>
  <c r="BC132" i="5"/>
  <c r="BD126" i="5"/>
  <c r="BE126" i="5" s="1"/>
  <c r="BF126" i="5" s="1"/>
  <c r="AL126" i="5"/>
  <c r="BC126" i="5"/>
  <c r="BC114" i="5"/>
  <c r="AL114" i="5"/>
  <c r="AU114" i="5" s="1"/>
  <c r="AC114" i="5" s="1"/>
  <c r="BD114" i="5"/>
  <c r="BD104" i="5"/>
  <c r="AW104" i="5"/>
  <c r="BA104" i="5" s="1"/>
  <c r="BD95" i="5"/>
  <c r="BE95" i="5" s="1"/>
  <c r="BF95" i="5" s="1"/>
  <c r="AW95" i="5"/>
  <c r="BA95" i="5" s="1"/>
  <c r="BC95" i="5"/>
  <c r="AL95" i="5"/>
  <c r="AU95" i="5" s="1"/>
  <c r="AC95" i="5" s="1"/>
  <c r="BD87" i="5"/>
  <c r="BE87" i="5" s="1"/>
  <c r="BF87" i="5" s="1"/>
  <c r="BG87" i="5" s="1"/>
  <c r="AL87" i="5"/>
  <c r="AU87" i="5" s="1"/>
  <c r="AC87" i="5" s="1"/>
  <c r="BD79" i="5"/>
  <c r="BC79" i="5"/>
  <c r="BD74" i="5"/>
  <c r="BE74" i="5" s="1"/>
  <c r="BF74" i="5" s="1"/>
  <c r="AW74" i="5"/>
  <c r="BA74" i="5" s="1"/>
  <c r="BC74" i="5"/>
  <c r="BD65" i="5"/>
  <c r="AL65" i="5"/>
  <c r="AW65" i="5"/>
  <c r="BA65" i="5" s="1"/>
  <c r="BC65" i="5"/>
  <c r="BD56" i="5"/>
  <c r="BC56" i="5"/>
  <c r="BD52" i="5"/>
  <c r="BC52" i="5"/>
  <c r="AW52" i="5"/>
  <c r="BA52" i="5" s="1"/>
  <c r="AL52" i="5"/>
  <c r="BD42" i="5"/>
  <c r="BC42" i="5"/>
  <c r="AW38" i="5"/>
  <c r="BA38" i="5" s="1"/>
  <c r="BD38" i="5"/>
  <c r="BE38" i="5" s="1"/>
  <c r="BF38" i="5" s="1"/>
  <c r="BC38" i="5"/>
  <c r="AL29" i="5"/>
  <c r="BD29" i="5"/>
  <c r="AW29" i="5"/>
  <c r="BA29" i="5" s="1"/>
  <c r="AP68" i="5"/>
  <c r="AR68" i="5" s="1"/>
  <c r="AO132" i="5"/>
  <c r="AQ132" i="5" s="1"/>
  <c r="AO85" i="5"/>
  <c r="AQ85" i="5" s="1"/>
  <c r="AP66" i="5"/>
  <c r="AR66" i="5" s="1"/>
  <c r="AW42" i="5"/>
  <c r="AL42" i="5"/>
  <c r="AW214" i="5"/>
  <c r="BD228" i="5"/>
  <c r="BC228" i="5"/>
  <c r="BD191" i="5"/>
  <c r="AW191" i="5"/>
  <c r="BA191" i="5" s="1"/>
  <c r="T310" i="6"/>
  <c r="Q310" i="6"/>
  <c r="A313" i="7"/>
  <c r="G304" i="6"/>
  <c r="I307" i="7" s="1"/>
  <c r="G300" i="6"/>
  <c r="I303" i="7" s="1"/>
  <c r="G296" i="6"/>
  <c r="I299" i="7" s="1"/>
  <c r="T184" i="6"/>
  <c r="Q184" i="6"/>
  <c r="G184" i="6"/>
  <c r="I187" i="7" s="1"/>
  <c r="A187" i="7"/>
  <c r="I184" i="6"/>
  <c r="K187" i="7" s="1"/>
  <c r="AO219" i="5"/>
  <c r="AQ219" i="5" s="1"/>
  <c r="AP219" i="5"/>
  <c r="AR219" i="5" s="1"/>
  <c r="AL104" i="5"/>
  <c r="AL74" i="5"/>
  <c r="AW126" i="5"/>
  <c r="BA126" i="5" s="1"/>
  <c r="BC214" i="5"/>
  <c r="BC137" i="5"/>
  <c r="AW137" i="5"/>
  <c r="BC66" i="5"/>
  <c r="BD66" i="5"/>
  <c r="N299" i="5"/>
  <c r="O299" i="5" s="1"/>
  <c r="Q299" i="5" s="1"/>
  <c r="S299" i="5" s="1"/>
  <c r="N243" i="5"/>
  <c r="O243" i="5" s="1"/>
  <c r="Q243" i="5" s="1"/>
  <c r="S243" i="5" s="1"/>
  <c r="N231" i="5"/>
  <c r="O231" i="5" s="1"/>
  <c r="Q231" i="5" s="1"/>
  <c r="N227" i="5"/>
  <c r="O227" i="5" s="1"/>
  <c r="Q227" i="5" s="1"/>
  <c r="N219" i="5"/>
  <c r="O219" i="5" s="1"/>
  <c r="Q219" i="5" s="1"/>
  <c r="T219" i="5" s="1"/>
  <c r="N215" i="5"/>
  <c r="O215" i="5" s="1"/>
  <c r="Q215" i="5" s="1"/>
  <c r="N211" i="5"/>
  <c r="O211" i="5" s="1"/>
  <c r="Q211" i="5" s="1"/>
  <c r="U211" i="5" s="1"/>
  <c r="N199" i="5"/>
  <c r="O199" i="5" s="1"/>
  <c r="Q199" i="5" s="1"/>
  <c r="N195" i="5"/>
  <c r="O195" i="5" s="1"/>
  <c r="Q195" i="5" s="1"/>
  <c r="T195" i="5" s="1"/>
  <c r="N187" i="5"/>
  <c r="O187" i="5" s="1"/>
  <c r="Q187" i="5" s="1"/>
  <c r="T187" i="5" s="1"/>
  <c r="N183" i="5"/>
  <c r="O183" i="5" s="1"/>
  <c r="Q183" i="5" s="1"/>
  <c r="N179" i="5"/>
  <c r="O179" i="5" s="1"/>
  <c r="Q179" i="5" s="1"/>
  <c r="T179" i="5" s="1"/>
  <c r="N167" i="5"/>
  <c r="O167" i="5" s="1"/>
  <c r="Q167" i="5" s="1"/>
  <c r="T167" i="5" s="1"/>
  <c r="N163" i="5"/>
  <c r="O163" i="5" s="1"/>
  <c r="Q163" i="5" s="1"/>
  <c r="T163" i="5" s="1"/>
  <c r="N155" i="5"/>
  <c r="O155" i="5" s="1"/>
  <c r="Q155" i="5" s="1"/>
  <c r="N151" i="5"/>
  <c r="O151" i="5" s="1"/>
  <c r="Q151" i="5" s="1"/>
  <c r="T151" i="5" s="1"/>
  <c r="N147" i="5"/>
  <c r="O147" i="5" s="1"/>
  <c r="Q147" i="5" s="1"/>
  <c r="S147" i="5" s="1"/>
  <c r="N143" i="5"/>
  <c r="O143" i="5" s="1"/>
  <c r="Q143" i="5" s="1"/>
  <c r="U143" i="5" s="1"/>
  <c r="N139" i="5"/>
  <c r="O139" i="5" s="1"/>
  <c r="Q139" i="5" s="1"/>
  <c r="T139" i="5" s="1"/>
  <c r="N135" i="5"/>
  <c r="O135" i="5" s="1"/>
  <c r="Q135" i="5" s="1"/>
  <c r="N131" i="5"/>
  <c r="O131" i="5" s="1"/>
  <c r="Q131" i="5" s="1"/>
  <c r="T131" i="5" s="1"/>
  <c r="N127" i="5"/>
  <c r="O127" i="5" s="1"/>
  <c r="Q127" i="5" s="1"/>
  <c r="T127" i="5" s="1"/>
  <c r="N123" i="5"/>
  <c r="O123" i="5" s="1"/>
  <c r="Q123" i="5" s="1"/>
  <c r="N119" i="5"/>
  <c r="O119" i="5" s="1"/>
  <c r="Q119" i="5" s="1"/>
  <c r="T119" i="5" s="1"/>
  <c r="N115" i="5"/>
  <c r="O115" i="5" s="1"/>
  <c r="Q115" i="5" s="1"/>
  <c r="S115" i="5" s="1"/>
  <c r="N111" i="5"/>
  <c r="O111" i="5" s="1"/>
  <c r="Q111" i="5" s="1"/>
  <c r="S111" i="5" s="1"/>
  <c r="N107" i="5"/>
  <c r="O107" i="5" s="1"/>
  <c r="Q107" i="5" s="1"/>
  <c r="T107" i="5" s="1"/>
  <c r="N103" i="5"/>
  <c r="O103" i="5" s="1"/>
  <c r="Q103" i="5" s="1"/>
  <c r="U103" i="5" s="1"/>
  <c r="N99" i="5"/>
  <c r="O99" i="5" s="1"/>
  <c r="Q99" i="5" s="1"/>
  <c r="T99" i="5" s="1"/>
  <c r="N95" i="5"/>
  <c r="O95" i="5" s="1"/>
  <c r="Q95" i="5" s="1"/>
  <c r="U95" i="5" s="1"/>
  <c r="N91" i="5"/>
  <c r="O91" i="5" s="1"/>
  <c r="Q91" i="5" s="1"/>
  <c r="U91" i="5" s="1"/>
  <c r="N87" i="5"/>
  <c r="O87" i="5" s="1"/>
  <c r="Q87" i="5" s="1"/>
  <c r="N83" i="5"/>
  <c r="O83" i="5" s="1"/>
  <c r="Q83" i="5" s="1"/>
  <c r="N79" i="5"/>
  <c r="O79" i="5" s="1"/>
  <c r="Q79" i="5" s="1"/>
  <c r="N75" i="5"/>
  <c r="O75" i="5" s="1"/>
  <c r="Q75" i="5" s="1"/>
  <c r="S75" i="5" s="1"/>
  <c r="N71" i="5"/>
  <c r="O71" i="5" s="1"/>
  <c r="Q71" i="5" s="1"/>
  <c r="U71" i="5" s="1"/>
  <c r="N67" i="5"/>
  <c r="O67" i="5" s="1"/>
  <c r="Q67" i="5" s="1"/>
  <c r="T67" i="5" s="1"/>
  <c r="N63" i="5"/>
  <c r="O63" i="5" s="1"/>
  <c r="Q63" i="5" s="1"/>
  <c r="S63" i="5" s="1"/>
  <c r="N59" i="5"/>
  <c r="O59" i="5" s="1"/>
  <c r="Q59" i="5" s="1"/>
  <c r="T59" i="5" s="1"/>
  <c r="N55" i="5"/>
  <c r="O55" i="5" s="1"/>
  <c r="Q55" i="5" s="1"/>
  <c r="N51" i="5"/>
  <c r="O51" i="5" s="1"/>
  <c r="Q51" i="5" s="1"/>
  <c r="S51" i="5" s="1"/>
  <c r="N47" i="5"/>
  <c r="O47" i="5" s="1"/>
  <c r="Q47" i="5" s="1"/>
  <c r="U47" i="5" s="1"/>
  <c r="N43" i="5"/>
  <c r="O43" i="5" s="1"/>
  <c r="Q43" i="5" s="1"/>
  <c r="T43" i="5" s="1"/>
  <c r="N39" i="5"/>
  <c r="O39" i="5" s="1"/>
  <c r="Q39" i="5" s="1"/>
  <c r="N31" i="5"/>
  <c r="O31" i="5" s="1"/>
  <c r="Q31" i="5" s="1"/>
  <c r="N27" i="5"/>
  <c r="O27" i="5" s="1"/>
  <c r="Q27" i="5" s="1"/>
  <c r="T27" i="5" s="1"/>
  <c r="N26" i="5"/>
  <c r="O26" i="5" s="1"/>
  <c r="Q26" i="5" s="1"/>
  <c r="S26" i="5" s="1"/>
  <c r="T25" i="6"/>
  <c r="Q25" i="6"/>
  <c r="A28" i="7"/>
  <c r="N18" i="5"/>
  <c r="O18" i="5" s="1"/>
  <c r="N17" i="5"/>
  <c r="O17" i="5" s="1"/>
  <c r="J13" i="1" s="1"/>
  <c r="P17" i="5" s="1"/>
  <c r="I13" i="1" s="1"/>
  <c r="N13" i="5"/>
  <c r="O13" i="5" s="1"/>
  <c r="Q13" i="5" s="1"/>
  <c r="S13" i="5" s="1"/>
  <c r="A280" i="7"/>
  <c r="I277" i="6"/>
  <c r="K280" i="7" s="1"/>
  <c r="T277" i="6"/>
  <c r="Q277" i="6"/>
  <c r="N23" i="5"/>
  <c r="O23" i="5" s="1"/>
  <c r="Q23" i="5" s="1"/>
  <c r="S23" i="5" s="1"/>
  <c r="N12" i="5"/>
  <c r="O12" i="5" s="1"/>
  <c r="T304" i="6"/>
  <c r="Q304" i="6"/>
  <c r="A307" i="7"/>
  <c r="T300" i="6"/>
  <c r="Q300" i="6"/>
  <c r="A303" i="7"/>
  <c r="T296" i="6"/>
  <c r="Q296" i="6"/>
  <c r="A299" i="7"/>
  <c r="A168" i="7"/>
  <c r="I165" i="6"/>
  <c r="K168" i="7" s="1"/>
  <c r="T165" i="6"/>
  <c r="G165" i="6"/>
  <c r="I168" i="7" s="1"/>
  <c r="Q165" i="6"/>
  <c r="AO105" i="5"/>
  <c r="AQ105" i="5" s="1"/>
  <c r="AW186" i="5"/>
  <c r="AW238" i="5"/>
  <c r="BA238" i="5" s="1"/>
  <c r="AW132" i="5"/>
  <c r="BA132" i="5" s="1"/>
  <c r="BC241" i="5"/>
  <c r="BD103" i="5"/>
  <c r="AW103" i="5"/>
  <c r="BA103" i="5" s="1"/>
  <c r="N309" i="5"/>
  <c r="O309" i="5" s="1"/>
  <c r="Q309" i="5" s="1"/>
  <c r="N305" i="5"/>
  <c r="O305" i="5" s="1"/>
  <c r="Q305" i="5" s="1"/>
  <c r="N301" i="5"/>
  <c r="O301" i="5" s="1"/>
  <c r="Q301" i="5" s="1"/>
  <c r="U301" i="5" s="1"/>
  <c r="N297" i="5"/>
  <c r="O297" i="5" s="1"/>
  <c r="Q297" i="5" s="1"/>
  <c r="S297" i="5" s="1"/>
  <c r="N293" i="5"/>
  <c r="O293" i="5" s="1"/>
  <c r="Q293" i="5" s="1"/>
  <c r="N289" i="5"/>
  <c r="O289" i="5" s="1"/>
  <c r="Q289" i="5" s="1"/>
  <c r="U289" i="5" s="1"/>
  <c r="N285" i="5"/>
  <c r="O285" i="5" s="1"/>
  <c r="Q285" i="5" s="1"/>
  <c r="N281" i="5"/>
  <c r="O281" i="5" s="1"/>
  <c r="Q281" i="5" s="1"/>
  <c r="U281" i="5" s="1"/>
  <c r="N277" i="5"/>
  <c r="O277" i="5" s="1"/>
  <c r="Q277" i="5" s="1"/>
  <c r="N273" i="5"/>
  <c r="O273" i="5" s="1"/>
  <c r="Q273" i="5" s="1"/>
  <c r="N269" i="5"/>
  <c r="O269" i="5" s="1"/>
  <c r="Q269" i="5" s="1"/>
  <c r="T269" i="5" s="1"/>
  <c r="N265" i="5"/>
  <c r="O265" i="5" s="1"/>
  <c r="Q265" i="5" s="1"/>
  <c r="T265" i="5" s="1"/>
  <c r="N261" i="5"/>
  <c r="O261" i="5" s="1"/>
  <c r="Q261" i="5" s="1"/>
  <c r="N257" i="5"/>
  <c r="O257" i="5" s="1"/>
  <c r="Q257" i="5" s="1"/>
  <c r="U257" i="5" s="1"/>
  <c r="N253" i="5"/>
  <c r="O253" i="5" s="1"/>
  <c r="Q253" i="5" s="1"/>
  <c r="S253" i="5" s="1"/>
  <c r="N249" i="5"/>
  <c r="O249" i="5" s="1"/>
  <c r="Q249" i="5" s="1"/>
  <c r="T249" i="5" s="1"/>
  <c r="N245" i="5"/>
  <c r="O245" i="5" s="1"/>
  <c r="Q245" i="5" s="1"/>
  <c r="N241" i="5"/>
  <c r="O241" i="5" s="1"/>
  <c r="Q241" i="5" s="1"/>
  <c r="T241" i="5" s="1"/>
  <c r="N229" i="5"/>
  <c r="O229" i="5" s="1"/>
  <c r="Q229" i="5" s="1"/>
  <c r="U229" i="5" s="1"/>
  <c r="N225" i="5"/>
  <c r="O225" i="5" s="1"/>
  <c r="Q225" i="5" s="1"/>
  <c r="U225" i="5" s="1"/>
  <c r="N221" i="5"/>
  <c r="O221" i="5" s="1"/>
  <c r="Q221" i="5" s="1"/>
  <c r="S221" i="5" s="1"/>
  <c r="N213" i="5"/>
  <c r="O213" i="5" s="1"/>
  <c r="Q213" i="5" s="1"/>
  <c r="N209" i="5"/>
  <c r="O209" i="5" s="1"/>
  <c r="Q209" i="5" s="1"/>
  <c r="U209" i="5" s="1"/>
  <c r="N197" i="5"/>
  <c r="O197" i="5" s="1"/>
  <c r="Q197" i="5" s="1"/>
  <c r="X197" i="5" s="1"/>
  <c r="N193" i="5"/>
  <c r="O193" i="5" s="1"/>
  <c r="Q193" i="5" s="1"/>
  <c r="U193" i="5" s="1"/>
  <c r="N181" i="5"/>
  <c r="O181" i="5" s="1"/>
  <c r="Q181" i="5" s="1"/>
  <c r="N177" i="5"/>
  <c r="O177" i="5" s="1"/>
  <c r="Q177" i="5" s="1"/>
  <c r="T177" i="5" s="1"/>
  <c r="N165" i="5"/>
  <c r="O165" i="5" s="1"/>
  <c r="Q165" i="5" s="1"/>
  <c r="N161" i="5"/>
  <c r="O161" i="5" s="1"/>
  <c r="Q161" i="5" s="1"/>
  <c r="N149" i="5"/>
  <c r="O149" i="5" s="1"/>
  <c r="Q149" i="5" s="1"/>
  <c r="N145" i="5"/>
  <c r="O145" i="5" s="1"/>
  <c r="Q145" i="5" s="1"/>
  <c r="T145" i="5" s="1"/>
  <c r="N133" i="5"/>
  <c r="O133" i="5" s="1"/>
  <c r="Q133" i="5" s="1"/>
  <c r="U133" i="5" s="1"/>
  <c r="N129" i="5"/>
  <c r="O129" i="5" s="1"/>
  <c r="Q129" i="5" s="1"/>
  <c r="S129" i="5" s="1"/>
  <c r="N117" i="5"/>
  <c r="O117" i="5" s="1"/>
  <c r="Q117" i="5" s="1"/>
  <c r="N113" i="5"/>
  <c r="O113" i="5" s="1"/>
  <c r="Q113" i="5" s="1"/>
  <c r="N101" i="5"/>
  <c r="O101" i="5" s="1"/>
  <c r="Q101" i="5" s="1"/>
  <c r="T101" i="5" s="1"/>
  <c r="N97" i="5"/>
  <c r="O97" i="5" s="1"/>
  <c r="Q97" i="5" s="1"/>
  <c r="T97" i="5" s="1"/>
  <c r="N89" i="5"/>
  <c r="O89" i="5" s="1"/>
  <c r="Q89" i="5" s="1"/>
  <c r="T89" i="5" s="1"/>
  <c r="N85" i="5"/>
  <c r="O85" i="5" s="1"/>
  <c r="Q85" i="5" s="1"/>
  <c r="N81" i="5"/>
  <c r="O81" i="5" s="1"/>
  <c r="Q81" i="5" s="1"/>
  <c r="N69" i="5"/>
  <c r="O69" i="5" s="1"/>
  <c r="Q69" i="5" s="1"/>
  <c r="S69" i="5" s="1"/>
  <c r="N65" i="5"/>
  <c r="O65" i="5" s="1"/>
  <c r="Q65" i="5" s="1"/>
  <c r="T65" i="5" s="1"/>
  <c r="N61" i="5"/>
  <c r="O61" i="5" s="1"/>
  <c r="Q61" i="5" s="1"/>
  <c r="T61" i="5" s="1"/>
  <c r="N53" i="5"/>
  <c r="O53" i="5" s="1"/>
  <c r="Q53" i="5" s="1"/>
  <c r="N49" i="5"/>
  <c r="O49" i="5" s="1"/>
  <c r="Q49" i="5" s="1"/>
  <c r="U49" i="5" s="1"/>
  <c r="N45" i="5"/>
  <c r="O45" i="5" s="1"/>
  <c r="Q45" i="5" s="1"/>
  <c r="N41" i="5"/>
  <c r="O41" i="5" s="1"/>
  <c r="Q41" i="5" s="1"/>
  <c r="T41" i="5" s="1"/>
  <c r="N37" i="5"/>
  <c r="O37" i="5" s="1"/>
  <c r="Q37" i="5" s="1"/>
  <c r="G25" i="6"/>
  <c r="I28" i="7" s="1"/>
  <c r="N21" i="5"/>
  <c r="O21" i="5" s="1"/>
  <c r="Q21" i="5" s="1"/>
  <c r="N19" i="5"/>
  <c r="O19" i="5" s="1"/>
  <c r="J15" i="1" s="1"/>
  <c r="P19" i="5" s="1"/>
  <c r="I15" i="1" s="1"/>
  <c r="A314" i="7"/>
  <c r="T311" i="6"/>
  <c r="Q311" i="6"/>
  <c r="A310" i="7"/>
  <c r="T307" i="6"/>
  <c r="Q307" i="6"/>
  <c r="A298" i="7"/>
  <c r="T295" i="6"/>
  <c r="Q295" i="6"/>
  <c r="N310" i="5"/>
  <c r="O310" i="5" s="1"/>
  <c r="Q310" i="5" s="1"/>
  <c r="S310" i="5" s="1"/>
  <c r="N306" i="5"/>
  <c r="O306" i="5" s="1"/>
  <c r="Q306" i="5" s="1"/>
  <c r="U306" i="5" s="1"/>
  <c r="N302" i="5"/>
  <c r="O302" i="5" s="1"/>
  <c r="Q302" i="5" s="1"/>
  <c r="T302" i="5" s="1"/>
  <c r="N294" i="5"/>
  <c r="O294" i="5" s="1"/>
  <c r="Q294" i="5" s="1"/>
  <c r="T294" i="5" s="1"/>
  <c r="N290" i="5"/>
  <c r="O290" i="5" s="1"/>
  <c r="Q290" i="5" s="1"/>
  <c r="N286" i="5"/>
  <c r="O286" i="5" s="1"/>
  <c r="Q286" i="5" s="1"/>
  <c r="S286" i="5" s="1"/>
  <c r="N282" i="5"/>
  <c r="O282" i="5" s="1"/>
  <c r="Q282" i="5" s="1"/>
  <c r="N278" i="5"/>
  <c r="O278" i="5" s="1"/>
  <c r="Q278" i="5" s="1"/>
  <c r="S278" i="5" s="1"/>
  <c r="N274" i="5"/>
  <c r="O274" i="5" s="1"/>
  <c r="Q274" i="5" s="1"/>
  <c r="S274" i="5" s="1"/>
  <c r="N270" i="5"/>
  <c r="O270" i="5" s="1"/>
  <c r="Q270" i="5" s="1"/>
  <c r="N266" i="5"/>
  <c r="O266" i="5" s="1"/>
  <c r="Q266" i="5" s="1"/>
  <c r="T266" i="5" s="1"/>
  <c r="N262" i="5"/>
  <c r="O262" i="5" s="1"/>
  <c r="Q262" i="5" s="1"/>
  <c r="S262" i="5" s="1"/>
  <c r="N258" i="5"/>
  <c r="O258" i="5" s="1"/>
  <c r="Q258" i="5" s="1"/>
  <c r="T258" i="5" s="1"/>
  <c r="N254" i="5"/>
  <c r="O254" i="5" s="1"/>
  <c r="Q254" i="5" s="1"/>
  <c r="U254" i="5" s="1"/>
  <c r="N250" i="5"/>
  <c r="O250" i="5" s="1"/>
  <c r="Q250" i="5" s="1"/>
  <c r="T250" i="5" s="1"/>
  <c r="N246" i="5"/>
  <c r="O246" i="5" s="1"/>
  <c r="Q246" i="5" s="1"/>
  <c r="X246" i="5" s="1"/>
  <c r="N242" i="5"/>
  <c r="O242" i="5" s="1"/>
  <c r="Q242" i="5" s="1"/>
  <c r="U242" i="5" s="1"/>
  <c r="N238" i="5"/>
  <c r="O238" i="5" s="1"/>
  <c r="Q238" i="5" s="1"/>
  <c r="S238" i="5" s="1"/>
  <c r="N230" i="5"/>
  <c r="O230" i="5" s="1"/>
  <c r="Q230" i="5" s="1"/>
  <c r="N226" i="5"/>
  <c r="O226" i="5" s="1"/>
  <c r="Q226" i="5" s="1"/>
  <c r="U226" i="5" s="1"/>
  <c r="N222" i="5"/>
  <c r="O222" i="5" s="1"/>
  <c r="Q222" i="5" s="1"/>
  <c r="T222" i="5" s="1"/>
  <c r="N210" i="5"/>
  <c r="O210" i="5" s="1"/>
  <c r="Q210" i="5" s="1"/>
  <c r="N206" i="5"/>
  <c r="O206" i="5" s="1"/>
  <c r="Q206" i="5" s="1"/>
  <c r="N198" i="5"/>
  <c r="O198" i="5" s="1"/>
  <c r="Q198" i="5" s="1"/>
  <c r="N194" i="5"/>
  <c r="O194" i="5" s="1"/>
  <c r="Q194" i="5" s="1"/>
  <c r="S194" i="5" s="1"/>
  <c r="N190" i="5"/>
  <c r="O190" i="5" s="1"/>
  <c r="Q190" i="5" s="1"/>
  <c r="T190" i="5" s="1"/>
  <c r="N178" i="5"/>
  <c r="O178" i="5" s="1"/>
  <c r="Q178" i="5" s="1"/>
  <c r="N174" i="5"/>
  <c r="O174" i="5" s="1"/>
  <c r="Q174" i="5" s="1"/>
  <c r="N166" i="5"/>
  <c r="O166" i="5" s="1"/>
  <c r="Q166" i="5" s="1"/>
  <c r="T166" i="5" s="1"/>
  <c r="N162" i="5"/>
  <c r="O162" i="5" s="1"/>
  <c r="Q162" i="5" s="1"/>
  <c r="T162" i="5" s="1"/>
  <c r="N158" i="5"/>
  <c r="O158" i="5" s="1"/>
  <c r="Q158" i="5" s="1"/>
  <c r="S158" i="5" s="1"/>
  <c r="N146" i="5"/>
  <c r="O146" i="5" s="1"/>
  <c r="Q146" i="5" s="1"/>
  <c r="S146" i="5" s="1"/>
  <c r="N142" i="5"/>
  <c r="O142" i="5" s="1"/>
  <c r="Q142" i="5" s="1"/>
  <c r="U142" i="5" s="1"/>
  <c r="N130" i="5"/>
  <c r="O130" i="5" s="1"/>
  <c r="Q130" i="5" s="1"/>
  <c r="T130" i="5" s="1"/>
  <c r="N126" i="5"/>
  <c r="O126" i="5" s="1"/>
  <c r="Q126" i="5" s="1"/>
  <c r="U126" i="5" s="1"/>
  <c r="N118" i="5"/>
  <c r="O118" i="5" s="1"/>
  <c r="Q118" i="5" s="1"/>
  <c r="T118" i="5" s="1"/>
  <c r="N114" i="5"/>
  <c r="O114" i="5" s="1"/>
  <c r="Q114" i="5" s="1"/>
  <c r="U114" i="5" s="1"/>
  <c r="N110" i="5"/>
  <c r="O110" i="5" s="1"/>
  <c r="Q110" i="5" s="1"/>
  <c r="N102" i="5"/>
  <c r="O102" i="5" s="1"/>
  <c r="Q102" i="5" s="1"/>
  <c r="U102" i="5" s="1"/>
  <c r="N98" i="5"/>
  <c r="O98" i="5" s="1"/>
  <c r="Q98" i="5" s="1"/>
  <c r="S98" i="5" s="1"/>
  <c r="N94" i="5"/>
  <c r="O94" i="5" s="1"/>
  <c r="Q94" i="5" s="1"/>
  <c r="U94" i="5" s="1"/>
  <c r="N86" i="5"/>
  <c r="O86" i="5" s="1"/>
  <c r="Q86" i="5" s="1"/>
  <c r="S86" i="5" s="1"/>
  <c r="N82" i="5"/>
  <c r="O82" i="5" s="1"/>
  <c r="Q82" i="5" s="1"/>
  <c r="T82" i="5" s="1"/>
  <c r="N78" i="5"/>
  <c r="O78" i="5" s="1"/>
  <c r="Q78" i="5" s="1"/>
  <c r="U78" i="5" s="1"/>
  <c r="N74" i="5"/>
  <c r="O74" i="5" s="1"/>
  <c r="Q74" i="5" s="1"/>
  <c r="U74" i="5" s="1"/>
  <c r="N66" i="5"/>
  <c r="O66" i="5" s="1"/>
  <c r="Q66" i="5" s="1"/>
  <c r="U66" i="5" s="1"/>
  <c r="N62" i="5"/>
  <c r="O62" i="5" s="1"/>
  <c r="Q62" i="5" s="1"/>
  <c r="U62" i="5" s="1"/>
  <c r="N58" i="5"/>
  <c r="O58" i="5" s="1"/>
  <c r="Q58" i="5" s="1"/>
  <c r="N54" i="5"/>
  <c r="O54" i="5" s="1"/>
  <c r="Q54" i="5" s="1"/>
  <c r="U54" i="5" s="1"/>
  <c r="N50" i="5"/>
  <c r="O50" i="5" s="1"/>
  <c r="Q50" i="5" s="1"/>
  <c r="U50" i="5" s="1"/>
  <c r="N46" i="5"/>
  <c r="O46" i="5" s="1"/>
  <c r="Q46" i="5" s="1"/>
  <c r="S46" i="5" s="1"/>
  <c r="N42" i="5"/>
  <c r="O42" i="5" s="1"/>
  <c r="Q42" i="5" s="1"/>
  <c r="S42" i="5" s="1"/>
  <c r="N38" i="5"/>
  <c r="O38" i="5" s="1"/>
  <c r="Q38" i="5" s="1"/>
  <c r="X38" i="5" s="1"/>
  <c r="N34" i="5"/>
  <c r="O34" i="5" s="1"/>
  <c r="Q34" i="5" s="1"/>
  <c r="U34" i="5" s="1"/>
  <c r="N30" i="5"/>
  <c r="O30" i="5" s="1"/>
  <c r="Q30" i="5" s="1"/>
  <c r="T30" i="5" s="1"/>
  <c r="A289" i="7"/>
  <c r="A285" i="7"/>
  <c r="A283" i="7"/>
  <c r="A281" i="7"/>
  <c r="A233" i="7"/>
  <c r="I230" i="6"/>
  <c r="K233" i="7" s="1"/>
  <c r="T230" i="6"/>
  <c r="Q230" i="6"/>
  <c r="A216" i="7"/>
  <c r="I213" i="6"/>
  <c r="K216" i="7" s="1"/>
  <c r="Q213" i="6"/>
  <c r="G213" i="6"/>
  <c r="I216" i="7" s="1"/>
  <c r="I272" i="6"/>
  <c r="K275" i="7" s="1"/>
  <c r="T272" i="6"/>
  <c r="I268" i="6"/>
  <c r="K271" i="7" s="1"/>
  <c r="T268" i="6"/>
  <c r="Q268" i="6"/>
  <c r="I262" i="6"/>
  <c r="K265" i="7" s="1"/>
  <c r="T262" i="6"/>
  <c r="Q262" i="6"/>
  <c r="I260" i="6"/>
  <c r="K263" i="7" s="1"/>
  <c r="T260" i="6"/>
  <c r="Q260" i="6"/>
  <c r="I258" i="6"/>
  <c r="K261" i="7" s="1"/>
  <c r="T258" i="6"/>
  <c r="Q258" i="6"/>
  <c r="I254" i="6"/>
  <c r="K257" i="7" s="1"/>
  <c r="T254" i="6"/>
  <c r="Q254" i="6"/>
  <c r="I250" i="6"/>
  <c r="K253" i="7" s="1"/>
  <c r="T250" i="6"/>
  <c r="Q250" i="6"/>
  <c r="I246" i="6"/>
  <c r="K249" i="7" s="1"/>
  <c r="T246" i="6"/>
  <c r="Q246" i="6"/>
  <c r="A239" i="7"/>
  <c r="I236" i="6"/>
  <c r="K239" i="7" s="1"/>
  <c r="T236" i="6"/>
  <c r="Q236" i="6"/>
  <c r="AK182" i="7"/>
  <c r="AJ182" i="7"/>
  <c r="N300" i="5"/>
  <c r="O300" i="5" s="1"/>
  <c r="Q300" i="5" s="1"/>
  <c r="S300" i="5" s="1"/>
  <c r="N296" i="5"/>
  <c r="O296" i="5" s="1"/>
  <c r="Q296" i="5" s="1"/>
  <c r="N288" i="5"/>
  <c r="O288" i="5" s="1"/>
  <c r="Q288" i="5" s="1"/>
  <c r="T288" i="5" s="1"/>
  <c r="N284" i="5"/>
  <c r="O284" i="5" s="1"/>
  <c r="Q284" i="5" s="1"/>
  <c r="N280" i="5"/>
  <c r="O280" i="5" s="1"/>
  <c r="Q280" i="5" s="1"/>
  <c r="N268" i="5"/>
  <c r="O268" i="5" s="1"/>
  <c r="Q268" i="5" s="1"/>
  <c r="U268" i="5" s="1"/>
  <c r="N264" i="5"/>
  <c r="O264" i="5" s="1"/>
  <c r="Q264" i="5" s="1"/>
  <c r="N256" i="5"/>
  <c r="O256" i="5" s="1"/>
  <c r="Q256" i="5" s="1"/>
  <c r="T256" i="5" s="1"/>
  <c r="N252" i="5"/>
  <c r="O252" i="5" s="1"/>
  <c r="Q252" i="5" s="1"/>
  <c r="U252" i="5" s="1"/>
  <c r="N248" i="5"/>
  <c r="O248" i="5" s="1"/>
  <c r="Q248" i="5" s="1"/>
  <c r="N240" i="5"/>
  <c r="O240" i="5" s="1"/>
  <c r="Q240" i="5" s="1"/>
  <c r="U240" i="5" s="1"/>
  <c r="N236" i="5"/>
  <c r="O236" i="5" s="1"/>
  <c r="Q236" i="5" s="1"/>
  <c r="U236" i="5" s="1"/>
  <c r="N232" i="5"/>
  <c r="O232" i="5" s="1"/>
  <c r="Q232" i="5" s="1"/>
  <c r="U232" i="5" s="1"/>
  <c r="N228" i="5"/>
  <c r="O228" i="5" s="1"/>
  <c r="Q228" i="5" s="1"/>
  <c r="N224" i="5"/>
  <c r="O224" i="5" s="1"/>
  <c r="Q224" i="5" s="1"/>
  <c r="T224" i="5" s="1"/>
  <c r="N220" i="5"/>
  <c r="O220" i="5" s="1"/>
  <c r="Q220" i="5" s="1"/>
  <c r="U220" i="5" s="1"/>
  <c r="N216" i="5"/>
  <c r="O216" i="5" s="1"/>
  <c r="Q216" i="5" s="1"/>
  <c r="S216" i="5" s="1"/>
  <c r="N212" i="5"/>
  <c r="O212" i="5" s="1"/>
  <c r="Q212" i="5" s="1"/>
  <c r="N208" i="5"/>
  <c r="O208" i="5" s="1"/>
  <c r="Q208" i="5" s="1"/>
  <c r="U208" i="5" s="1"/>
  <c r="N204" i="5"/>
  <c r="O204" i="5" s="1"/>
  <c r="Q204" i="5" s="1"/>
  <c r="U204" i="5" s="1"/>
  <c r="N200" i="5"/>
  <c r="O200" i="5" s="1"/>
  <c r="Q200" i="5" s="1"/>
  <c r="T200" i="5" s="1"/>
  <c r="N196" i="5"/>
  <c r="O196" i="5" s="1"/>
  <c r="Q196" i="5" s="1"/>
  <c r="N192" i="5"/>
  <c r="O192" i="5" s="1"/>
  <c r="Q192" i="5" s="1"/>
  <c r="U192" i="5" s="1"/>
  <c r="N188" i="5"/>
  <c r="O188" i="5" s="1"/>
  <c r="Q188" i="5" s="1"/>
  <c r="S188" i="5" s="1"/>
  <c r="N184" i="5"/>
  <c r="O184" i="5" s="1"/>
  <c r="Q184" i="5" s="1"/>
  <c r="N180" i="5"/>
  <c r="O180" i="5" s="1"/>
  <c r="Q180" i="5" s="1"/>
  <c r="S180" i="5" s="1"/>
  <c r="N176" i="5"/>
  <c r="O176" i="5" s="1"/>
  <c r="Q176" i="5" s="1"/>
  <c r="T176" i="5" s="1"/>
  <c r="N172" i="5"/>
  <c r="O172" i="5" s="1"/>
  <c r="Q172" i="5" s="1"/>
  <c r="U172" i="5" s="1"/>
  <c r="N168" i="5"/>
  <c r="O168" i="5" s="1"/>
  <c r="Q168" i="5" s="1"/>
  <c r="T168" i="5" s="1"/>
  <c r="N164" i="5"/>
  <c r="O164" i="5" s="1"/>
  <c r="Q164" i="5" s="1"/>
  <c r="S164" i="5" s="1"/>
  <c r="N160" i="5"/>
  <c r="O160" i="5" s="1"/>
  <c r="Q160" i="5" s="1"/>
  <c r="T160" i="5" s="1"/>
  <c r="N156" i="5"/>
  <c r="O156" i="5" s="1"/>
  <c r="Q156" i="5" s="1"/>
  <c r="N152" i="5"/>
  <c r="O152" i="5" s="1"/>
  <c r="Q152" i="5" s="1"/>
  <c r="N148" i="5"/>
  <c r="O148" i="5" s="1"/>
  <c r="Q148" i="5" s="1"/>
  <c r="N144" i="5"/>
  <c r="O144" i="5" s="1"/>
  <c r="Q144" i="5" s="1"/>
  <c r="S144" i="5" s="1"/>
  <c r="N140" i="5"/>
  <c r="O140" i="5" s="1"/>
  <c r="Q140" i="5" s="1"/>
  <c r="U140" i="5" s="1"/>
  <c r="N136" i="5"/>
  <c r="O136" i="5" s="1"/>
  <c r="Q136" i="5" s="1"/>
  <c r="N132" i="5"/>
  <c r="O132" i="5" s="1"/>
  <c r="Q132" i="5" s="1"/>
  <c r="N128" i="5"/>
  <c r="O128" i="5" s="1"/>
  <c r="Q128" i="5" s="1"/>
  <c r="N124" i="5"/>
  <c r="O124" i="5" s="1"/>
  <c r="Q124" i="5" s="1"/>
  <c r="S124" i="5" s="1"/>
  <c r="N120" i="5"/>
  <c r="O120" i="5" s="1"/>
  <c r="Q120" i="5" s="1"/>
  <c r="T120" i="5" s="1"/>
  <c r="N116" i="5"/>
  <c r="O116" i="5" s="1"/>
  <c r="Q116" i="5" s="1"/>
  <c r="S116" i="5" s="1"/>
  <c r="N112" i="5"/>
  <c r="O112" i="5" s="1"/>
  <c r="Q112" i="5" s="1"/>
  <c r="U112" i="5" s="1"/>
  <c r="N108" i="5"/>
  <c r="O108" i="5" s="1"/>
  <c r="Q108" i="5" s="1"/>
  <c r="T108" i="5" s="1"/>
  <c r="N104" i="5"/>
  <c r="O104" i="5" s="1"/>
  <c r="Q104" i="5" s="1"/>
  <c r="U104" i="5" s="1"/>
  <c r="N100" i="5"/>
  <c r="O100" i="5" s="1"/>
  <c r="Q100" i="5" s="1"/>
  <c r="X100" i="5" s="1"/>
  <c r="N96" i="5"/>
  <c r="O96" i="5" s="1"/>
  <c r="Q96" i="5" s="1"/>
  <c r="X96" i="5" s="1"/>
  <c r="N92" i="5"/>
  <c r="O92" i="5" s="1"/>
  <c r="Q92" i="5" s="1"/>
  <c r="S92" i="5" s="1"/>
  <c r="N88" i="5"/>
  <c r="O88" i="5" s="1"/>
  <c r="Q88" i="5" s="1"/>
  <c r="N84" i="5"/>
  <c r="O84" i="5" s="1"/>
  <c r="Q84" i="5" s="1"/>
  <c r="N80" i="5"/>
  <c r="O80" i="5" s="1"/>
  <c r="Q80" i="5" s="1"/>
  <c r="U80" i="5" s="1"/>
  <c r="N76" i="5"/>
  <c r="O76" i="5" s="1"/>
  <c r="Q76" i="5" s="1"/>
  <c r="N72" i="5"/>
  <c r="O72" i="5" s="1"/>
  <c r="Q72" i="5" s="1"/>
  <c r="U72" i="5" s="1"/>
  <c r="N68" i="5"/>
  <c r="O68" i="5" s="1"/>
  <c r="Q68" i="5" s="1"/>
  <c r="S68" i="5" s="1"/>
  <c r="N64" i="5"/>
  <c r="O64" i="5" s="1"/>
  <c r="Q64" i="5" s="1"/>
  <c r="S64" i="5" s="1"/>
  <c r="N60" i="5"/>
  <c r="O60" i="5" s="1"/>
  <c r="Q60" i="5" s="1"/>
  <c r="N56" i="5"/>
  <c r="O56" i="5" s="1"/>
  <c r="Q56" i="5" s="1"/>
  <c r="N52" i="5"/>
  <c r="O52" i="5" s="1"/>
  <c r="Q52" i="5" s="1"/>
  <c r="T52" i="5" s="1"/>
  <c r="N48" i="5"/>
  <c r="O48" i="5" s="1"/>
  <c r="Q48" i="5" s="1"/>
  <c r="U48" i="5" s="1"/>
  <c r="N44" i="5"/>
  <c r="O44" i="5" s="1"/>
  <c r="Q44" i="5" s="1"/>
  <c r="T44" i="5" s="1"/>
  <c r="N40" i="5"/>
  <c r="O40" i="5" s="1"/>
  <c r="Q40" i="5" s="1"/>
  <c r="U40" i="5" s="1"/>
  <c r="N36" i="5"/>
  <c r="O36" i="5" s="1"/>
  <c r="Q36" i="5" s="1"/>
  <c r="N32" i="5"/>
  <c r="O32" i="5" s="1"/>
  <c r="Q32" i="5" s="1"/>
  <c r="T32" i="5" s="1"/>
  <c r="N28" i="5"/>
  <c r="O28" i="5" s="1"/>
  <c r="Q28" i="5" s="1"/>
  <c r="Q286" i="6"/>
  <c r="Q282" i="6"/>
  <c r="Q280" i="6"/>
  <c r="Q278" i="6"/>
  <c r="G265" i="6"/>
  <c r="I268" i="7" s="1"/>
  <c r="A268" i="7"/>
  <c r="G249" i="6"/>
  <c r="I252" i="7" s="1"/>
  <c r="A252" i="7"/>
  <c r="G247" i="6"/>
  <c r="I250" i="7" s="1"/>
  <c r="A250" i="7"/>
  <c r="A210" i="7"/>
  <c r="I207" i="6"/>
  <c r="K210" i="7" s="1"/>
  <c r="Q207" i="6"/>
  <c r="G207" i="6"/>
  <c r="I210" i="7" s="1"/>
  <c r="T156" i="6"/>
  <c r="Q156" i="6"/>
  <c r="A159" i="7"/>
  <c r="G156" i="6"/>
  <c r="I159" i="7" s="1"/>
  <c r="I156" i="6"/>
  <c r="K159" i="7" s="1"/>
  <c r="A236" i="7"/>
  <c r="A234" i="7"/>
  <c r="A190" i="7"/>
  <c r="I187" i="6"/>
  <c r="K190" i="7" s="1"/>
  <c r="T187" i="6"/>
  <c r="Q187" i="6"/>
  <c r="T186" i="6"/>
  <c r="Q186" i="6"/>
  <c r="G186" i="6"/>
  <c r="I189" i="7" s="1"/>
  <c r="A189" i="7"/>
  <c r="A176" i="7"/>
  <c r="I173" i="6"/>
  <c r="K176" i="7" s="1"/>
  <c r="T173" i="6"/>
  <c r="G173" i="6"/>
  <c r="I176" i="7" s="1"/>
  <c r="A141" i="7"/>
  <c r="G138" i="6"/>
  <c r="I141" i="7" s="1"/>
  <c r="I138" i="6"/>
  <c r="K141" i="7" s="1"/>
  <c r="Q138" i="6"/>
  <c r="T138" i="6"/>
  <c r="A121" i="7"/>
  <c r="I118" i="6"/>
  <c r="K121" i="7" s="1"/>
  <c r="T118" i="6"/>
  <c r="G118" i="6"/>
  <c r="I121" i="7" s="1"/>
  <c r="Q118" i="6"/>
  <c r="T196" i="6"/>
  <c r="Q196" i="6"/>
  <c r="G196" i="6"/>
  <c r="I199" i="7" s="1"/>
  <c r="A199" i="7"/>
  <c r="A182" i="7"/>
  <c r="Q179" i="6"/>
  <c r="I179" i="6"/>
  <c r="K182" i="7" s="1"/>
  <c r="T179" i="6"/>
  <c r="T162" i="6"/>
  <c r="Q162" i="6"/>
  <c r="A165" i="7"/>
  <c r="I162" i="6"/>
  <c r="K165" i="7" s="1"/>
  <c r="G162" i="6"/>
  <c r="I165" i="7" s="1"/>
  <c r="Q233" i="6"/>
  <c r="Q231" i="6"/>
  <c r="T222" i="6"/>
  <c r="Q222" i="6"/>
  <c r="G222" i="6"/>
  <c r="I225" i="7" s="1"/>
  <c r="T220" i="6"/>
  <c r="Q220" i="6"/>
  <c r="G220" i="6"/>
  <c r="I223" i="7" s="1"/>
  <c r="T218" i="6"/>
  <c r="Q218" i="6"/>
  <c r="G218" i="6"/>
  <c r="I221" i="7" s="1"/>
  <c r="T208" i="6"/>
  <c r="Q208" i="6"/>
  <c r="G208" i="6"/>
  <c r="I211" i="7" s="1"/>
  <c r="T206" i="6"/>
  <c r="Q206" i="6"/>
  <c r="G206" i="6"/>
  <c r="I209" i="7" s="1"/>
  <c r="T204" i="6"/>
  <c r="Q204" i="6"/>
  <c r="G204" i="6"/>
  <c r="I207" i="7" s="1"/>
  <c r="T202" i="6"/>
  <c r="Q202" i="6"/>
  <c r="G202" i="6"/>
  <c r="I205" i="7" s="1"/>
  <c r="A202" i="7"/>
  <c r="I199" i="6"/>
  <c r="K202" i="7" s="1"/>
  <c r="T190" i="6"/>
  <c r="Q190" i="6"/>
  <c r="G190" i="6"/>
  <c r="I193" i="7" s="1"/>
  <c r="A193" i="7"/>
  <c r="T178" i="6"/>
  <c r="Q178" i="6"/>
  <c r="A181" i="7"/>
  <c r="I178" i="6"/>
  <c r="K181" i="7" s="1"/>
  <c r="G178" i="6"/>
  <c r="I181" i="7" s="1"/>
  <c r="Q173" i="6"/>
  <c r="T164" i="6"/>
  <c r="Q164" i="6"/>
  <c r="A160" i="7"/>
  <c r="Q157" i="6"/>
  <c r="T148" i="6"/>
  <c r="Q148" i="6"/>
  <c r="A151" i="7"/>
  <c r="G148" i="6"/>
  <c r="I151" i="7" s="1"/>
  <c r="G175" i="6"/>
  <c r="I178" i="7" s="1"/>
  <c r="T174" i="6"/>
  <c r="Q174" i="6"/>
  <c r="G164" i="6"/>
  <c r="I167" i="7" s="1"/>
  <c r="G159" i="6"/>
  <c r="I162" i="7" s="1"/>
  <c r="G157" i="6"/>
  <c r="I160" i="7" s="1"/>
  <c r="T140" i="6"/>
  <c r="Q140" i="6"/>
  <c r="A143" i="7"/>
  <c r="I140" i="6"/>
  <c r="K143" i="7" s="1"/>
  <c r="G140" i="6"/>
  <c r="I143" i="7" s="1"/>
  <c r="T131" i="6"/>
  <c r="Q131" i="6"/>
  <c r="A134" i="7"/>
  <c r="I131" i="6"/>
  <c r="K134" i="7" s="1"/>
  <c r="G131" i="6"/>
  <c r="I134" i="7" s="1"/>
  <c r="G174" i="6"/>
  <c r="I177" i="7" s="1"/>
  <c r="I164" i="6"/>
  <c r="K167" i="7" s="1"/>
  <c r="T142" i="6"/>
  <c r="Q142" i="6"/>
  <c r="I128" i="6"/>
  <c r="K131" i="7" s="1"/>
  <c r="A127" i="7"/>
  <c r="Q124" i="6"/>
  <c r="I113" i="6"/>
  <c r="K116" i="7" s="1"/>
  <c r="T113" i="6"/>
  <c r="Q113" i="6"/>
  <c r="A116" i="7"/>
  <c r="I101" i="6"/>
  <c r="K104" i="7" s="1"/>
  <c r="T101" i="6"/>
  <c r="Q101" i="6"/>
  <c r="I93" i="6"/>
  <c r="K96" i="7" s="1"/>
  <c r="T93" i="6"/>
  <c r="Q93" i="6"/>
  <c r="T144" i="6"/>
  <c r="Q144" i="6"/>
  <c r="T154" i="6"/>
  <c r="Q154" i="6"/>
  <c r="G144" i="6"/>
  <c r="I147" i="7" s="1"/>
  <c r="I142" i="6"/>
  <c r="K145" i="7" s="1"/>
  <c r="I111" i="6"/>
  <c r="K114" i="7" s="1"/>
  <c r="T111" i="6"/>
  <c r="Q111" i="6"/>
  <c r="G111" i="6"/>
  <c r="I114" i="7" s="1"/>
  <c r="I103" i="6"/>
  <c r="K106" i="7" s="1"/>
  <c r="T103" i="6"/>
  <c r="Q103" i="6"/>
  <c r="G103" i="6"/>
  <c r="I106" i="7" s="1"/>
  <c r="G101" i="6"/>
  <c r="I104" i="7" s="1"/>
  <c r="I95" i="6"/>
  <c r="K98" i="7" s="1"/>
  <c r="T95" i="6"/>
  <c r="Q95" i="6"/>
  <c r="G95" i="6"/>
  <c r="I98" i="7" s="1"/>
  <c r="G93" i="6"/>
  <c r="I96" i="7" s="1"/>
  <c r="I91" i="6"/>
  <c r="K94" i="7" s="1"/>
  <c r="T91" i="6"/>
  <c r="Q91" i="6"/>
  <c r="G110" i="6"/>
  <c r="I113" i="7" s="1"/>
  <c r="A113" i="7"/>
  <c r="G98" i="6"/>
  <c r="I101" i="7" s="1"/>
  <c r="A101" i="7"/>
  <c r="A75" i="7"/>
  <c r="Q72" i="6"/>
  <c r="I72" i="6"/>
  <c r="K75" i="7" s="1"/>
  <c r="T72" i="6"/>
  <c r="A88" i="7"/>
  <c r="T85" i="6"/>
  <c r="Q85" i="6"/>
  <c r="A84" i="7"/>
  <c r="T81" i="6"/>
  <c r="Q81" i="6"/>
  <c r="AJ59" i="7"/>
  <c r="T88" i="6"/>
  <c r="Q88" i="6"/>
  <c r="A91" i="7"/>
  <c r="T84" i="6"/>
  <c r="Q84" i="6"/>
  <c r="A87" i="7"/>
  <c r="A71" i="7"/>
  <c r="Q68" i="6"/>
  <c r="G68" i="6"/>
  <c r="I71" i="7" s="1"/>
  <c r="T67" i="6"/>
  <c r="Q67" i="6"/>
  <c r="G67" i="6"/>
  <c r="I70" i="7" s="1"/>
  <c r="A63" i="7"/>
  <c r="Q60" i="6"/>
  <c r="A61" i="7"/>
  <c r="I58" i="6"/>
  <c r="K61" i="7" s="1"/>
  <c r="T58" i="6"/>
  <c r="G58" i="6"/>
  <c r="I61" i="7" s="1"/>
  <c r="A59" i="7"/>
  <c r="Q56" i="6"/>
  <c r="Q79" i="6"/>
  <c r="T79" i="6"/>
  <c r="T77" i="6"/>
  <c r="Q77" i="6"/>
  <c r="G70" i="6"/>
  <c r="I73" i="7" s="1"/>
  <c r="T69" i="6"/>
  <c r="Q69" i="6"/>
  <c r="T60" i="6"/>
  <c r="T56" i="6"/>
  <c r="I40" i="6"/>
  <c r="K43" i="7" s="1"/>
  <c r="A43" i="7"/>
  <c r="T40" i="6"/>
  <c r="G40" i="6"/>
  <c r="I43" i="7" s="1"/>
  <c r="Q40" i="6"/>
  <c r="T73" i="6"/>
  <c r="Q73" i="6"/>
  <c r="T70" i="6"/>
  <c r="I70" i="6"/>
  <c r="K73" i="7" s="1"/>
  <c r="A70" i="7"/>
  <c r="A67" i="7"/>
  <c r="Q64" i="6"/>
  <c r="A65" i="7"/>
  <c r="G62" i="6"/>
  <c r="I65" i="7" s="1"/>
  <c r="I62" i="6"/>
  <c r="K65" i="7" s="1"/>
  <c r="T62" i="6"/>
  <c r="I60" i="6"/>
  <c r="K63" i="7" s="1"/>
  <c r="I56" i="6"/>
  <c r="K59" i="7" s="1"/>
  <c r="A53" i="7"/>
  <c r="T50" i="6"/>
  <c r="G50" i="6"/>
  <c r="I53" i="7" s="1"/>
  <c r="Q50" i="6"/>
  <c r="G45" i="6"/>
  <c r="I48" i="7" s="1"/>
  <c r="A48" i="7"/>
  <c r="T45" i="6"/>
  <c r="I45" i="6"/>
  <c r="K48" i="7" s="1"/>
  <c r="Q45" i="6"/>
  <c r="T57" i="6"/>
  <c r="Q57" i="6"/>
  <c r="A55" i="7"/>
  <c r="Q52" i="6"/>
  <c r="T61" i="6"/>
  <c r="Q61" i="6"/>
  <c r="I57" i="6"/>
  <c r="K60" i="7" s="1"/>
  <c r="T53" i="6"/>
  <c r="Q53" i="6"/>
  <c r="AM35" i="7"/>
  <c r="AM36" i="7"/>
  <c r="AM43" i="7"/>
  <c r="AM44" i="7"/>
  <c r="AM51" i="7"/>
  <c r="AM53" i="7"/>
  <c r="AM55" i="7"/>
  <c r="N15" i="5"/>
  <c r="O15" i="5" s="1"/>
  <c r="N14" i="5"/>
  <c r="O14" i="5" s="1"/>
  <c r="Q14" i="5" s="1"/>
  <c r="T14" i="5" s="1"/>
  <c r="B12" i="12"/>
  <c r="AS25" i="5" l="1"/>
  <c r="AT25" i="5" s="1"/>
  <c r="U303" i="5"/>
  <c r="U244" i="5"/>
  <c r="U259" i="5"/>
  <c r="U308" i="5"/>
  <c r="U153" i="5"/>
  <c r="U275" i="5"/>
  <c r="BA20" i="5"/>
  <c r="U57" i="5"/>
  <c r="U25" i="5"/>
  <c r="U185" i="5"/>
  <c r="U218" i="5"/>
  <c r="U77" i="5"/>
  <c r="AS23" i="5"/>
  <c r="AT23" i="5" s="1"/>
  <c r="AU23" i="5" s="1"/>
  <c r="AC23" i="5" s="1"/>
  <c r="U29" i="5"/>
  <c r="C13" i="12"/>
  <c r="H36" i="6"/>
  <c r="J39" i="7" s="1"/>
  <c r="Q263" i="7"/>
  <c r="AG279" i="5"/>
  <c r="AI279" i="5" s="1"/>
  <c r="AJ279" i="5" s="1"/>
  <c r="AE279" i="5"/>
  <c r="AF279" i="5"/>
  <c r="AD279" i="5"/>
  <c r="BA311" i="5"/>
  <c r="BA14" i="5"/>
  <c r="AL90" i="5"/>
  <c r="AX90" i="5"/>
  <c r="BD169" i="5"/>
  <c r="AX169" i="5"/>
  <c r="AY169" i="5" s="1"/>
  <c r="AZ169" i="5" s="1"/>
  <c r="BA169" i="5" s="1"/>
  <c r="BD173" i="5"/>
  <c r="AX173" i="5"/>
  <c r="AY173" i="5" s="1"/>
  <c r="AZ173" i="5" s="1"/>
  <c r="AW173" i="5"/>
  <c r="BA173" i="5" s="1"/>
  <c r="BD259" i="5"/>
  <c r="AX259" i="5"/>
  <c r="AY259" i="5" s="1"/>
  <c r="AZ259" i="5" s="1"/>
  <c r="AL259" i="5"/>
  <c r="BD272" i="5"/>
  <c r="BE272" i="5" s="1"/>
  <c r="BF272" i="5" s="1"/>
  <c r="BG272" i="5" s="1"/>
  <c r="AX272" i="5"/>
  <c r="BA159" i="5"/>
  <c r="X28" i="5"/>
  <c r="BE29" i="5"/>
  <c r="BF29" i="5" s="1"/>
  <c r="BG29" i="5" s="1"/>
  <c r="BE171" i="5"/>
  <c r="BF171" i="5" s="1"/>
  <c r="BG171" i="5" s="1"/>
  <c r="AF124" i="5"/>
  <c r="AD28" i="5"/>
  <c r="AU187" i="5"/>
  <c r="AC187" i="5" s="1"/>
  <c r="AE187" i="5" s="1"/>
  <c r="BE79" i="5"/>
  <c r="BF79" i="5" s="1"/>
  <c r="BE101" i="5"/>
  <c r="BF101" i="5" s="1"/>
  <c r="BG101" i="5" s="1"/>
  <c r="AE124" i="5"/>
  <c r="AF28" i="5"/>
  <c r="AF233" i="5"/>
  <c r="AF197" i="5"/>
  <c r="BA45" i="5"/>
  <c r="AU25" i="5"/>
  <c r="AC25" i="5" s="1"/>
  <c r="AE25" i="5" s="1"/>
  <c r="BA84" i="5"/>
  <c r="BE187" i="5"/>
  <c r="BF187" i="5" s="1"/>
  <c r="BG187" i="5" s="1"/>
  <c r="AU263" i="5"/>
  <c r="AC263" i="5" s="1"/>
  <c r="AF263" i="5" s="1"/>
  <c r="BA205" i="5"/>
  <c r="BA40" i="5"/>
  <c r="AU130" i="5"/>
  <c r="AC130" i="5" s="1"/>
  <c r="AD130" i="5" s="1"/>
  <c r="AS187" i="5"/>
  <c r="AT187" i="5" s="1"/>
  <c r="AW259" i="5"/>
  <c r="BA259" i="5" s="1"/>
  <c r="BA164" i="5"/>
  <c r="BA178" i="5"/>
  <c r="AX155" i="5"/>
  <c r="AY155" i="5" s="1"/>
  <c r="AZ155" i="5" s="1"/>
  <c r="BD155" i="5"/>
  <c r="AL155" i="5"/>
  <c r="AW155" i="5"/>
  <c r="BD202" i="5"/>
  <c r="AX202" i="5"/>
  <c r="AY202" i="5" s="1"/>
  <c r="AZ202" i="5" s="1"/>
  <c r="AL202" i="5"/>
  <c r="BC202" i="5"/>
  <c r="BD247" i="5"/>
  <c r="AX247" i="5"/>
  <c r="AY247" i="5" s="1"/>
  <c r="AZ247" i="5" s="1"/>
  <c r="BA247" i="5" s="1"/>
  <c r="BD291" i="5"/>
  <c r="BE291" i="5" s="1"/>
  <c r="BF291" i="5" s="1"/>
  <c r="BG291" i="5" s="1"/>
  <c r="AX291" i="5"/>
  <c r="AY291" i="5" s="1"/>
  <c r="AZ291" i="5" s="1"/>
  <c r="BE56" i="5"/>
  <c r="BF56" i="5" s="1"/>
  <c r="BE65" i="5"/>
  <c r="BF65" i="5" s="1"/>
  <c r="BG65" i="5" s="1"/>
  <c r="BA288" i="5"/>
  <c r="BA174" i="5"/>
  <c r="AS151" i="5"/>
  <c r="AT151" i="5" s="1"/>
  <c r="AU151" i="5" s="1"/>
  <c r="AC151" i="5" s="1"/>
  <c r="AU136" i="5"/>
  <c r="AC136" i="5" s="1"/>
  <c r="X233" i="5"/>
  <c r="BA137" i="5"/>
  <c r="BE151" i="5"/>
  <c r="BF151" i="5" s="1"/>
  <c r="BG151" i="5" s="1"/>
  <c r="BA207" i="5"/>
  <c r="BA281" i="5"/>
  <c r="X109" i="5"/>
  <c r="BA186" i="5"/>
  <c r="BA42" i="5"/>
  <c r="BE42" i="5"/>
  <c r="BF42" i="5" s="1"/>
  <c r="BE114" i="5"/>
  <c r="BF114" i="5" s="1"/>
  <c r="BG114" i="5" s="1"/>
  <c r="BA193" i="5"/>
  <c r="AG28" i="5"/>
  <c r="AI28" i="5" s="1"/>
  <c r="AJ28" i="5" s="1"/>
  <c r="BA299" i="5"/>
  <c r="BA297" i="5"/>
  <c r="AU143" i="5"/>
  <c r="AC143" i="5" s="1"/>
  <c r="BA145" i="5"/>
  <c r="BA246" i="5"/>
  <c r="BA89" i="5"/>
  <c r="BE307" i="5"/>
  <c r="BF307" i="5" s="1"/>
  <c r="U298" i="5"/>
  <c r="AW169" i="5"/>
  <c r="BA276" i="5"/>
  <c r="BA268" i="5"/>
  <c r="BC90" i="5"/>
  <c r="BA303" i="5"/>
  <c r="AS263" i="5"/>
  <c r="AT263" i="5" s="1"/>
  <c r="AU227" i="5"/>
  <c r="AC227" i="5" s="1"/>
  <c r="AF227" i="5" s="1"/>
  <c r="BE247" i="5"/>
  <c r="BF247" i="5" s="1"/>
  <c r="BG247" i="5" s="1"/>
  <c r="AY141" i="5"/>
  <c r="AZ141" i="5" s="1"/>
  <c r="BA141" i="5" s="1"/>
  <c r="BD235" i="5"/>
  <c r="AX235" i="5"/>
  <c r="AY235" i="5" s="1"/>
  <c r="AZ235" i="5" s="1"/>
  <c r="BA235" i="5" s="1"/>
  <c r="BD25" i="5"/>
  <c r="BC25" i="5"/>
  <c r="AX25" i="5"/>
  <c r="BD275" i="5"/>
  <c r="BE275" i="5" s="1"/>
  <c r="BF275" i="5" s="1"/>
  <c r="BG275" i="5" s="1"/>
  <c r="AX275" i="5"/>
  <c r="AY275" i="5" s="1"/>
  <c r="AZ275" i="5" s="1"/>
  <c r="BA275" i="5" s="1"/>
  <c r="AL275" i="5"/>
  <c r="AU252" i="5"/>
  <c r="AC252" i="5" s="1"/>
  <c r="AG252" i="5" s="1"/>
  <c r="AI252" i="5" s="1"/>
  <c r="AJ252" i="5" s="1"/>
  <c r="BE306" i="5"/>
  <c r="BF306" i="5" s="1"/>
  <c r="BG306" i="5" s="1"/>
  <c r="AS234" i="5"/>
  <c r="AT234" i="5" s="1"/>
  <c r="AU234" i="5" s="1"/>
  <c r="AC234" i="5" s="1"/>
  <c r="AY119" i="5"/>
  <c r="AZ119" i="5" s="1"/>
  <c r="AR268" i="5"/>
  <c r="AS62" i="5"/>
  <c r="AT62" i="5" s="1"/>
  <c r="AU62" i="5" s="1"/>
  <c r="AC62" i="5" s="1"/>
  <c r="AS271" i="5"/>
  <c r="AT271" i="5" s="1"/>
  <c r="AU271" i="5" s="1"/>
  <c r="AC271" i="5" s="1"/>
  <c r="AU90" i="5"/>
  <c r="AC90" i="5" s="1"/>
  <c r="AQ49" i="5"/>
  <c r="BE49" i="5" s="1"/>
  <c r="BF49" i="5" s="1"/>
  <c r="BG49" i="5" s="1"/>
  <c r="BC259" i="5"/>
  <c r="AY268" i="5"/>
  <c r="AZ268" i="5" s="1"/>
  <c r="BC291" i="5"/>
  <c r="BD57" i="5"/>
  <c r="AX57" i="5"/>
  <c r="AY57" i="5" s="1"/>
  <c r="AZ57" i="5" s="1"/>
  <c r="AW57" i="5"/>
  <c r="AY239" i="5"/>
  <c r="AZ239" i="5" s="1"/>
  <c r="BA239" i="5" s="1"/>
  <c r="BD279" i="5"/>
  <c r="AX279" i="5"/>
  <c r="AR304" i="5"/>
  <c r="AP134" i="5"/>
  <c r="AR134" i="5" s="1"/>
  <c r="AO134" i="5"/>
  <c r="AQ134" i="5" s="1"/>
  <c r="AS134" i="5" s="1"/>
  <c r="AT134" i="5" s="1"/>
  <c r="AU134" i="5" s="1"/>
  <c r="AC134" i="5" s="1"/>
  <c r="BD153" i="5"/>
  <c r="AX153" i="5"/>
  <c r="AY153" i="5" s="1"/>
  <c r="AZ153" i="5" s="1"/>
  <c r="BA153" i="5" s="1"/>
  <c r="AY186" i="5"/>
  <c r="AZ186" i="5" s="1"/>
  <c r="AW272" i="5"/>
  <c r="AY115" i="5"/>
  <c r="AZ115" i="5" s="1"/>
  <c r="BA115" i="5" s="1"/>
  <c r="BD122" i="5"/>
  <c r="AX122" i="5"/>
  <c r="AY122" i="5" s="1"/>
  <c r="AZ122" i="5" s="1"/>
  <c r="BA122" i="5" s="1"/>
  <c r="AW263" i="5"/>
  <c r="BA263" i="5" s="1"/>
  <c r="AY288" i="5"/>
  <c r="AZ288" i="5" s="1"/>
  <c r="BD125" i="5"/>
  <c r="AX125" i="5"/>
  <c r="AY125" i="5" s="1"/>
  <c r="AZ125" i="5" s="1"/>
  <c r="BA125" i="5" s="1"/>
  <c r="BD159" i="5"/>
  <c r="AX159" i="5"/>
  <c r="AY159" i="5" s="1"/>
  <c r="AZ159" i="5" s="1"/>
  <c r="BC275" i="5"/>
  <c r="BD237" i="5"/>
  <c r="AX237" i="5"/>
  <c r="AY237" i="5" s="1"/>
  <c r="AZ237" i="5" s="1"/>
  <c r="BA237" i="5" s="1"/>
  <c r="BD214" i="5"/>
  <c r="AX214" i="5"/>
  <c r="AY214" i="5" s="1"/>
  <c r="AZ214" i="5" s="1"/>
  <c r="BA214" i="5" s="1"/>
  <c r="BC173" i="5"/>
  <c r="BD292" i="5"/>
  <c r="BE292" i="5" s="1"/>
  <c r="BF292" i="5" s="1"/>
  <c r="BG292" i="5" s="1"/>
  <c r="AX292" i="5"/>
  <c r="AY292" i="5" s="1"/>
  <c r="AZ292" i="5" s="1"/>
  <c r="BA292" i="5" s="1"/>
  <c r="BD121" i="5"/>
  <c r="AL121" i="5"/>
  <c r="AX121" i="5"/>
  <c r="AY121" i="5" s="1"/>
  <c r="AZ121" i="5" s="1"/>
  <c r="BA121" i="5" s="1"/>
  <c r="AW247" i="5"/>
  <c r="AL272" i="5"/>
  <c r="AL125" i="5"/>
  <c r="BE215" i="5"/>
  <c r="BF215" i="5" s="1"/>
  <c r="BG215" i="5" s="1"/>
  <c r="AY163" i="5"/>
  <c r="AZ163" i="5" s="1"/>
  <c r="BA163" i="5" s="1"/>
  <c r="AS301" i="5"/>
  <c r="AT301" i="5" s="1"/>
  <c r="AU301" i="5" s="1"/>
  <c r="AC301" i="5" s="1"/>
  <c r="AQ45" i="5"/>
  <c r="BE45" i="5" s="1"/>
  <c r="BF45" i="5" s="1"/>
  <c r="BG45" i="5" s="1"/>
  <c r="BC125" i="5"/>
  <c r="BD223" i="5"/>
  <c r="BE223" i="5" s="1"/>
  <c r="BF223" i="5" s="1"/>
  <c r="BG223" i="5" s="1"/>
  <c r="AX223" i="5"/>
  <c r="AY223" i="5" s="1"/>
  <c r="AZ223" i="5" s="1"/>
  <c r="AW291" i="5"/>
  <c r="AO138" i="5"/>
  <c r="AQ138" i="5" s="1"/>
  <c r="BD150" i="5"/>
  <c r="BE150" i="5" s="1"/>
  <c r="BF150" i="5" s="1"/>
  <c r="BG150" i="5" s="1"/>
  <c r="AX150" i="5"/>
  <c r="AY150" i="5" s="1"/>
  <c r="AZ150" i="5" s="1"/>
  <c r="BA150" i="5" s="1"/>
  <c r="BC279" i="5"/>
  <c r="AQ173" i="5"/>
  <c r="BD154" i="5"/>
  <c r="AX154" i="5"/>
  <c r="AY154" i="5" s="1"/>
  <c r="AZ154" i="5" s="1"/>
  <c r="BA154" i="5" s="1"/>
  <c r="AW223" i="5"/>
  <c r="BA223" i="5" s="1"/>
  <c r="AY272" i="5"/>
  <c r="AZ272" i="5" s="1"/>
  <c r="AY176" i="5"/>
  <c r="AZ176" i="5" s="1"/>
  <c r="BA176" i="5" s="1"/>
  <c r="BC77" i="5"/>
  <c r="BD77" i="5"/>
  <c r="BE77" i="5" s="1"/>
  <c r="BF77" i="5" s="1"/>
  <c r="BG77" i="5" s="1"/>
  <c r="AW77" i="5"/>
  <c r="AX77" i="5"/>
  <c r="AY77" i="5" s="1"/>
  <c r="AZ77" i="5" s="1"/>
  <c r="BA77" i="5" s="1"/>
  <c r="BC237" i="5"/>
  <c r="BE233" i="5"/>
  <c r="BF233" i="5" s="1"/>
  <c r="BG233" i="5" s="1"/>
  <c r="BC150" i="5"/>
  <c r="P22" i="7"/>
  <c r="AF221" i="7"/>
  <c r="Q225" i="7"/>
  <c r="R225" i="7" s="1"/>
  <c r="O17" i="7"/>
  <c r="P17" i="7"/>
  <c r="P16" i="7"/>
  <c r="O16" i="7"/>
  <c r="I44" i="6"/>
  <c r="K47" i="7" s="1"/>
  <c r="A85" i="7"/>
  <c r="AF281" i="7"/>
  <c r="AF157" i="7"/>
  <c r="AG157" i="7"/>
  <c r="BD157" i="7" s="1"/>
  <c r="AF268" i="7"/>
  <c r="AG145" i="7"/>
  <c r="BD145" i="7" s="1"/>
  <c r="Q74" i="6"/>
  <c r="V77" i="7" s="1"/>
  <c r="BN145" i="7"/>
  <c r="AF145" i="7"/>
  <c r="AF225" i="7"/>
  <c r="F139" i="6"/>
  <c r="H142" i="7" s="1"/>
  <c r="A45" i="7"/>
  <c r="BD65" i="7"/>
  <c r="T150" i="6"/>
  <c r="V150" i="6" s="1"/>
  <c r="AA153" i="7" s="1"/>
  <c r="AL153" i="7" s="1"/>
  <c r="T97" i="6"/>
  <c r="V97" i="6" s="1"/>
  <c r="AA100" i="7" s="1"/>
  <c r="AL100" i="7" s="1"/>
  <c r="I122" i="6"/>
  <c r="K125" i="7" s="1"/>
  <c r="Q171" i="6"/>
  <c r="S171" i="6" s="1"/>
  <c r="X174" i="7" s="1"/>
  <c r="I71" i="6"/>
  <c r="K74" i="7" s="1"/>
  <c r="T65" i="6"/>
  <c r="V65" i="6" s="1"/>
  <c r="AA68" i="7" s="1"/>
  <c r="AL68" i="7" s="1"/>
  <c r="A97" i="7"/>
  <c r="AK72" i="7"/>
  <c r="A218" i="7"/>
  <c r="AF73" i="7"/>
  <c r="T74" i="6"/>
  <c r="Y77" i="7" s="1"/>
  <c r="Q121" i="6"/>
  <c r="S121" i="6" s="1"/>
  <c r="X124" i="7" s="1"/>
  <c r="G122" i="6"/>
  <c r="I125" i="7" s="1"/>
  <c r="AK125" i="7" s="1"/>
  <c r="A166" i="7"/>
  <c r="I275" i="6"/>
  <c r="K278" i="7" s="1"/>
  <c r="AG185" i="6"/>
  <c r="G74" i="6"/>
  <c r="I77" i="7" s="1"/>
  <c r="AJ77" i="7" s="1"/>
  <c r="G147" i="6"/>
  <c r="I150" i="7" s="1"/>
  <c r="AJ150" i="7" s="1"/>
  <c r="F127" i="6"/>
  <c r="H130" i="7" s="1"/>
  <c r="Q91" i="7"/>
  <c r="R91" i="7" s="1"/>
  <c r="AF211" i="7"/>
  <c r="AF72" i="7"/>
  <c r="AK60" i="7"/>
  <c r="I126" i="6"/>
  <c r="K129" i="7" s="1"/>
  <c r="AG72" i="7"/>
  <c r="BC72" i="7" s="1"/>
  <c r="BJ46" i="7"/>
  <c r="I92" i="6"/>
  <c r="K95" i="7" s="1"/>
  <c r="Q65" i="7"/>
  <c r="R65" i="7" s="1"/>
  <c r="BB65" i="7"/>
  <c r="AG211" i="7"/>
  <c r="BJ211" i="7" s="1"/>
  <c r="BJ65" i="7"/>
  <c r="G251" i="6"/>
  <c r="I254" i="7" s="1"/>
  <c r="AJ254" i="7" s="1"/>
  <c r="AF65" i="7"/>
  <c r="Q219" i="6"/>
  <c r="V222" i="7" s="1"/>
  <c r="I302" i="6"/>
  <c r="K305" i="7" s="1"/>
  <c r="T44" i="6"/>
  <c r="Y47" i="7" s="1"/>
  <c r="BC207" i="7"/>
  <c r="I36" i="6"/>
  <c r="K39" i="7" s="1"/>
  <c r="A95" i="7"/>
  <c r="I219" i="6"/>
  <c r="K222" i="7" s="1"/>
  <c r="I201" i="6"/>
  <c r="K204" i="7" s="1"/>
  <c r="Q299" i="6"/>
  <c r="S299" i="6" s="1"/>
  <c r="X302" i="7" s="1"/>
  <c r="G235" i="6"/>
  <c r="I238" i="7" s="1"/>
  <c r="AK238" i="7" s="1"/>
  <c r="E114" i="6"/>
  <c r="G117" i="7" s="1"/>
  <c r="AG289" i="7"/>
  <c r="BB289" i="7" s="1"/>
  <c r="AF160" i="7"/>
  <c r="BC205" i="7"/>
  <c r="G139" i="6"/>
  <c r="I142" i="7" s="1"/>
  <c r="AK142" i="7" s="1"/>
  <c r="A100" i="7"/>
  <c r="AH253" i="7"/>
  <c r="AI253" i="7" s="1"/>
  <c r="H97" i="6"/>
  <c r="J100" i="7" s="1"/>
  <c r="Q46" i="6"/>
  <c r="S46" i="6" s="1"/>
  <c r="X49" i="7" s="1"/>
  <c r="AF189" i="7"/>
  <c r="A86" i="7"/>
  <c r="AG275" i="6"/>
  <c r="BN60" i="7"/>
  <c r="Q48" i="7"/>
  <c r="R48" i="7" s="1"/>
  <c r="T46" i="6"/>
  <c r="Y49" i="7" s="1"/>
  <c r="I90" i="6"/>
  <c r="K93" i="7" s="1"/>
  <c r="I169" i="6"/>
  <c r="K172" i="7" s="1"/>
  <c r="I153" i="6"/>
  <c r="K156" i="7" s="1"/>
  <c r="G46" i="6"/>
  <c r="I49" i="7" s="1"/>
  <c r="AJ49" i="7" s="1"/>
  <c r="I139" i="6"/>
  <c r="K142" i="7" s="1"/>
  <c r="T195" i="6"/>
  <c r="V195" i="6" s="1"/>
  <c r="AA198" i="7" s="1"/>
  <c r="AL198" i="7" s="1"/>
  <c r="T139" i="6"/>
  <c r="V139" i="6" s="1"/>
  <c r="AA142" i="7" s="1"/>
  <c r="AL142" i="7" s="1"/>
  <c r="A232" i="7"/>
  <c r="T192" i="6"/>
  <c r="V192" i="6" s="1"/>
  <c r="AA195" i="7" s="1"/>
  <c r="AL195" i="7" s="1"/>
  <c r="T275" i="6"/>
  <c r="Y278" i="7" s="1"/>
  <c r="A142" i="7"/>
  <c r="A49" i="7"/>
  <c r="BD178" i="7"/>
  <c r="AG307" i="7"/>
  <c r="BB307" i="7" s="1"/>
  <c r="BG40" i="7"/>
  <c r="AF37" i="6" s="1"/>
  <c r="A278" i="7"/>
  <c r="AG182" i="7"/>
  <c r="BB182" i="7" s="1"/>
  <c r="Z139" i="6"/>
  <c r="AE142" i="7" s="1"/>
  <c r="Z275" i="6"/>
  <c r="AE278" i="7" s="1"/>
  <c r="Q278" i="7" s="1"/>
  <c r="Q53" i="7"/>
  <c r="R53" i="7" s="1"/>
  <c r="AF48" i="7"/>
  <c r="Q275" i="6"/>
  <c r="S275" i="6" s="1"/>
  <c r="X278" i="7" s="1"/>
  <c r="A180" i="7"/>
  <c r="AF55" i="7"/>
  <c r="AF178" i="7"/>
  <c r="BF98" i="7"/>
  <c r="AE95" i="6" s="1"/>
  <c r="AF257" i="7"/>
  <c r="A68" i="7"/>
  <c r="Q65" i="6"/>
  <c r="V68" i="7" s="1"/>
  <c r="I248" i="6"/>
  <c r="K251" i="7" s="1"/>
  <c r="Q268" i="7"/>
  <c r="R268" i="7" s="1"/>
  <c r="Q64" i="7"/>
  <c r="BL211" i="7"/>
  <c r="T36" i="6"/>
  <c r="V36" i="6" s="1"/>
  <c r="AA39" i="7" s="1"/>
  <c r="AL39" i="7" s="1"/>
  <c r="AG40" i="7"/>
  <c r="BD40" i="7" s="1"/>
  <c r="AG177" i="7"/>
  <c r="BB177" i="7" s="1"/>
  <c r="AF151" i="7"/>
  <c r="BD46" i="7"/>
  <c r="AF80" i="7"/>
  <c r="Q46" i="7"/>
  <c r="R46" i="7" s="1"/>
  <c r="BB207" i="7"/>
  <c r="BD80" i="7"/>
  <c r="T189" i="6"/>
  <c r="Y192" i="7" s="1"/>
  <c r="I209" i="6"/>
  <c r="K212" i="7" s="1"/>
  <c r="I136" i="6"/>
  <c r="K139" i="7" s="1"/>
  <c r="Q274" i="6"/>
  <c r="S274" i="6" s="1"/>
  <c r="X277" i="7" s="1"/>
  <c r="Q238" i="6"/>
  <c r="V241" i="7" s="1"/>
  <c r="Q28" i="7"/>
  <c r="R28" i="7" s="1"/>
  <c r="BL40" i="7"/>
  <c r="AH37" i="6" s="1"/>
  <c r="BC46" i="7"/>
  <c r="BE263" i="7"/>
  <c r="BF263" i="7"/>
  <c r="AF46" i="7"/>
  <c r="AF207" i="7"/>
  <c r="BJ207" i="7"/>
  <c r="A146" i="7"/>
  <c r="A200" i="7"/>
  <c r="A224" i="7"/>
  <c r="BC151" i="7"/>
  <c r="AF187" i="7"/>
  <c r="AF59" i="7"/>
  <c r="A74" i="7"/>
  <c r="A93" i="7"/>
  <c r="I135" i="6"/>
  <c r="K138" i="7" s="1"/>
  <c r="T168" i="6"/>
  <c r="V168" i="6" s="1"/>
  <c r="AA171" i="7" s="1"/>
  <c r="AL171" i="7" s="1"/>
  <c r="Q284" i="6"/>
  <c r="V287" i="7" s="1"/>
  <c r="I205" i="6"/>
  <c r="K208" i="7" s="1"/>
  <c r="AJ239" i="7"/>
  <c r="BC59" i="7"/>
  <c r="F248" i="6"/>
  <c r="H251" i="7" s="1"/>
  <c r="F263" i="6"/>
  <c r="H266" i="7" s="1"/>
  <c r="AH80" i="7"/>
  <c r="AI80" i="7" s="1"/>
  <c r="D177" i="6"/>
  <c r="F180" i="7" s="1"/>
  <c r="AF134" i="7"/>
  <c r="BJ59" i="7"/>
  <c r="AH64" i="7"/>
  <c r="AI64" i="7" s="1"/>
  <c r="Q59" i="7"/>
  <c r="R59" i="7" s="1"/>
  <c r="AF98" i="7"/>
  <c r="T90" i="6"/>
  <c r="Y93" i="7" s="1"/>
  <c r="A108" i="7"/>
  <c r="Q180" i="6"/>
  <c r="S180" i="6" s="1"/>
  <c r="X183" i="7" s="1"/>
  <c r="A288" i="7"/>
  <c r="BB59" i="7"/>
  <c r="Z177" i="6"/>
  <c r="AE180" i="7" s="1"/>
  <c r="Q180" i="7" s="1"/>
  <c r="AF307" i="7"/>
  <c r="AG253" i="7"/>
  <c r="BD253" i="7" s="1"/>
  <c r="BG60" i="7"/>
  <c r="AF57" i="6" s="1"/>
  <c r="AF87" i="7"/>
  <c r="AF141" i="7"/>
  <c r="G49" i="6"/>
  <c r="I52" i="7" s="1"/>
  <c r="AK52" i="7" s="1"/>
  <c r="T227" i="6"/>
  <c r="V227" i="6" s="1"/>
  <c r="AA230" i="7" s="1"/>
  <c r="AL230" i="7" s="1"/>
  <c r="T303" i="6"/>
  <c r="V303" i="6" s="1"/>
  <c r="AA306" i="7" s="1"/>
  <c r="AL306" i="7" s="1"/>
  <c r="Q55" i="6"/>
  <c r="S55" i="6" s="1"/>
  <c r="X58" i="7" s="1"/>
  <c r="I83" i="6"/>
  <c r="K86" i="7" s="1"/>
  <c r="Q107" i="6"/>
  <c r="V110" i="7" s="1"/>
  <c r="G114" i="6"/>
  <c r="I117" i="7" s="1"/>
  <c r="G153" i="6"/>
  <c r="I156" i="7" s="1"/>
  <c r="AK156" i="7" s="1"/>
  <c r="I192" i="6"/>
  <c r="K195" i="7" s="1"/>
  <c r="T302" i="6"/>
  <c r="Y305" i="7" s="1"/>
  <c r="BC209" i="7"/>
  <c r="AH127" i="7"/>
  <c r="AI127" i="7" s="1"/>
  <c r="G107" i="6"/>
  <c r="I110" i="7" s="1"/>
  <c r="AJ110" i="7" s="1"/>
  <c r="Q80" i="7"/>
  <c r="R80" i="7" s="1"/>
  <c r="BL80" i="7"/>
  <c r="AH77" i="6" s="1"/>
  <c r="BK80" i="7"/>
  <c r="BC80" i="7"/>
  <c r="BL106" i="7"/>
  <c r="AH103" i="6" s="1"/>
  <c r="Q151" i="7"/>
  <c r="R151" i="7" s="1"/>
  <c r="AF210" i="7"/>
  <c r="Q207" i="7"/>
  <c r="R207" i="7" s="1"/>
  <c r="BN80" i="7"/>
  <c r="A129" i="7"/>
  <c r="I117" i="6"/>
  <c r="K120" i="7" s="1"/>
  <c r="A241" i="7"/>
  <c r="AJ263" i="7"/>
  <c r="Q31" i="6"/>
  <c r="V34" i="7" s="1"/>
  <c r="Q193" i="6"/>
  <c r="V196" i="7" s="1"/>
  <c r="Q159" i="7"/>
  <c r="R159" i="7" s="1"/>
  <c r="F238" i="6"/>
  <c r="H241" i="7" s="1"/>
  <c r="T114" i="6"/>
  <c r="V114" i="6" s="1"/>
  <c r="AA117" i="7" s="1"/>
  <c r="AL117" i="7" s="1"/>
  <c r="BJ151" i="7"/>
  <c r="G126" i="6"/>
  <c r="I129" i="7" s="1"/>
  <c r="AJ129" i="7" s="1"/>
  <c r="BL60" i="7"/>
  <c r="AH57" i="6" s="1"/>
  <c r="BG80" i="7"/>
  <c r="AF77" i="6" s="1"/>
  <c r="Q147" i="7"/>
  <c r="R147" i="7" s="1"/>
  <c r="Q141" i="7"/>
  <c r="R141" i="7" s="1"/>
  <c r="BF80" i="7"/>
  <c r="AE77" i="6" s="1"/>
  <c r="BJ80" i="7"/>
  <c r="BF60" i="7"/>
  <c r="AE57" i="6" s="1"/>
  <c r="G83" i="6"/>
  <c r="I86" i="7" s="1"/>
  <c r="AJ86" i="7" s="1"/>
  <c r="A300" i="7"/>
  <c r="T193" i="6"/>
  <c r="Q302" i="6"/>
  <c r="V305" i="7" s="1"/>
  <c r="I31" i="6"/>
  <c r="K34" i="7" s="1"/>
  <c r="Z292" i="6"/>
  <c r="AE295" i="7" s="1"/>
  <c r="AF295" i="7" s="1"/>
  <c r="BB151" i="7"/>
  <c r="Z107" i="6"/>
  <c r="AE110" i="7" s="1"/>
  <c r="Q110" i="7" s="1"/>
  <c r="AF106" i="7"/>
  <c r="BN209" i="7"/>
  <c r="BM80" i="7"/>
  <c r="AI77" i="6" s="1"/>
  <c r="BE80" i="7"/>
  <c r="AD77" i="6" s="1"/>
  <c r="BO80" i="7"/>
  <c r="BP80" i="7" s="1"/>
  <c r="AF91" i="7"/>
  <c r="AF253" i="7"/>
  <c r="G36" i="6"/>
  <c r="I39" i="7" s="1"/>
  <c r="AK39" i="7" s="1"/>
  <c r="I74" i="6"/>
  <c r="K77" i="7" s="1"/>
  <c r="G92" i="6"/>
  <c r="I95" i="7" s="1"/>
  <c r="AJ95" i="7" s="1"/>
  <c r="Q97" i="6"/>
  <c r="G135" i="6"/>
  <c r="I138" i="7" s="1"/>
  <c r="AJ138" i="7" s="1"/>
  <c r="A172" i="7"/>
  <c r="A34" i="7"/>
  <c r="T185" i="6"/>
  <c r="Y188" i="7" s="1"/>
  <c r="I285" i="6"/>
  <c r="K288" i="7" s="1"/>
  <c r="AF60" i="7"/>
  <c r="R182" i="7"/>
  <c r="G97" i="6"/>
  <c r="I100" i="7" s="1"/>
  <c r="AK100" i="7" s="1"/>
  <c r="Q263" i="6"/>
  <c r="S263" i="6" s="1"/>
  <c r="X266" i="7" s="1"/>
  <c r="F31" i="6"/>
  <c r="H34" i="7" s="1"/>
  <c r="Q36" i="6"/>
  <c r="S36" i="6" s="1"/>
  <c r="X39" i="7" s="1"/>
  <c r="E38" i="6"/>
  <c r="G41" i="7" s="1"/>
  <c r="Q92" i="6"/>
  <c r="S92" i="6" s="1"/>
  <c r="X95" i="7" s="1"/>
  <c r="Q251" i="6"/>
  <c r="AG189" i="7"/>
  <c r="BD189" i="7" s="1"/>
  <c r="BM60" i="7"/>
  <c r="AI57" i="6" s="1"/>
  <c r="BO40" i="7"/>
  <c r="BP40" i="7" s="1"/>
  <c r="Q233" i="7"/>
  <c r="R233" i="7" s="1"/>
  <c r="Q178" i="7"/>
  <c r="R178" i="7" s="1"/>
  <c r="BL263" i="7"/>
  <c r="BN263" i="7"/>
  <c r="BE60" i="7"/>
  <c r="AD57" i="6" s="1"/>
  <c r="G47" i="6"/>
  <c r="I50" i="7" s="1"/>
  <c r="AK50" i="7" s="1"/>
  <c r="A36" i="7"/>
  <c r="A77" i="7"/>
  <c r="G96" i="6"/>
  <c r="I99" i="7" s="1"/>
  <c r="AK99" i="7" s="1"/>
  <c r="G127" i="6"/>
  <c r="I130" i="7" s="1"/>
  <c r="AK130" i="7" s="1"/>
  <c r="I97" i="6"/>
  <c r="K100" i="7" s="1"/>
  <c r="I143" i="6"/>
  <c r="K146" i="7" s="1"/>
  <c r="G180" i="6"/>
  <c r="I183" i="7" s="1"/>
  <c r="AK183" i="7" s="1"/>
  <c r="T169" i="6"/>
  <c r="V169" i="6" s="1"/>
  <c r="AA172" i="7" s="1"/>
  <c r="AL172" i="7" s="1"/>
  <c r="G263" i="6"/>
  <c r="I266" i="7" s="1"/>
  <c r="T31" i="6"/>
  <c r="Y34" i="7" s="1"/>
  <c r="Q285" i="6"/>
  <c r="S285" i="6" s="1"/>
  <c r="X288" i="7" s="1"/>
  <c r="AK64" i="7"/>
  <c r="AH75" i="7"/>
  <c r="AI75" i="7" s="1"/>
  <c r="G150" i="6"/>
  <c r="I153" i="7" s="1"/>
  <c r="AJ153" i="7" s="1"/>
  <c r="AG31" i="6"/>
  <c r="G31" i="6"/>
  <c r="I34" i="7" s="1"/>
  <c r="AK34" i="7" s="1"/>
  <c r="Q60" i="7"/>
  <c r="R60" i="7" s="1"/>
  <c r="BG263" i="7"/>
  <c r="BK60" i="7"/>
  <c r="AG98" i="7"/>
  <c r="BB98" i="7" s="1"/>
  <c r="BO60" i="7"/>
  <c r="BP60" i="7" s="1"/>
  <c r="E133" i="6"/>
  <c r="G136" i="7" s="1"/>
  <c r="Q133" i="6"/>
  <c r="S133" i="6" s="1"/>
  <c r="X136" i="7" s="1"/>
  <c r="G133" i="6"/>
  <c r="I136" i="7" s="1"/>
  <c r="I133" i="6"/>
  <c r="K136" i="7" s="1"/>
  <c r="Z133" i="6"/>
  <c r="AE136" i="7" s="1"/>
  <c r="BF136" i="7" s="1"/>
  <c r="T133" i="6"/>
  <c r="Y136" i="7" s="1"/>
  <c r="Z212" i="6"/>
  <c r="AE215" i="7" s="1"/>
  <c r="Q212" i="6"/>
  <c r="S212" i="6" s="1"/>
  <c r="X215" i="7" s="1"/>
  <c r="F212" i="6"/>
  <c r="H215" i="7" s="1"/>
  <c r="G212" i="6"/>
  <c r="I215" i="7" s="1"/>
  <c r="AK215" i="7" s="1"/>
  <c r="A215" i="7"/>
  <c r="T212" i="6"/>
  <c r="Q89" i="6"/>
  <c r="V92" i="7" s="1"/>
  <c r="A92" i="7"/>
  <c r="G89" i="6"/>
  <c r="I92" i="7" s="1"/>
  <c r="I188" i="6"/>
  <c r="K191" i="7" s="1"/>
  <c r="T188" i="6"/>
  <c r="Y191" i="7" s="1"/>
  <c r="T235" i="6"/>
  <c r="H235" i="6"/>
  <c r="J238" i="7" s="1"/>
  <c r="I235" i="6"/>
  <c r="K238" i="7" s="1"/>
  <c r="D235" i="6"/>
  <c r="F238" i="7" s="1"/>
  <c r="A238" i="7"/>
  <c r="A54" i="7"/>
  <c r="G51" i="6"/>
  <c r="I54" i="7" s="1"/>
  <c r="T51" i="6"/>
  <c r="V51" i="6" s="1"/>
  <c r="AA54" i="7" s="1"/>
  <c r="AL54" i="7" s="1"/>
  <c r="BF72" i="7"/>
  <c r="AE69" i="6" s="1"/>
  <c r="BM72" i="7"/>
  <c r="AI69" i="6" s="1"/>
  <c r="Z158" i="6"/>
  <c r="AE161" i="7" s="1"/>
  <c r="AF161" i="7" s="1"/>
  <c r="T158" i="6"/>
  <c r="V158" i="6" s="1"/>
  <c r="AA161" i="7" s="1"/>
  <c r="AL161" i="7" s="1"/>
  <c r="T241" i="6"/>
  <c r="V241" i="6" s="1"/>
  <c r="AA244" i="7" s="1"/>
  <c r="AL244" i="7" s="1"/>
  <c r="Q241" i="6"/>
  <c r="G108" i="6"/>
  <c r="I111" i="7" s="1"/>
  <c r="AK111" i="7" s="1"/>
  <c r="A111" i="7"/>
  <c r="BK167" i="7"/>
  <c r="BE167" i="7"/>
  <c r="BN167" i="7"/>
  <c r="BL167" i="7"/>
  <c r="T76" i="6"/>
  <c r="V76" i="6" s="1"/>
  <c r="AA79" i="7" s="1"/>
  <c r="AL79" i="7" s="1"/>
  <c r="A79" i="7"/>
  <c r="I76" i="6"/>
  <c r="K79" i="7" s="1"/>
  <c r="Q76" i="6"/>
  <c r="S76" i="6" s="1"/>
  <c r="X79" i="7" s="1"/>
  <c r="BC307" i="7"/>
  <c r="Q121" i="7"/>
  <c r="R121" i="7" s="1"/>
  <c r="AF121" i="7"/>
  <c r="A185" i="7"/>
  <c r="T182" i="6"/>
  <c r="V182" i="6" s="1"/>
  <c r="AA185" i="7" s="1"/>
  <c r="AL185" i="7" s="1"/>
  <c r="Q71" i="7"/>
  <c r="R71" i="7" s="1"/>
  <c r="AG71" i="7"/>
  <c r="Z80" i="6"/>
  <c r="AE83" i="7" s="1"/>
  <c r="I80" i="6"/>
  <c r="K83" i="7" s="1"/>
  <c r="AG216" i="7"/>
  <c r="BJ216" i="7" s="1"/>
  <c r="AF216" i="7"/>
  <c r="BD134" i="7"/>
  <c r="BB134" i="7"/>
  <c r="BL177" i="7"/>
  <c r="T229" i="6"/>
  <c r="V229" i="6" s="1"/>
  <c r="AA232" i="7" s="1"/>
  <c r="AL232" i="7" s="1"/>
  <c r="I229" i="6"/>
  <c r="K232" i="7" s="1"/>
  <c r="AG276" i="6"/>
  <c r="I276" i="6"/>
  <c r="K279" i="7" s="1"/>
  <c r="D276" i="6"/>
  <c r="F279" i="7" s="1"/>
  <c r="D32" i="6"/>
  <c r="F35" i="7" s="1"/>
  <c r="F32" i="6"/>
  <c r="H35" i="7" s="1"/>
  <c r="T32" i="6"/>
  <c r="Y35" i="7" s="1"/>
  <c r="Z32" i="6"/>
  <c r="AE35" i="7" s="1"/>
  <c r="Q32" i="6"/>
  <c r="E32" i="6"/>
  <c r="G35" i="7" s="1"/>
  <c r="A235" i="7"/>
  <c r="T232" i="6"/>
  <c r="Y235" i="7" s="1"/>
  <c r="AF176" i="7"/>
  <c r="Q176" i="7"/>
  <c r="R176" i="7" s="1"/>
  <c r="AG176" i="7"/>
  <c r="BB176" i="7" s="1"/>
  <c r="AG70" i="7"/>
  <c r="AF70" i="7"/>
  <c r="AG257" i="7"/>
  <c r="Q257" i="7"/>
  <c r="R257" i="7" s="1"/>
  <c r="G76" i="6"/>
  <c r="I79" i="7" s="1"/>
  <c r="AK79" i="7" s="1"/>
  <c r="T155" i="6"/>
  <c r="V155" i="6" s="1"/>
  <c r="AA158" i="7" s="1"/>
  <c r="AL158" i="7" s="1"/>
  <c r="Q276" i="6"/>
  <c r="S276" i="6" s="1"/>
  <c r="X279" i="7" s="1"/>
  <c r="I212" i="6"/>
  <c r="K215" i="7" s="1"/>
  <c r="H32" i="6"/>
  <c r="J35" i="7" s="1"/>
  <c r="T176" i="6"/>
  <c r="V176" i="6" s="1"/>
  <c r="AA179" i="7" s="1"/>
  <c r="AL179" i="7" s="1"/>
  <c r="Q176" i="6"/>
  <c r="V179" i="7" s="1"/>
  <c r="A119" i="7"/>
  <c r="Q116" i="6"/>
  <c r="AG280" i="7"/>
  <c r="Q280" i="7"/>
  <c r="R280" i="7" s="1"/>
  <c r="AF280" i="7"/>
  <c r="AG63" i="7"/>
  <c r="Q63" i="7"/>
  <c r="R63" i="7" s="1"/>
  <c r="AG281" i="7"/>
  <c r="Q281" i="7"/>
  <c r="R281" i="7" s="1"/>
  <c r="Q261" i="6"/>
  <c r="V264" i="7" s="1"/>
  <c r="F261" i="6"/>
  <c r="H264" i="7" s="1"/>
  <c r="A264" i="7"/>
  <c r="T283" i="6"/>
  <c r="V283" i="6" s="1"/>
  <c r="AA286" i="7" s="1"/>
  <c r="AL286" i="7" s="1"/>
  <c r="A286" i="7"/>
  <c r="I283" i="6"/>
  <c r="K286" i="7" s="1"/>
  <c r="D308" i="6"/>
  <c r="F311" i="7" s="1"/>
  <c r="T308" i="6"/>
  <c r="V308" i="6" s="1"/>
  <c r="AA311" i="7" s="1"/>
  <c r="AL311" i="7" s="1"/>
  <c r="BO98" i="7"/>
  <c r="BP98" i="7" s="1"/>
  <c r="BE98" i="7"/>
  <c r="AD95" i="6" s="1"/>
  <c r="BL98" i="7"/>
  <c r="AH95" i="6" s="1"/>
  <c r="BM98" i="7"/>
  <c r="AI95" i="6" s="1"/>
  <c r="AG239" i="7"/>
  <c r="Q239" i="7"/>
  <c r="R239" i="7" s="1"/>
  <c r="H54" i="6"/>
  <c r="J57" i="7" s="1"/>
  <c r="E54" i="6"/>
  <c r="G57" i="7" s="1"/>
  <c r="G54" i="6"/>
  <c r="I57" i="7" s="1"/>
  <c r="AG54" i="6"/>
  <c r="F54" i="6"/>
  <c r="H57" i="7" s="1"/>
  <c r="I54" i="6"/>
  <c r="K57" i="7" s="1"/>
  <c r="D54" i="6"/>
  <c r="F57" i="7" s="1"/>
  <c r="Z54" i="6"/>
  <c r="AE57" i="7" s="1"/>
  <c r="Q54" i="6"/>
  <c r="S54" i="6" s="1"/>
  <c r="X57" i="7" s="1"/>
  <c r="A57" i="7"/>
  <c r="BN177" i="7"/>
  <c r="BG177" i="7"/>
  <c r="BK177" i="7"/>
  <c r="BF177" i="7"/>
  <c r="Q177" i="7"/>
  <c r="R177" i="7" s="1"/>
  <c r="BO177" i="7"/>
  <c r="BP177" i="7" s="1"/>
  <c r="BM177" i="7"/>
  <c r="AK56" i="7"/>
  <c r="Q308" i="6"/>
  <c r="S308" i="6" s="1"/>
  <c r="X311" i="7" s="1"/>
  <c r="BG167" i="7"/>
  <c r="E158" i="6"/>
  <c r="G161" i="7" s="1"/>
  <c r="Z234" i="6"/>
  <c r="AE237" i="7" s="1"/>
  <c r="Q237" i="7" s="1"/>
  <c r="Q234" i="6"/>
  <c r="AF177" i="7"/>
  <c r="BG209" i="7"/>
  <c r="Q190" i="7"/>
  <c r="R190" i="7" s="1"/>
  <c r="BM167" i="7"/>
  <c r="H276" i="6"/>
  <c r="J279" i="7" s="1"/>
  <c r="BC134" i="7"/>
  <c r="I256" i="6"/>
  <c r="K259" i="7" s="1"/>
  <c r="T256" i="6"/>
  <c r="V256" i="6" s="1"/>
  <c r="AA259" i="7" s="1"/>
  <c r="AL259" i="7" s="1"/>
  <c r="BL96" i="7"/>
  <c r="AH93" i="6" s="1"/>
  <c r="AF263" i="7"/>
  <c r="AH82" i="7"/>
  <c r="AI82" i="7" s="1"/>
  <c r="AF289" i="7"/>
  <c r="AF40" i="7"/>
  <c r="AF190" i="7"/>
  <c r="R106" i="7"/>
  <c r="R64" i="7"/>
  <c r="T255" i="6"/>
  <c r="I308" i="6"/>
  <c r="K311" i="7" s="1"/>
  <c r="Z228" i="6"/>
  <c r="AE231" i="7" s="1"/>
  <c r="BK231" i="7" s="1"/>
  <c r="D263" i="6"/>
  <c r="F266" i="7" s="1"/>
  <c r="T263" i="6"/>
  <c r="V263" i="6" s="1"/>
  <c r="AA266" i="7" s="1"/>
  <c r="AL266" i="7" s="1"/>
  <c r="AG114" i="6"/>
  <c r="Z114" i="6"/>
  <c r="AE117" i="7" s="1"/>
  <c r="G302" i="6"/>
  <c r="I305" i="7" s="1"/>
  <c r="BJ209" i="7"/>
  <c r="Q209" i="7"/>
  <c r="R209" i="7" s="1"/>
  <c r="E107" i="6"/>
  <c r="G110" i="7" s="1"/>
  <c r="A110" i="7"/>
  <c r="AG106" i="7"/>
  <c r="BE106" i="7"/>
  <c r="AD103" i="6" s="1"/>
  <c r="BJ261" i="7"/>
  <c r="BC261" i="7"/>
  <c r="BK64" i="7"/>
  <c r="Z126" i="6"/>
  <c r="AE129" i="7" s="1"/>
  <c r="BN106" i="7"/>
  <c r="AH271" i="7"/>
  <c r="AI271" i="7" s="1"/>
  <c r="AF239" i="7"/>
  <c r="A58" i="7"/>
  <c r="G32" i="6"/>
  <c r="I35" i="7" s="1"/>
  <c r="G41" i="6"/>
  <c r="I44" i="7" s="1"/>
  <c r="AK44" i="7" s="1"/>
  <c r="Q42" i="6"/>
  <c r="V45" i="7" s="1"/>
  <c r="T55" i="6"/>
  <c r="Y58" i="7" s="1"/>
  <c r="AK80" i="7"/>
  <c r="Q83" i="6"/>
  <c r="Q90" i="6"/>
  <c r="V93" i="7" s="1"/>
  <c r="T107" i="6"/>
  <c r="V107" i="6" s="1"/>
  <c r="AA110" i="7" s="1"/>
  <c r="AL110" i="7" s="1"/>
  <c r="A117" i="7"/>
  <c r="G143" i="6"/>
  <c r="I146" i="7" s="1"/>
  <c r="AJ146" i="7" s="1"/>
  <c r="T180" i="6"/>
  <c r="V180" i="6" s="1"/>
  <c r="AA183" i="7" s="1"/>
  <c r="AL183" i="7" s="1"/>
  <c r="Q229" i="6"/>
  <c r="S229" i="6" s="1"/>
  <c r="X232" i="7" s="1"/>
  <c r="Q169" i="6"/>
  <c r="A197" i="7"/>
  <c r="G261" i="6"/>
  <c r="I264" i="7" s="1"/>
  <c r="AJ264" i="7" s="1"/>
  <c r="Q292" i="6"/>
  <c r="S292" i="6" s="1"/>
  <c r="X295" i="7" s="1"/>
  <c r="T238" i="6"/>
  <c r="Y241" i="7" s="1"/>
  <c r="A295" i="7"/>
  <c r="AJ271" i="7"/>
  <c r="Q283" i="6"/>
  <c r="V286" i="7" s="1"/>
  <c r="Q312" i="6"/>
  <c r="S312" i="6" s="1"/>
  <c r="X315" i="7" s="1"/>
  <c r="Q305" i="6"/>
  <c r="S305" i="6" s="1"/>
  <c r="X308" i="7" s="1"/>
  <c r="I193" i="6"/>
  <c r="K196" i="7" s="1"/>
  <c r="AF159" i="7"/>
  <c r="AJ64" i="7"/>
  <c r="AH91" i="7"/>
  <c r="AI91" i="7" s="1"/>
  <c r="E308" i="6"/>
  <c r="G311" i="7" s="1"/>
  <c r="F143" i="6"/>
  <c r="H146" i="7" s="1"/>
  <c r="G238" i="6"/>
  <c r="I241" i="7" s="1"/>
  <c r="T261" i="6"/>
  <c r="V261" i="6" s="1"/>
  <c r="AA264" i="7" s="1"/>
  <c r="AL264" i="7" s="1"/>
  <c r="AG263" i="6"/>
  <c r="I292" i="6"/>
  <c r="K295" i="7" s="1"/>
  <c r="D114" i="6"/>
  <c r="F117" i="7" s="1"/>
  <c r="Q114" i="6"/>
  <c r="AG302" i="6"/>
  <c r="Z312" i="6"/>
  <c r="AE315" i="7" s="1"/>
  <c r="AF315" i="7" s="1"/>
  <c r="Q216" i="7"/>
  <c r="R216" i="7" s="1"/>
  <c r="BD209" i="7"/>
  <c r="A35" i="7"/>
  <c r="Q126" i="6"/>
  <c r="S126" i="6" s="1"/>
  <c r="X129" i="7" s="1"/>
  <c r="G276" i="6"/>
  <c r="I279" i="7" s="1"/>
  <c r="AF233" i="7"/>
  <c r="BF209" i="7"/>
  <c r="BK209" i="7"/>
  <c r="BE209" i="7"/>
  <c r="F107" i="6"/>
  <c r="H110" i="7" s="1"/>
  <c r="AG107" i="6"/>
  <c r="AF63" i="7"/>
  <c r="BN98" i="7"/>
  <c r="BK98" i="7"/>
  <c r="F276" i="6"/>
  <c r="H279" i="7" s="1"/>
  <c r="BJ134" i="7"/>
  <c r="BG98" i="7"/>
  <c r="AF95" i="6" s="1"/>
  <c r="AF182" i="7"/>
  <c r="I32" i="6"/>
  <c r="K35" i="7" s="1"/>
  <c r="I42" i="6"/>
  <c r="K45" i="7" s="1"/>
  <c r="I63" i="6"/>
  <c r="K66" i="7" s="1"/>
  <c r="AJ80" i="7"/>
  <c r="I107" i="6"/>
  <c r="K110" i="7" s="1"/>
  <c r="AK75" i="7"/>
  <c r="T126" i="6"/>
  <c r="V126" i="6" s="1"/>
  <c r="AA129" i="7" s="1"/>
  <c r="AL129" i="7" s="1"/>
  <c r="T143" i="6"/>
  <c r="V143" i="6" s="1"/>
  <c r="AA146" i="7" s="1"/>
  <c r="AL146" i="7" s="1"/>
  <c r="T134" i="6"/>
  <c r="Y137" i="7" s="1"/>
  <c r="T242" i="6"/>
  <c r="Y245" i="7" s="1"/>
  <c r="A266" i="7"/>
  <c r="A311" i="7"/>
  <c r="T29" i="6"/>
  <c r="V29" i="6" s="1"/>
  <c r="AA32" i="7" s="1"/>
  <c r="AL32" i="7" s="1"/>
  <c r="G193" i="6"/>
  <c r="I196" i="7" s="1"/>
  <c r="AJ196" i="7" s="1"/>
  <c r="A305" i="7"/>
  <c r="G308" i="6"/>
  <c r="I311" i="7" s="1"/>
  <c r="G312" i="6"/>
  <c r="I315" i="7" s="1"/>
  <c r="AK315" i="7" s="1"/>
  <c r="BF64" i="7"/>
  <c r="AE61" i="6" s="1"/>
  <c r="BG73" i="7"/>
  <c r="AF70" i="6" s="1"/>
  <c r="H109" i="6"/>
  <c r="J112" i="7" s="1"/>
  <c r="A102" i="7"/>
  <c r="T292" i="6"/>
  <c r="G197" i="6"/>
  <c r="I200" i="7" s="1"/>
  <c r="AF314" i="7"/>
  <c r="Q134" i="7"/>
  <c r="R134" i="7" s="1"/>
  <c r="H114" i="6"/>
  <c r="J117" i="7" s="1"/>
  <c r="I114" i="6"/>
  <c r="K117" i="7" s="1"/>
  <c r="BC225" i="7"/>
  <c r="I41" i="6"/>
  <c r="K44" i="7" s="1"/>
  <c r="AH55" i="7"/>
  <c r="AI55" i="7" s="1"/>
  <c r="T276" i="6"/>
  <c r="BL209" i="7"/>
  <c r="AF209" i="7"/>
  <c r="D107" i="6"/>
  <c r="F110" i="7" s="1"/>
  <c r="BB261" i="7"/>
  <c r="Z276" i="6"/>
  <c r="AE279" i="7" s="1"/>
  <c r="BM279" i="7" s="1"/>
  <c r="E276" i="6"/>
  <c r="G279" i="7" s="1"/>
  <c r="I47" i="6"/>
  <c r="K50" i="7" s="1"/>
  <c r="A44" i="7"/>
  <c r="Q33" i="6"/>
  <c r="S33" i="6" s="1"/>
  <c r="X36" i="7" s="1"/>
  <c r="G48" i="6"/>
  <c r="I51" i="7" s="1"/>
  <c r="AJ51" i="7" s="1"/>
  <c r="Q51" i="6"/>
  <c r="V54" i="7" s="1"/>
  <c r="T80" i="6"/>
  <c r="V80" i="6" s="1"/>
  <c r="AA83" i="7" s="1"/>
  <c r="AL83" i="7" s="1"/>
  <c r="G106" i="6"/>
  <c r="I109" i="7" s="1"/>
  <c r="AK109" i="7" s="1"/>
  <c r="G109" i="6"/>
  <c r="I112" i="7" s="1"/>
  <c r="AJ112" i="7" s="1"/>
  <c r="I109" i="6"/>
  <c r="K112" i="7" s="1"/>
  <c r="Q150" i="6"/>
  <c r="V153" i="7" s="1"/>
  <c r="Q158" i="6"/>
  <c r="V161" i="7" s="1"/>
  <c r="G172" i="6"/>
  <c r="I175" i="7" s="1"/>
  <c r="AJ175" i="7" s="1"/>
  <c r="Q182" i="6"/>
  <c r="S182" i="6" s="1"/>
  <c r="X185" i="7" s="1"/>
  <c r="I171" i="6"/>
  <c r="K174" i="7" s="1"/>
  <c r="Q189" i="6"/>
  <c r="S189" i="6" s="1"/>
  <c r="X192" i="7" s="1"/>
  <c r="Q197" i="6"/>
  <c r="V200" i="7" s="1"/>
  <c r="I215" i="6"/>
  <c r="K218" i="7" s="1"/>
  <c r="A254" i="7"/>
  <c r="T248" i="6"/>
  <c r="V248" i="6" s="1"/>
  <c r="AA251" i="7" s="1"/>
  <c r="AL251" i="7" s="1"/>
  <c r="Q201" i="6"/>
  <c r="S201" i="6" s="1"/>
  <c r="X204" i="7" s="1"/>
  <c r="Q205" i="6"/>
  <c r="V208" i="7" s="1"/>
  <c r="Q303" i="6"/>
  <c r="A315" i="7"/>
  <c r="Q221" i="7"/>
  <c r="R221" i="7" s="1"/>
  <c r="BO64" i="7"/>
  <c r="BP64" i="7" s="1"/>
  <c r="BM64" i="7"/>
  <c r="AI61" i="6" s="1"/>
  <c r="Q269" i="6"/>
  <c r="S269" i="6" s="1"/>
  <c r="X272" i="7" s="1"/>
  <c r="Z109" i="6"/>
  <c r="AE112" i="7" s="1"/>
  <c r="AF112" i="7" s="1"/>
  <c r="Y131" i="7"/>
  <c r="A153" i="7"/>
  <c r="T237" i="6"/>
  <c r="AG158" i="6"/>
  <c r="D197" i="6"/>
  <c r="F200" i="7" s="1"/>
  <c r="I297" i="6"/>
  <c r="K300" i="7" s="1"/>
  <c r="BL205" i="7"/>
  <c r="BC190" i="7"/>
  <c r="T41" i="6"/>
  <c r="V41" i="6" s="1"/>
  <c r="AA44" i="7" s="1"/>
  <c r="AL44" i="7" s="1"/>
  <c r="T251" i="6"/>
  <c r="F158" i="6"/>
  <c r="H161" i="7" s="1"/>
  <c r="Q160" i="7"/>
  <c r="R160" i="7" s="1"/>
  <c r="AH60" i="7"/>
  <c r="AI60" i="7" s="1"/>
  <c r="I237" i="6"/>
  <c r="K240" i="7" s="1"/>
  <c r="G80" i="6"/>
  <c r="I83" i="7" s="1"/>
  <c r="BM106" i="7"/>
  <c r="AI103" i="6" s="1"/>
  <c r="R263" i="7"/>
  <c r="AG87" i="7"/>
  <c r="AF147" i="7"/>
  <c r="Q47" i="6"/>
  <c r="V50" i="7" s="1"/>
  <c r="T33" i="6"/>
  <c r="Y36" i="7" s="1"/>
  <c r="G33" i="6"/>
  <c r="I36" i="7" s="1"/>
  <c r="I51" i="6"/>
  <c r="K54" i="7" s="1"/>
  <c r="A83" i="7"/>
  <c r="BL83" i="7" s="1"/>
  <c r="AH80" i="6" s="1"/>
  <c r="A107" i="7"/>
  <c r="I150" i="6"/>
  <c r="K153" i="7" s="1"/>
  <c r="Q109" i="6"/>
  <c r="V112" i="7" s="1"/>
  <c r="Q135" i="6"/>
  <c r="S135" i="6" s="1"/>
  <c r="X138" i="7" s="1"/>
  <c r="A186" i="7"/>
  <c r="A174" i="7"/>
  <c r="I189" i="6"/>
  <c r="K192" i="7" s="1"/>
  <c r="I195" i="6"/>
  <c r="K198" i="7" s="1"/>
  <c r="G215" i="6"/>
  <c r="I218" i="7" s="1"/>
  <c r="AJ218" i="7" s="1"/>
  <c r="I242" i="6"/>
  <c r="K245" i="7" s="1"/>
  <c r="A258" i="7"/>
  <c r="A270" i="7"/>
  <c r="T228" i="6"/>
  <c r="V228" i="6" s="1"/>
  <c r="AA231" i="7" s="1"/>
  <c r="AL231" i="7" s="1"/>
  <c r="A204" i="7"/>
  <c r="A208" i="7"/>
  <c r="G297" i="6"/>
  <c r="I300" i="7" s="1"/>
  <c r="AJ300" i="7" s="1"/>
  <c r="Q30" i="6"/>
  <c r="V33" i="7" s="1"/>
  <c r="AG268" i="7"/>
  <c r="BJ268" i="7" s="1"/>
  <c r="BN64" i="7"/>
  <c r="BE64" i="7"/>
  <c r="AD61" i="6" s="1"/>
  <c r="AH67" i="7"/>
  <c r="AI67" i="7" s="1"/>
  <c r="Q255" i="6"/>
  <c r="E109" i="6"/>
  <c r="G112" i="7" s="1"/>
  <c r="G228" i="6"/>
  <c r="I231" i="7" s="1"/>
  <c r="G248" i="6"/>
  <c r="I251" i="7" s="1"/>
  <c r="G158" i="6"/>
  <c r="I161" i="7" s="1"/>
  <c r="V213" i="6"/>
  <c r="AA216" i="7" s="1"/>
  <c r="AL216" i="7" s="1"/>
  <c r="AK281" i="7"/>
  <c r="D30" i="6"/>
  <c r="F33" i="7" s="1"/>
  <c r="Q131" i="7"/>
  <c r="R131" i="7" s="1"/>
  <c r="AG121" i="7"/>
  <c r="BB121" i="7" s="1"/>
  <c r="BO72" i="7"/>
  <c r="BP72" i="7" s="1"/>
  <c r="BJ205" i="7"/>
  <c r="AH76" i="7"/>
  <c r="AI76" i="7" s="1"/>
  <c r="AF53" i="7"/>
  <c r="BK205" i="7"/>
  <c r="Q205" i="7"/>
  <c r="R205" i="7" s="1"/>
  <c r="BC178" i="7"/>
  <c r="BJ178" i="7"/>
  <c r="AG210" i="7"/>
  <c r="Q210" i="7"/>
  <c r="R210" i="7" s="1"/>
  <c r="AK55" i="7"/>
  <c r="I48" i="6"/>
  <c r="K51" i="7" s="1"/>
  <c r="Q80" i="6"/>
  <c r="S80" i="6" s="1"/>
  <c r="X83" i="7" s="1"/>
  <c r="T109" i="6"/>
  <c r="Y112" i="7" s="1"/>
  <c r="I158" i="6"/>
  <c r="K161" i="7" s="1"/>
  <c r="Q237" i="6"/>
  <c r="S237" i="6" s="1"/>
  <c r="X240" i="7" s="1"/>
  <c r="A240" i="7"/>
  <c r="BM240" i="7" s="1"/>
  <c r="I228" i="6"/>
  <c r="K231" i="7" s="1"/>
  <c r="Q248" i="6"/>
  <c r="S248" i="6" s="1"/>
  <c r="X251" i="7" s="1"/>
  <c r="T306" i="6"/>
  <c r="T30" i="6"/>
  <c r="Y33" i="7" s="1"/>
  <c r="AF64" i="7"/>
  <c r="A161" i="7"/>
  <c r="H297" i="6"/>
  <c r="J300" i="7" s="1"/>
  <c r="I30" i="6"/>
  <c r="K33" i="7" s="1"/>
  <c r="AF205" i="7"/>
  <c r="AF131" i="7"/>
  <c r="D158" i="6"/>
  <c r="F161" i="7" s="1"/>
  <c r="BD205" i="7"/>
  <c r="BC281" i="7"/>
  <c r="A291" i="7"/>
  <c r="Q288" i="6"/>
  <c r="V291" i="7" s="1"/>
  <c r="I270" i="6"/>
  <c r="K273" i="7" s="1"/>
  <c r="T270" i="6"/>
  <c r="V270" i="6" s="1"/>
  <c r="AA273" i="7" s="1"/>
  <c r="AL273" i="7" s="1"/>
  <c r="Q152" i="6"/>
  <c r="S152" i="6" s="1"/>
  <c r="X155" i="7" s="1"/>
  <c r="T152" i="6"/>
  <c r="I309" i="6"/>
  <c r="K312" i="7" s="1"/>
  <c r="T309" i="6"/>
  <c r="V309" i="6" s="1"/>
  <c r="AA312" i="7" s="1"/>
  <c r="AL312" i="7" s="1"/>
  <c r="G309" i="6"/>
  <c r="I312" i="7" s="1"/>
  <c r="AJ312" i="7" s="1"/>
  <c r="AG275" i="7"/>
  <c r="Q275" i="7"/>
  <c r="R275" i="7" s="1"/>
  <c r="H293" i="6"/>
  <c r="J296" i="7" s="1"/>
  <c r="G293" i="6"/>
  <c r="I296" i="7" s="1"/>
  <c r="AJ296" i="7" s="1"/>
  <c r="A296" i="7"/>
  <c r="AF76" i="7"/>
  <c r="AG76" i="7"/>
  <c r="G117" i="6"/>
  <c r="I120" i="7" s="1"/>
  <c r="A89" i="7"/>
  <c r="Q117" i="6"/>
  <c r="V120" i="7" s="1"/>
  <c r="Q270" i="6"/>
  <c r="V273" i="7" s="1"/>
  <c r="A292" i="7"/>
  <c r="T289" i="6"/>
  <c r="G271" i="6"/>
  <c r="I274" i="7" s="1"/>
  <c r="AJ274" i="7" s="1"/>
  <c r="A274" i="7"/>
  <c r="AG39" i="7"/>
  <c r="BB39" i="7" s="1"/>
  <c r="Q39" i="7"/>
  <c r="AJ275" i="7"/>
  <c r="AK275" i="7"/>
  <c r="BB249" i="7"/>
  <c r="BC249" i="7"/>
  <c r="BD249" i="7"/>
  <c r="A229" i="7"/>
  <c r="T226" i="6"/>
  <c r="Y229" i="7" s="1"/>
  <c r="T102" i="6"/>
  <c r="I102" i="6"/>
  <c r="K105" i="7" s="1"/>
  <c r="AG129" i="7"/>
  <c r="Z44" i="6"/>
  <c r="AE47" i="7" s="1"/>
  <c r="AF47" i="7" s="1"/>
  <c r="F44" i="6"/>
  <c r="H47" i="7" s="1"/>
  <c r="Q44" i="6"/>
  <c r="S44" i="6" s="1"/>
  <c r="X47" i="7" s="1"/>
  <c r="E44" i="6"/>
  <c r="G47" i="7" s="1"/>
  <c r="F82" i="6"/>
  <c r="H85" i="7" s="1"/>
  <c r="D82" i="6"/>
  <c r="F85" i="7" s="1"/>
  <c r="F122" i="6"/>
  <c r="H125" i="7" s="1"/>
  <c r="E122" i="6"/>
  <c r="G125" i="7" s="1"/>
  <c r="AG122" i="6"/>
  <c r="A125" i="7"/>
  <c r="D122" i="6"/>
  <c r="F125" i="7" s="1"/>
  <c r="D129" i="6"/>
  <c r="F132" i="7" s="1"/>
  <c r="H129" i="6"/>
  <c r="J132" i="7" s="1"/>
  <c r="Z129" i="6"/>
  <c r="AE132" i="7" s="1"/>
  <c r="E129" i="6"/>
  <c r="G132" i="7" s="1"/>
  <c r="A132" i="7"/>
  <c r="AG129" i="6"/>
  <c r="F129" i="6"/>
  <c r="H132" i="7" s="1"/>
  <c r="AG55" i="7"/>
  <c r="Q55" i="7"/>
  <c r="R55" i="7" s="1"/>
  <c r="E49" i="6"/>
  <c r="G52" i="7" s="1"/>
  <c r="D49" i="6"/>
  <c r="F52" i="7" s="1"/>
  <c r="AG49" i="6"/>
  <c r="Z49" i="6"/>
  <c r="AE52" i="7" s="1"/>
  <c r="Z287" i="6"/>
  <c r="AE290" i="7" s="1"/>
  <c r="E287" i="6"/>
  <c r="G290" i="7" s="1"/>
  <c r="D287" i="6"/>
  <c r="F290" i="7" s="1"/>
  <c r="H287" i="6"/>
  <c r="J290" i="7" s="1"/>
  <c r="Q287" i="6"/>
  <c r="S287" i="6" s="1"/>
  <c r="X290" i="7" s="1"/>
  <c r="F287" i="6"/>
  <c r="H290" i="7" s="1"/>
  <c r="A290" i="7"/>
  <c r="Z125" i="6"/>
  <c r="AE128" i="7" s="1"/>
  <c r="AG125" i="6"/>
  <c r="H125" i="6"/>
  <c r="J128" i="7" s="1"/>
  <c r="D125" i="6"/>
  <c r="F128" i="7" s="1"/>
  <c r="E125" i="6"/>
  <c r="G128" i="7" s="1"/>
  <c r="F125" i="6"/>
  <c r="H128" i="7" s="1"/>
  <c r="G125" i="6"/>
  <c r="I128" i="7" s="1"/>
  <c r="A47" i="7"/>
  <c r="A52" i="7"/>
  <c r="BK52" i="7" s="1"/>
  <c r="Q49" i="6"/>
  <c r="S49" i="6" s="1"/>
  <c r="X52" i="7" s="1"/>
  <c r="AJ84" i="7"/>
  <c r="Q129" i="6"/>
  <c r="S129" i="6" s="1"/>
  <c r="X132" i="7" s="1"/>
  <c r="I125" i="6"/>
  <c r="K128" i="7" s="1"/>
  <c r="Q82" i="6"/>
  <c r="S82" i="6" s="1"/>
  <c r="X85" i="7" s="1"/>
  <c r="Q226" i="6"/>
  <c r="T163" i="6"/>
  <c r="V163" i="6" s="1"/>
  <c r="AA166" i="7" s="1"/>
  <c r="AL166" i="7" s="1"/>
  <c r="T299" i="6"/>
  <c r="V299" i="6" s="1"/>
  <c r="AA302" i="7" s="1"/>
  <c r="AL302" i="7" s="1"/>
  <c r="AJ249" i="7"/>
  <c r="I279" i="6"/>
  <c r="K282" i="7" s="1"/>
  <c r="AF39" i="7"/>
  <c r="G129" i="6"/>
  <c r="I132" i="7" s="1"/>
  <c r="AK132" i="7" s="1"/>
  <c r="T170" i="6"/>
  <c r="V170" i="6" s="1"/>
  <c r="AA173" i="7" s="1"/>
  <c r="AL173" i="7" s="1"/>
  <c r="I170" i="6"/>
  <c r="K173" i="7" s="1"/>
  <c r="Q209" i="6"/>
  <c r="S209" i="6" s="1"/>
  <c r="X212" i="7" s="1"/>
  <c r="G209" i="6"/>
  <c r="I212" i="7" s="1"/>
  <c r="AK212" i="7" s="1"/>
  <c r="I293" i="6"/>
  <c r="K296" i="7" s="1"/>
  <c r="T122" i="6"/>
  <c r="Y125" i="7" s="1"/>
  <c r="Q242" i="6"/>
  <c r="G242" i="6"/>
  <c r="I245" i="7" s="1"/>
  <c r="A128" i="7"/>
  <c r="Q221" i="6"/>
  <c r="S221" i="6" s="1"/>
  <c r="X224" i="7" s="1"/>
  <c r="G221" i="6"/>
  <c r="I224" i="7" s="1"/>
  <c r="AG287" i="6"/>
  <c r="D44" i="6"/>
  <c r="F47" i="7" s="1"/>
  <c r="A308" i="7"/>
  <c r="G305" i="6"/>
  <c r="I308" i="7" s="1"/>
  <c r="AK308" i="7" s="1"/>
  <c r="H49" i="6"/>
  <c r="J52" i="7" s="1"/>
  <c r="A203" i="7"/>
  <c r="I200" i="6"/>
  <c r="K203" i="7" s="1"/>
  <c r="BJ313" i="7"/>
  <c r="Q43" i="7"/>
  <c r="R43" i="7" s="1"/>
  <c r="AF43" i="7"/>
  <c r="I182" i="6"/>
  <c r="K185" i="7" s="1"/>
  <c r="AG182" i="6"/>
  <c r="Z182" i="6"/>
  <c r="AE185" i="7" s="1"/>
  <c r="D182" i="6"/>
  <c r="F185" i="7" s="1"/>
  <c r="E182" i="6"/>
  <c r="G185" i="7" s="1"/>
  <c r="H182" i="6"/>
  <c r="J185" i="7" s="1"/>
  <c r="F182" i="6"/>
  <c r="H185" i="7" s="1"/>
  <c r="G182" i="6"/>
  <c r="I185" i="7" s="1"/>
  <c r="AK185" i="7" s="1"/>
  <c r="E80" i="6"/>
  <c r="G83" i="7" s="1"/>
  <c r="H80" i="6"/>
  <c r="J83" i="7" s="1"/>
  <c r="F80" i="6"/>
  <c r="H83" i="7" s="1"/>
  <c r="D80" i="6"/>
  <c r="F83" i="7" s="1"/>
  <c r="AG80" i="6"/>
  <c r="BO106" i="7"/>
  <c r="BP106" i="7" s="1"/>
  <c r="BF106" i="7"/>
  <c r="AE103" i="6" s="1"/>
  <c r="BG106" i="7"/>
  <c r="AF103" i="6" s="1"/>
  <c r="AG237" i="6"/>
  <c r="E237" i="6"/>
  <c r="G240" i="7" s="1"/>
  <c r="F237" i="6"/>
  <c r="H240" i="7" s="1"/>
  <c r="G237" i="6"/>
  <c r="I240" i="7" s="1"/>
  <c r="D237" i="6"/>
  <c r="F240" i="7" s="1"/>
  <c r="H237" i="6"/>
  <c r="J240" i="7" s="1"/>
  <c r="BN205" i="7"/>
  <c r="BO205" i="7"/>
  <c r="BP205" i="7" s="1"/>
  <c r="BG205" i="7"/>
  <c r="BF205" i="7"/>
  <c r="BM205" i="7"/>
  <c r="T293" i="6"/>
  <c r="V293" i="6" s="1"/>
  <c r="AA296" i="7" s="1"/>
  <c r="AL296" i="7" s="1"/>
  <c r="A312" i="7"/>
  <c r="AF298" i="7"/>
  <c r="AG298" i="7"/>
  <c r="BD298" i="7" s="1"/>
  <c r="Q227" i="6"/>
  <c r="V230" i="7" s="1"/>
  <c r="G227" i="6"/>
  <c r="I230" i="7" s="1"/>
  <c r="AK230" i="7" s="1"/>
  <c r="G44" i="6"/>
  <c r="I47" i="7" s="1"/>
  <c r="AK47" i="7" s="1"/>
  <c r="T49" i="6"/>
  <c r="Y52" i="7" s="1"/>
  <c r="AJ55" i="7"/>
  <c r="A115" i="7"/>
  <c r="T129" i="6"/>
  <c r="Y132" i="7" s="1"/>
  <c r="Q125" i="6"/>
  <c r="S125" i="6" s="1"/>
  <c r="X128" i="7" s="1"/>
  <c r="I82" i="6"/>
  <c r="K85" i="7" s="1"/>
  <c r="T82" i="6"/>
  <c r="Y85" i="7" s="1"/>
  <c r="Q122" i="6"/>
  <c r="S122" i="6" s="1"/>
  <c r="X125" i="7" s="1"/>
  <c r="I163" i="6"/>
  <c r="K166" i="7" s="1"/>
  <c r="Q195" i="6"/>
  <c r="V198" i="7" s="1"/>
  <c r="T287" i="6"/>
  <c r="Y290" i="7" s="1"/>
  <c r="I112" i="6"/>
  <c r="K115" i="7" s="1"/>
  <c r="F49" i="6"/>
  <c r="H52" i="7" s="1"/>
  <c r="Z122" i="6"/>
  <c r="AE125" i="7" s="1"/>
  <c r="I129" i="6"/>
  <c r="K132" i="7" s="1"/>
  <c r="G194" i="6"/>
  <c r="I197" i="7" s="1"/>
  <c r="AK197" i="7" s="1"/>
  <c r="T194" i="6"/>
  <c r="Y197" i="7" s="1"/>
  <c r="AH190" i="7"/>
  <c r="AI190" i="7" s="1"/>
  <c r="AK190" i="7"/>
  <c r="Q198" i="6"/>
  <c r="S198" i="6" s="1"/>
  <c r="X201" i="7" s="1"/>
  <c r="G198" i="6"/>
  <c r="I201" i="7" s="1"/>
  <c r="AJ201" i="7" s="1"/>
  <c r="G203" i="6"/>
  <c r="I206" i="7" s="1"/>
  <c r="AJ206" i="7" s="1"/>
  <c r="A206" i="7"/>
  <c r="Q76" i="7"/>
  <c r="R76" i="7" s="1"/>
  <c r="Q137" i="6"/>
  <c r="V140" i="7" s="1"/>
  <c r="I137" i="6"/>
  <c r="K140" i="7" s="1"/>
  <c r="AG56" i="7"/>
  <c r="BB56" i="7" s="1"/>
  <c r="Q56" i="7"/>
  <c r="R56" i="7" s="1"/>
  <c r="D99" i="6"/>
  <c r="F102" i="7" s="1"/>
  <c r="G99" i="6"/>
  <c r="I102" i="7" s="1"/>
  <c r="E99" i="6"/>
  <c r="G102" i="7" s="1"/>
  <c r="G287" i="6"/>
  <c r="I290" i="7" s="1"/>
  <c r="A156" i="7"/>
  <c r="T153" i="6"/>
  <c r="Y156" i="7" s="1"/>
  <c r="BE205" i="7"/>
  <c r="H44" i="6"/>
  <c r="J47" i="7" s="1"/>
  <c r="AF167" i="7"/>
  <c r="AG167" i="7"/>
  <c r="BC167" i="7" s="1"/>
  <c r="Q167" i="7"/>
  <c r="R167" i="7" s="1"/>
  <c r="BF167" i="7"/>
  <c r="BO167" i="7"/>
  <c r="BP167" i="7" s="1"/>
  <c r="BK223" i="7"/>
  <c r="AF56" i="7"/>
  <c r="H126" i="6"/>
  <c r="J129" i="7" s="1"/>
  <c r="F126" i="6"/>
  <c r="H129" i="7" s="1"/>
  <c r="AG126" i="6"/>
  <c r="D126" i="6"/>
  <c r="F129" i="7" s="1"/>
  <c r="BK106" i="7"/>
  <c r="F302" i="6"/>
  <c r="H305" i="7" s="1"/>
  <c r="Z302" i="6"/>
  <c r="AE305" i="7" s="1"/>
  <c r="E302" i="6"/>
  <c r="G305" i="7" s="1"/>
  <c r="D302" i="6"/>
  <c r="F305" i="7" s="1"/>
  <c r="BM40" i="7"/>
  <c r="AI37" i="6" s="1"/>
  <c r="BK40" i="7"/>
  <c r="BE40" i="7"/>
  <c r="AD37" i="6" s="1"/>
  <c r="BF40" i="7"/>
  <c r="AE37" i="6" s="1"/>
  <c r="D275" i="6"/>
  <c r="F278" i="7" s="1"/>
  <c r="H275" i="6"/>
  <c r="J278" i="7" s="1"/>
  <c r="AH278" i="7" s="1"/>
  <c r="AI278" i="7" s="1"/>
  <c r="E275" i="6"/>
  <c r="G278" i="7" s="1"/>
  <c r="F275" i="6"/>
  <c r="H278" i="7" s="1"/>
  <c r="Z46" i="6"/>
  <c r="AE49" i="7" s="1"/>
  <c r="E46" i="6"/>
  <c r="G49" i="7" s="1"/>
  <c r="AG46" i="6"/>
  <c r="H46" i="6"/>
  <c r="J49" i="7" s="1"/>
  <c r="F46" i="6"/>
  <c r="H49" i="7" s="1"/>
  <c r="D46" i="6"/>
  <c r="F49" i="7" s="1"/>
  <c r="AG139" i="6"/>
  <c r="E139" i="6"/>
  <c r="G142" i="7" s="1"/>
  <c r="D139" i="6"/>
  <c r="F142" i="7" s="1"/>
  <c r="H139" i="6"/>
  <c r="J142" i="7" s="1"/>
  <c r="V265" i="6"/>
  <c r="AA268" i="7" s="1"/>
  <c r="AL268" i="7" s="1"/>
  <c r="Y268" i="7"/>
  <c r="AH233" i="7"/>
  <c r="AI233" i="7" s="1"/>
  <c r="BO246" i="7"/>
  <c r="BP246" i="7" s="1"/>
  <c r="AF71" i="7"/>
  <c r="AF61" i="7"/>
  <c r="D36" i="6"/>
  <c r="F39" i="7" s="1"/>
  <c r="A39" i="7"/>
  <c r="BE39" i="7" s="1"/>
  <c r="AD36" i="6" s="1"/>
  <c r="F36" i="6"/>
  <c r="H39" i="7" s="1"/>
  <c r="AG36" i="6"/>
  <c r="E36" i="6"/>
  <c r="G39" i="7" s="1"/>
  <c r="Z92" i="6"/>
  <c r="AE95" i="7" s="1"/>
  <c r="D92" i="6"/>
  <c r="F95" i="7" s="1"/>
  <c r="H92" i="6"/>
  <c r="J95" i="7" s="1"/>
  <c r="AG92" i="6"/>
  <c r="F92" i="6"/>
  <c r="H95" i="7" s="1"/>
  <c r="E92" i="6"/>
  <c r="G95" i="7" s="1"/>
  <c r="BN40" i="7"/>
  <c r="Q40" i="7"/>
  <c r="R40" i="7" s="1"/>
  <c r="BK263" i="7"/>
  <c r="AG263" i="7"/>
  <c r="D229" i="6"/>
  <c r="F232" i="7" s="1"/>
  <c r="H229" i="6"/>
  <c r="J232" i="7" s="1"/>
  <c r="AH232" i="7" s="1"/>
  <c r="AI232" i="7" s="1"/>
  <c r="Z229" i="6"/>
  <c r="AE232" i="7" s="1"/>
  <c r="E229" i="6"/>
  <c r="G232" i="7" s="1"/>
  <c r="AG229" i="6"/>
  <c r="F229" i="6"/>
  <c r="H232" i="7" s="1"/>
  <c r="V249" i="6"/>
  <c r="AA252" i="7" s="1"/>
  <c r="AL252" i="7" s="1"/>
  <c r="Y252" i="7"/>
  <c r="BO263" i="7"/>
  <c r="BP263" i="7" s="1"/>
  <c r="AK67" i="7"/>
  <c r="A99" i="7"/>
  <c r="A144" i="7"/>
  <c r="G253" i="6"/>
  <c r="I256" i="7" s="1"/>
  <c r="Q192" i="6"/>
  <c r="V195" i="7" s="1"/>
  <c r="A284" i="7"/>
  <c r="Q185" i="6"/>
  <c r="V188" i="7" s="1"/>
  <c r="BG79" i="5"/>
  <c r="AU146" i="5"/>
  <c r="AC146" i="5" s="1"/>
  <c r="AG146" i="5" s="1"/>
  <c r="AI146" i="5" s="1"/>
  <c r="AJ146" i="5" s="1"/>
  <c r="AG221" i="7"/>
  <c r="BD221" i="7" s="1"/>
  <c r="AD301" i="5"/>
  <c r="BG282" i="5"/>
  <c r="BA54" i="5"/>
  <c r="AS281" i="5"/>
  <c r="AT281" i="5" s="1"/>
  <c r="E127" i="6"/>
  <c r="G130" i="7" s="1"/>
  <c r="A130" i="7"/>
  <c r="BE180" i="5"/>
  <c r="BF180" i="5" s="1"/>
  <c r="BG180" i="5" s="1"/>
  <c r="AS76" i="5"/>
  <c r="AT76" i="5" s="1"/>
  <c r="AU76" i="5" s="1"/>
  <c r="AC76" i="5" s="1"/>
  <c r="BE76" i="5"/>
  <c r="BF76" i="5" s="1"/>
  <c r="BG76" i="5" s="1"/>
  <c r="AG101" i="7"/>
  <c r="BB101" i="7" s="1"/>
  <c r="AF101" i="7"/>
  <c r="Q101" i="7"/>
  <c r="R101" i="7" s="1"/>
  <c r="BE155" i="5"/>
  <c r="BF155" i="5" s="1"/>
  <c r="AS155" i="5"/>
  <c r="AT155" i="5" s="1"/>
  <c r="AU155" i="5" s="1"/>
  <c r="AC155" i="5" s="1"/>
  <c r="AS237" i="5"/>
  <c r="AT237" i="5" s="1"/>
  <c r="AU237" i="5" s="1"/>
  <c r="AC237" i="5" s="1"/>
  <c r="BE55" i="5"/>
  <c r="BF55" i="5" s="1"/>
  <c r="BG55" i="5" s="1"/>
  <c r="BE164" i="5"/>
  <c r="BF164" i="5" s="1"/>
  <c r="BG164" i="5" s="1"/>
  <c r="AS164" i="5"/>
  <c r="AT164" i="5" s="1"/>
  <c r="AU164" i="5" s="1"/>
  <c r="AC164" i="5" s="1"/>
  <c r="X164" i="5" s="1"/>
  <c r="AY116" i="5"/>
  <c r="AZ116" i="5" s="1"/>
  <c r="BA116" i="5" s="1"/>
  <c r="BE116" i="5"/>
  <c r="BF116" i="5" s="1"/>
  <c r="BG116" i="5" s="1"/>
  <c r="BE196" i="5"/>
  <c r="BF196" i="5" s="1"/>
  <c r="BG196" i="5" s="1"/>
  <c r="AS196" i="5"/>
  <c r="AT196" i="5" s="1"/>
  <c r="AU196" i="5" s="1"/>
  <c r="AC196" i="5" s="1"/>
  <c r="X196" i="5" s="1"/>
  <c r="BE198" i="5"/>
  <c r="BF198" i="5" s="1"/>
  <c r="AS198" i="5"/>
  <c r="AT198" i="5" s="1"/>
  <c r="AU198" i="5" s="1"/>
  <c r="AC198" i="5" s="1"/>
  <c r="X198" i="5" s="1"/>
  <c r="X76" i="5"/>
  <c r="AG82" i="7"/>
  <c r="Q82" i="7"/>
  <c r="R82" i="7" s="1"/>
  <c r="Q127" i="6"/>
  <c r="S127" i="6" s="1"/>
  <c r="X130" i="7" s="1"/>
  <c r="T87" i="6"/>
  <c r="V87" i="6" s="1"/>
  <c r="AA90" i="7" s="1"/>
  <c r="AL90" i="7" s="1"/>
  <c r="Q264" i="6"/>
  <c r="S264" i="6" s="1"/>
  <c r="X267" i="7" s="1"/>
  <c r="X186" i="5"/>
  <c r="A195" i="7"/>
  <c r="I185" i="6"/>
  <c r="K188" i="7" s="1"/>
  <c r="Q96" i="6"/>
  <c r="S96" i="6" s="1"/>
  <c r="X99" i="7" s="1"/>
  <c r="BE211" i="5"/>
  <c r="BF211" i="5" s="1"/>
  <c r="BG211" i="5" s="1"/>
  <c r="H185" i="6"/>
  <c r="J188" i="7" s="1"/>
  <c r="H127" i="6"/>
  <c r="J130" i="7" s="1"/>
  <c r="BE23" i="5"/>
  <c r="BF23" i="5" s="1"/>
  <c r="BG23" i="5" s="1"/>
  <c r="AU247" i="5"/>
  <c r="AC247" i="5" s="1"/>
  <c r="AG247" i="5" s="1"/>
  <c r="AI247" i="5" s="1"/>
  <c r="AJ247" i="5" s="1"/>
  <c r="BG198" i="5"/>
  <c r="AS99" i="5"/>
  <c r="AT99" i="5" s="1"/>
  <c r="AU99" i="5" s="1"/>
  <c r="AC99" i="5" s="1"/>
  <c r="AF99" i="5" s="1"/>
  <c r="AF82" i="7"/>
  <c r="Z55" i="6"/>
  <c r="AE58" i="7" s="1"/>
  <c r="I55" i="6"/>
  <c r="K58" i="7" s="1"/>
  <c r="BJ159" i="7"/>
  <c r="BB159" i="7"/>
  <c r="BD159" i="7"/>
  <c r="F292" i="6"/>
  <c r="H295" i="7" s="1"/>
  <c r="G292" i="6"/>
  <c r="I295" i="7" s="1"/>
  <c r="BD60" i="7"/>
  <c r="BB60" i="7"/>
  <c r="BC60" i="7"/>
  <c r="BE26" i="5"/>
  <c r="BF26" i="5" s="1"/>
  <c r="BG26" i="5" s="1"/>
  <c r="AS26" i="5"/>
  <c r="AT26" i="5" s="1"/>
  <c r="AU26" i="5" s="1"/>
  <c r="AC26" i="5" s="1"/>
  <c r="BE167" i="5"/>
  <c r="BF167" i="5" s="1"/>
  <c r="BG167" i="5" s="1"/>
  <c r="AS167" i="5"/>
  <c r="AT167" i="5" s="1"/>
  <c r="AU167" i="5" s="1"/>
  <c r="AC167" i="5" s="1"/>
  <c r="X76" i="2"/>
  <c r="V76" i="2"/>
  <c r="R70" i="7"/>
  <c r="T127" i="6"/>
  <c r="V127" i="6" s="1"/>
  <c r="AA130" i="7" s="1"/>
  <c r="AL130" i="7" s="1"/>
  <c r="T147" i="6"/>
  <c r="V147" i="6" s="1"/>
  <c r="AA150" i="7" s="1"/>
  <c r="AL150" i="7" s="1"/>
  <c r="Q141" i="6"/>
  <c r="S141" i="6" s="1"/>
  <c r="X144" i="7" s="1"/>
  <c r="T264" i="6"/>
  <c r="G185" i="6"/>
  <c r="I188" i="7" s="1"/>
  <c r="AJ188" i="7" s="1"/>
  <c r="BE228" i="5"/>
  <c r="BF228" i="5" s="1"/>
  <c r="AU52" i="5"/>
  <c r="AC52" i="5" s="1"/>
  <c r="X52" i="5" s="1"/>
  <c r="AU171" i="5"/>
  <c r="AC171" i="5" s="1"/>
  <c r="AF171" i="5" s="1"/>
  <c r="BE281" i="5"/>
  <c r="BF281" i="5" s="1"/>
  <c r="Z76" i="2"/>
  <c r="AE301" i="5"/>
  <c r="BE69" i="5"/>
  <c r="BF69" i="5" s="1"/>
  <c r="BG69" i="5" s="1"/>
  <c r="BD64" i="7"/>
  <c r="BJ64" i="7"/>
  <c r="BC64" i="7"/>
  <c r="BB64" i="7"/>
  <c r="BG64" i="7"/>
  <c r="AF61" i="6" s="1"/>
  <c r="Q106" i="6"/>
  <c r="V109" i="7" s="1"/>
  <c r="T106" i="6"/>
  <c r="H312" i="6"/>
  <c r="J315" i="7" s="1"/>
  <c r="I312" i="6"/>
  <c r="K315" i="7" s="1"/>
  <c r="D312" i="6"/>
  <c r="F315" i="7" s="1"/>
  <c r="F312" i="6"/>
  <c r="H315" i="7" s="1"/>
  <c r="E312" i="6"/>
  <c r="G315" i="7" s="1"/>
  <c r="AG312" i="6"/>
  <c r="AD227" i="5"/>
  <c r="AS202" i="5"/>
  <c r="AT202" i="5" s="1"/>
  <c r="AU202" i="5" s="1"/>
  <c r="AC202" i="5" s="1"/>
  <c r="X202" i="5" s="1"/>
  <c r="AS250" i="5"/>
  <c r="AT250" i="5" s="1"/>
  <c r="AU250" i="5" s="1"/>
  <c r="AC250" i="5" s="1"/>
  <c r="BG44" i="5"/>
  <c r="BG89" i="5"/>
  <c r="BE182" i="5"/>
  <c r="BF182" i="5" s="1"/>
  <c r="BG182" i="5" s="1"/>
  <c r="BM221" i="7"/>
  <c r="BA160" i="5"/>
  <c r="BA204" i="5"/>
  <c r="BA71" i="5"/>
  <c r="BG289" i="5"/>
  <c r="BG63" i="5"/>
  <c r="AS180" i="5"/>
  <c r="AT180" i="5" s="1"/>
  <c r="AU180" i="5" s="1"/>
  <c r="AC180" i="5" s="1"/>
  <c r="AS171" i="5"/>
  <c r="AT171" i="5" s="1"/>
  <c r="A259" i="7"/>
  <c r="H158" i="6"/>
  <c r="J161" i="7" s="1"/>
  <c r="BE225" i="5"/>
  <c r="BF225" i="5" s="1"/>
  <c r="BG225" i="5" s="1"/>
  <c r="AS225" i="5"/>
  <c r="AT225" i="5" s="1"/>
  <c r="AE100" i="5"/>
  <c r="AG100" i="5"/>
  <c r="AI100" i="5" s="1"/>
  <c r="AJ100" i="5" s="1"/>
  <c r="BE117" i="5"/>
  <c r="BF117" i="5" s="1"/>
  <c r="BG117" i="5" s="1"/>
  <c r="AS117" i="5"/>
  <c r="AT117" i="5" s="1"/>
  <c r="AU117" i="5" s="1"/>
  <c r="AC117" i="5" s="1"/>
  <c r="AS260" i="5"/>
  <c r="AT260" i="5" s="1"/>
  <c r="AU260" i="5" s="1"/>
  <c r="AC260" i="5" s="1"/>
  <c r="X260" i="5" s="1"/>
  <c r="BE260" i="5"/>
  <c r="BF260" i="5" s="1"/>
  <c r="BG260" i="5" s="1"/>
  <c r="BA179" i="5"/>
  <c r="BA165" i="5"/>
  <c r="G163" i="6"/>
  <c r="I166" i="7" s="1"/>
  <c r="Z163" i="6"/>
  <c r="AE166" i="7" s="1"/>
  <c r="F163" i="6"/>
  <c r="H166" i="7" s="1"/>
  <c r="H163" i="6"/>
  <c r="J166" i="7" s="1"/>
  <c r="D163" i="6"/>
  <c r="F166" i="7" s="1"/>
  <c r="E163" i="6"/>
  <c r="G166" i="7" s="1"/>
  <c r="AG163" i="6"/>
  <c r="F125" i="2"/>
  <c r="AS153" i="5"/>
  <c r="AT153" i="5" s="1"/>
  <c r="AU153" i="5" s="1"/>
  <c r="AC153" i="5" s="1"/>
  <c r="BA47" i="5"/>
  <c r="BA144" i="5"/>
  <c r="BA278" i="5"/>
  <c r="BA15" i="5"/>
  <c r="AS55" i="5"/>
  <c r="AT55" i="5" s="1"/>
  <c r="AU55" i="5" s="1"/>
  <c r="AC55" i="5" s="1"/>
  <c r="G30" i="6"/>
  <c r="I33" i="7" s="1"/>
  <c r="H30" i="6"/>
  <c r="J33" i="7" s="1"/>
  <c r="Z30" i="6"/>
  <c r="AE33" i="7" s="1"/>
  <c r="BK33" i="7" s="1"/>
  <c r="F30" i="6"/>
  <c r="H33" i="7" s="1"/>
  <c r="AG30" i="6"/>
  <c r="E30" i="6"/>
  <c r="G33" i="7" s="1"/>
  <c r="F117" i="2"/>
  <c r="D117" i="2"/>
  <c r="BA182" i="5"/>
  <c r="AU225" i="5"/>
  <c r="AC225" i="5" s="1"/>
  <c r="AF225" i="5" s="1"/>
  <c r="AH94" i="7"/>
  <c r="AI94" i="7" s="1"/>
  <c r="AS69" i="5"/>
  <c r="AT69" i="5" s="1"/>
  <c r="AS79" i="5"/>
  <c r="AT79" i="5" s="1"/>
  <c r="AU79" i="5" s="1"/>
  <c r="AC79" i="5" s="1"/>
  <c r="E33" i="6"/>
  <c r="G36" i="7" s="1"/>
  <c r="Z33" i="6"/>
  <c r="AE36" i="7" s="1"/>
  <c r="D33" i="6"/>
  <c r="F36" i="7" s="1"/>
  <c r="H33" i="6"/>
  <c r="J36" i="7" s="1"/>
  <c r="F33" i="6"/>
  <c r="H36" i="7" s="1"/>
  <c r="AG33" i="6"/>
  <c r="AO20" i="5"/>
  <c r="AP20" i="5"/>
  <c r="A138" i="7"/>
  <c r="AG135" i="6"/>
  <c r="E135" i="6"/>
  <c r="G138" i="7" s="1"/>
  <c r="H135" i="6"/>
  <c r="J138" i="7" s="1"/>
  <c r="F135" i="6"/>
  <c r="H138" i="7" s="1"/>
  <c r="D135" i="6"/>
  <c r="F138" i="7" s="1"/>
  <c r="Z135" i="6"/>
  <c r="AE138" i="7" s="1"/>
  <c r="T205" i="6"/>
  <c r="Z205" i="6"/>
  <c r="AE208" i="7" s="1"/>
  <c r="F205" i="6"/>
  <c r="H208" i="7" s="1"/>
  <c r="H205" i="6"/>
  <c r="J208" i="7" s="1"/>
  <c r="AH208" i="7" s="1"/>
  <c r="AI208" i="7" s="1"/>
  <c r="E205" i="6"/>
  <c r="G208" i="7" s="1"/>
  <c r="AG205" i="6"/>
  <c r="D205" i="6"/>
  <c r="F208" i="7" s="1"/>
  <c r="BA211" i="5"/>
  <c r="BA51" i="5"/>
  <c r="BA119" i="5"/>
  <c r="AS159" i="5"/>
  <c r="AT159" i="5" s="1"/>
  <c r="AU159" i="5" s="1"/>
  <c r="AC159" i="5" s="1"/>
  <c r="BA216" i="5"/>
  <c r="BB313" i="7"/>
  <c r="BC313" i="7"/>
  <c r="BA106" i="5"/>
  <c r="BA220" i="5"/>
  <c r="AS247" i="5"/>
  <c r="AT247" i="5" s="1"/>
  <c r="AS300" i="5"/>
  <c r="AT300" i="5" s="1"/>
  <c r="AU300" i="5" s="1"/>
  <c r="AC300" i="5" s="1"/>
  <c r="AS172" i="5"/>
  <c r="AT172" i="5" s="1"/>
  <c r="AU172" i="5" s="1"/>
  <c r="AC172" i="5" s="1"/>
  <c r="X172" i="5" s="1"/>
  <c r="BE172" i="5"/>
  <c r="BF172" i="5" s="1"/>
  <c r="BG172" i="5" s="1"/>
  <c r="Z97" i="6"/>
  <c r="AE100" i="7" s="1"/>
  <c r="D97" i="6"/>
  <c r="F100" i="7" s="1"/>
  <c r="AG97" i="6"/>
  <c r="E97" i="6"/>
  <c r="G100" i="7" s="1"/>
  <c r="P77" i="2"/>
  <c r="N78" i="2"/>
  <c r="O77" i="2"/>
  <c r="BE110" i="5"/>
  <c r="BF110" i="5" s="1"/>
  <c r="BG110" i="5" s="1"/>
  <c r="AS110" i="5"/>
  <c r="AT110" i="5" s="1"/>
  <c r="AU110" i="5" s="1"/>
  <c r="AC110" i="5" s="1"/>
  <c r="BE130" i="5"/>
  <c r="BF130" i="5" s="1"/>
  <c r="BG155" i="5"/>
  <c r="BA62" i="5"/>
  <c r="BE297" i="5"/>
  <c r="BF297" i="5" s="1"/>
  <c r="BG297" i="5" s="1"/>
  <c r="AH281" i="7"/>
  <c r="AI281" i="7" s="1"/>
  <c r="R127" i="7"/>
  <c r="AS147" i="5"/>
  <c r="AT147" i="5" s="1"/>
  <c r="AU147" i="5" s="1"/>
  <c r="AC147" i="5" s="1"/>
  <c r="BE147" i="5"/>
  <c r="BF147" i="5" s="1"/>
  <c r="BG147" i="5" s="1"/>
  <c r="AS75" i="5"/>
  <c r="AT75" i="5" s="1"/>
  <c r="AU75" i="5" s="1"/>
  <c r="AC75" i="5" s="1"/>
  <c r="F98" i="2"/>
  <c r="A99" i="2"/>
  <c r="B98" i="2"/>
  <c r="AO16" i="5"/>
  <c r="AP16" i="5"/>
  <c r="AS261" i="5"/>
  <c r="AT261" i="5" s="1"/>
  <c r="AU261" i="5" s="1"/>
  <c r="AC261" i="5" s="1"/>
  <c r="X261" i="5" s="1"/>
  <c r="BE261" i="5"/>
  <c r="BF261" i="5" s="1"/>
  <c r="BG261" i="5" s="1"/>
  <c r="BA138" i="5"/>
  <c r="BA202" i="5"/>
  <c r="BA32" i="5"/>
  <c r="BA201" i="5"/>
  <c r="AS45" i="5"/>
  <c r="AT45" i="5" s="1"/>
  <c r="AU45" i="5" s="1"/>
  <c r="AC45" i="5" s="1"/>
  <c r="X45" i="5" s="1"/>
  <c r="AU116" i="5"/>
  <c r="AC116" i="5" s="1"/>
  <c r="BE197" i="5"/>
  <c r="BF197" i="5" s="1"/>
  <c r="BG197" i="5" s="1"/>
  <c r="Z82" i="6"/>
  <c r="AE85" i="7" s="1"/>
  <c r="E82" i="6"/>
  <c r="G85" i="7" s="1"/>
  <c r="H82" i="6"/>
  <c r="J85" i="7" s="1"/>
  <c r="AH85" i="7" s="1"/>
  <c r="AI85" i="7" s="1"/>
  <c r="AG82" i="6"/>
  <c r="BE301" i="5"/>
  <c r="BF301" i="5" s="1"/>
  <c r="BG301" i="5" s="1"/>
  <c r="G63" i="6"/>
  <c r="I66" i="7" s="1"/>
  <c r="T63" i="6"/>
  <c r="Y66" i="7" s="1"/>
  <c r="A66" i="7"/>
  <c r="Q211" i="6"/>
  <c r="S211" i="6" s="1"/>
  <c r="X214" i="7" s="1"/>
  <c r="G211" i="6"/>
  <c r="I214" i="7" s="1"/>
  <c r="AJ214" i="7" s="1"/>
  <c r="R261" i="7"/>
  <c r="AJ261" i="7"/>
  <c r="A262" i="7"/>
  <c r="G259" i="6"/>
  <c r="I262" i="7" s="1"/>
  <c r="Q130" i="6"/>
  <c r="S130" i="6" s="1"/>
  <c r="X133" i="7" s="1"/>
  <c r="G130" i="6"/>
  <c r="I133" i="7" s="1"/>
  <c r="AJ133" i="7" s="1"/>
  <c r="H130" i="6"/>
  <c r="J133" i="7" s="1"/>
  <c r="I130" i="6"/>
  <c r="K133" i="7" s="1"/>
  <c r="A133" i="7"/>
  <c r="A118" i="7"/>
  <c r="T115" i="6"/>
  <c r="G115" i="6"/>
  <c r="I118" i="7" s="1"/>
  <c r="AK118" i="7" s="1"/>
  <c r="Z130" i="6"/>
  <c r="AE133" i="7" s="1"/>
  <c r="Q133" i="7" s="1"/>
  <c r="Q166" i="6"/>
  <c r="V169" i="7" s="1"/>
  <c r="T166" i="6"/>
  <c r="V166" i="6" s="1"/>
  <c r="AA169" i="7" s="1"/>
  <c r="AL169" i="7" s="1"/>
  <c r="BO145" i="7"/>
  <c r="BP145" i="7" s="1"/>
  <c r="BG145" i="7"/>
  <c r="Q146" i="6"/>
  <c r="V149" i="7" s="1"/>
  <c r="T146" i="6"/>
  <c r="V146" i="6" s="1"/>
  <c r="AA149" i="7" s="1"/>
  <c r="AL149" i="7" s="1"/>
  <c r="T66" i="6"/>
  <c r="Q66" i="6"/>
  <c r="V69" i="7" s="1"/>
  <c r="A69" i="7"/>
  <c r="A194" i="7"/>
  <c r="Q191" i="6"/>
  <c r="Q216" i="6"/>
  <c r="V219" i="7" s="1"/>
  <c r="T216" i="6"/>
  <c r="V216" i="6" s="1"/>
  <c r="AA219" i="7" s="1"/>
  <c r="AL219" i="7" s="1"/>
  <c r="AK265" i="7"/>
  <c r="AJ265" i="7"/>
  <c r="E266" i="6"/>
  <c r="G269" i="7" s="1"/>
  <c r="T266" i="6"/>
  <c r="Q266" i="6"/>
  <c r="S266" i="6" s="1"/>
  <c r="X269" i="7" s="1"/>
  <c r="A269" i="7"/>
  <c r="I266" i="6"/>
  <c r="K269" i="7" s="1"/>
  <c r="A304" i="7"/>
  <c r="T301" i="6"/>
  <c r="V301" i="6" s="1"/>
  <c r="AA304" i="7" s="1"/>
  <c r="AL304" i="7" s="1"/>
  <c r="G301" i="6"/>
  <c r="I304" i="7" s="1"/>
  <c r="AK304" i="7" s="1"/>
  <c r="D244" i="6"/>
  <c r="F247" i="7" s="1"/>
  <c r="Q244" i="6"/>
  <c r="S244" i="6" s="1"/>
  <c r="X247" i="7" s="1"/>
  <c r="G298" i="6"/>
  <c r="I301" i="7" s="1"/>
  <c r="F298" i="6"/>
  <c r="H301" i="7" s="1"/>
  <c r="T298" i="6"/>
  <c r="Y301" i="7" s="1"/>
  <c r="Q162" i="7"/>
  <c r="R162" i="7" s="1"/>
  <c r="AG162" i="7"/>
  <c r="BC162" i="7" s="1"/>
  <c r="F239" i="6"/>
  <c r="H242" i="7" s="1"/>
  <c r="A242" i="7"/>
  <c r="H217" i="6"/>
  <c r="J220" i="7" s="1"/>
  <c r="I217" i="6"/>
  <c r="K220" i="7" s="1"/>
  <c r="A220" i="7"/>
  <c r="Z294" i="6"/>
  <c r="AE297" i="7" s="1"/>
  <c r="I294" i="6"/>
  <c r="K297" i="7" s="1"/>
  <c r="T294" i="6"/>
  <c r="V294" i="6" s="1"/>
  <c r="AA297" i="7" s="1"/>
  <c r="AL297" i="7" s="1"/>
  <c r="T26" i="6"/>
  <c r="Y29" i="7" s="1"/>
  <c r="A29" i="7"/>
  <c r="T38" i="6"/>
  <c r="H38" i="6"/>
  <c r="J41" i="7" s="1"/>
  <c r="A41" i="7"/>
  <c r="Z38" i="6"/>
  <c r="AE41" i="7" s="1"/>
  <c r="I38" i="6"/>
  <c r="K41" i="7" s="1"/>
  <c r="F38" i="6"/>
  <c r="H41" i="7" s="1"/>
  <c r="G38" i="6"/>
  <c r="I41" i="7" s="1"/>
  <c r="AK41" i="7" s="1"/>
  <c r="BE96" i="7"/>
  <c r="AD93" i="6" s="1"/>
  <c r="BO96" i="7"/>
  <c r="BP96" i="7" s="1"/>
  <c r="BK96" i="7"/>
  <c r="T86" i="6"/>
  <c r="V86" i="6" s="1"/>
  <c r="AA89" i="7" s="1"/>
  <c r="AL89" i="7" s="1"/>
  <c r="I86" i="6"/>
  <c r="K89" i="7" s="1"/>
  <c r="E86" i="6"/>
  <c r="G89" i="7" s="1"/>
  <c r="Q86" i="6"/>
  <c r="S86" i="6" s="1"/>
  <c r="X89" i="7" s="1"/>
  <c r="G86" i="6"/>
  <c r="I89" i="7" s="1"/>
  <c r="AJ89" i="7" s="1"/>
  <c r="BC141" i="7"/>
  <c r="BD141" i="7"/>
  <c r="BB141" i="7"/>
  <c r="AG155" i="6"/>
  <c r="E155" i="6"/>
  <c r="G158" i="7" s="1"/>
  <c r="D155" i="6"/>
  <c r="F158" i="7" s="1"/>
  <c r="I210" i="6"/>
  <c r="K213" i="7" s="1"/>
  <c r="F210" i="6"/>
  <c r="H213" i="7" s="1"/>
  <c r="Z210" i="6"/>
  <c r="AE213" i="7" s="1"/>
  <c r="AG210" i="6"/>
  <c r="H210" i="6"/>
  <c r="J213" i="7" s="1"/>
  <c r="E210" i="6"/>
  <c r="G213" i="7" s="1"/>
  <c r="D210" i="6"/>
  <c r="F213" i="7" s="1"/>
  <c r="S58" i="6"/>
  <c r="X61" i="7" s="1"/>
  <c r="V61" i="7"/>
  <c r="H161" i="6"/>
  <c r="J164" i="7" s="1"/>
  <c r="AG161" i="6"/>
  <c r="D161" i="6"/>
  <c r="F164" i="7" s="1"/>
  <c r="F161" i="6"/>
  <c r="H164" i="7" s="1"/>
  <c r="G102" i="6"/>
  <c r="I105" i="7" s="1"/>
  <c r="AK105" i="7" s="1"/>
  <c r="AK116" i="7"/>
  <c r="A158" i="7"/>
  <c r="G210" i="6"/>
  <c r="I213" i="7" s="1"/>
  <c r="AJ213" i="7" s="1"/>
  <c r="I161" i="6"/>
  <c r="K164" i="7" s="1"/>
  <c r="Q256" i="6"/>
  <c r="S256" i="6" s="1"/>
  <c r="X259" i="7" s="1"/>
  <c r="AH263" i="7"/>
  <c r="AI263" i="7" s="1"/>
  <c r="F155" i="6"/>
  <c r="H158" i="7" s="1"/>
  <c r="BM223" i="7"/>
  <c r="AH116" i="7"/>
  <c r="AI116" i="7" s="1"/>
  <c r="G256" i="6"/>
  <c r="I259" i="7" s="1"/>
  <c r="AG61" i="7"/>
  <c r="AG127" i="7"/>
  <c r="BC127" i="7" s="1"/>
  <c r="BF96" i="7"/>
  <c r="AE93" i="6" s="1"/>
  <c r="H51" i="6"/>
  <c r="J54" i="7" s="1"/>
  <c r="F51" i="6"/>
  <c r="H54" i="7" s="1"/>
  <c r="AG51" i="6"/>
  <c r="D51" i="6"/>
  <c r="F54" i="7" s="1"/>
  <c r="Z51" i="6"/>
  <c r="AE54" i="7" s="1"/>
  <c r="E51" i="6"/>
  <c r="G54" i="7" s="1"/>
  <c r="A120" i="7"/>
  <c r="F117" i="6"/>
  <c r="H120" i="7" s="1"/>
  <c r="D117" i="6"/>
  <c r="F120" i="7" s="1"/>
  <c r="Z117" i="6"/>
  <c r="AE120" i="7" s="1"/>
  <c r="AG117" i="6"/>
  <c r="E117" i="6"/>
  <c r="G120" i="7" s="1"/>
  <c r="H117" i="6"/>
  <c r="J120" i="7" s="1"/>
  <c r="AG67" i="7"/>
  <c r="Q67" i="7"/>
  <c r="R67" i="7" s="1"/>
  <c r="AF67" i="7"/>
  <c r="Q108" i="6"/>
  <c r="I108" i="6"/>
  <c r="K111" i="7" s="1"/>
  <c r="T108" i="6"/>
  <c r="D108" i="6"/>
  <c r="F111" i="7" s="1"/>
  <c r="H108" i="6"/>
  <c r="J111" i="7" s="1"/>
  <c r="AG108" i="6"/>
  <c r="Z108" i="6"/>
  <c r="AE111" i="7" s="1"/>
  <c r="F108" i="6"/>
  <c r="H111" i="7" s="1"/>
  <c r="E108" i="6"/>
  <c r="G111" i="7" s="1"/>
  <c r="I226" i="6"/>
  <c r="K229" i="7" s="1"/>
  <c r="AG226" i="6"/>
  <c r="E226" i="6"/>
  <c r="G229" i="7" s="1"/>
  <c r="H226" i="6"/>
  <c r="J229" i="7" s="1"/>
  <c r="AH229" i="7" s="1"/>
  <c r="AI229" i="7" s="1"/>
  <c r="Z226" i="6"/>
  <c r="AE229" i="7" s="1"/>
  <c r="D226" i="6"/>
  <c r="F229" i="7" s="1"/>
  <c r="F226" i="6"/>
  <c r="H229" i="7" s="1"/>
  <c r="Q265" i="7"/>
  <c r="R265" i="7" s="1"/>
  <c r="AG265" i="7"/>
  <c r="AF265" i="7"/>
  <c r="AG200" i="6"/>
  <c r="E200" i="6"/>
  <c r="G203" i="7" s="1"/>
  <c r="H200" i="6"/>
  <c r="J203" i="7" s="1"/>
  <c r="AH203" i="7" s="1"/>
  <c r="AI203" i="7" s="1"/>
  <c r="F200" i="6"/>
  <c r="H203" i="7" s="1"/>
  <c r="H102" i="6"/>
  <c r="J105" i="7" s="1"/>
  <c r="AG102" i="6"/>
  <c r="Z102" i="6"/>
  <c r="AE105" i="7" s="1"/>
  <c r="D102" i="6"/>
  <c r="F105" i="7" s="1"/>
  <c r="F102" i="6"/>
  <c r="H105" i="7" s="1"/>
  <c r="E102" i="6"/>
  <c r="G105" i="7" s="1"/>
  <c r="G112" i="6"/>
  <c r="I115" i="7" s="1"/>
  <c r="I155" i="6"/>
  <c r="K158" i="7" s="1"/>
  <c r="AK76" i="7"/>
  <c r="Q200" i="6"/>
  <c r="V203" i="7" s="1"/>
  <c r="T210" i="6"/>
  <c r="V210" i="6" s="1"/>
  <c r="AA213" i="7" s="1"/>
  <c r="AL213" i="7" s="1"/>
  <c r="G161" i="6"/>
  <c r="I164" i="7" s="1"/>
  <c r="AJ164" i="7" s="1"/>
  <c r="H155" i="6"/>
  <c r="J158" i="7" s="1"/>
  <c r="E161" i="6"/>
  <c r="G164" i="7" s="1"/>
  <c r="D200" i="6"/>
  <c r="F203" i="7" s="1"/>
  <c r="AH261" i="7"/>
  <c r="AI261" i="7" s="1"/>
  <c r="Z293" i="6"/>
  <c r="AE296" i="7" s="1"/>
  <c r="E293" i="6"/>
  <c r="G296" i="7" s="1"/>
  <c r="AG293" i="6"/>
  <c r="D293" i="6"/>
  <c r="F296" i="7" s="1"/>
  <c r="F293" i="6"/>
  <c r="H296" i="7" s="1"/>
  <c r="BE72" i="7"/>
  <c r="AD69" i="6" s="1"/>
  <c r="BG72" i="7"/>
  <c r="AF69" i="6" s="1"/>
  <c r="BK72" i="7"/>
  <c r="BN72" i="7"/>
  <c r="BL72" i="7"/>
  <c r="AH69" i="6" s="1"/>
  <c r="Q116" i="7"/>
  <c r="R116" i="7" s="1"/>
  <c r="AG116" i="7"/>
  <c r="AF116" i="7"/>
  <c r="F55" i="6"/>
  <c r="H58" i="7" s="1"/>
  <c r="AG55" i="6"/>
  <c r="D55" i="6"/>
  <c r="F58" i="7" s="1"/>
  <c r="H55" i="6"/>
  <c r="J58" i="7" s="1"/>
  <c r="AH58" i="7" s="1"/>
  <c r="AI58" i="7" s="1"/>
  <c r="E55" i="6"/>
  <c r="G58" i="7" s="1"/>
  <c r="Q73" i="7"/>
  <c r="R73" i="7" s="1"/>
  <c r="AG73" i="7"/>
  <c r="D292" i="6"/>
  <c r="F295" i="7" s="1"/>
  <c r="AG292" i="6"/>
  <c r="H292" i="6"/>
  <c r="J295" i="7" s="1"/>
  <c r="F76" i="6"/>
  <c r="H79" i="7" s="1"/>
  <c r="Z76" i="6"/>
  <c r="AE79" i="7" s="1"/>
  <c r="AG76" i="6"/>
  <c r="E76" i="6"/>
  <c r="G79" i="7" s="1"/>
  <c r="H76" i="6"/>
  <c r="J79" i="7" s="1"/>
  <c r="D76" i="6"/>
  <c r="F79" i="7" s="1"/>
  <c r="BB252" i="7"/>
  <c r="BC252" i="7"/>
  <c r="BJ252" i="7"/>
  <c r="BD252" i="7"/>
  <c r="BJ48" i="7"/>
  <c r="BD48" i="7"/>
  <c r="BB48" i="7"/>
  <c r="I241" i="6"/>
  <c r="K244" i="7" s="1"/>
  <c r="H241" i="6"/>
  <c r="J244" i="7" s="1"/>
  <c r="F241" i="6"/>
  <c r="H244" i="7" s="1"/>
  <c r="D241" i="6"/>
  <c r="F244" i="7" s="1"/>
  <c r="AG241" i="6"/>
  <c r="Z241" i="6"/>
  <c r="AE244" i="7" s="1"/>
  <c r="BN244" i="7" s="1"/>
  <c r="E241" i="6"/>
  <c r="G244" i="7" s="1"/>
  <c r="Q112" i="6"/>
  <c r="E112" i="6"/>
  <c r="G115" i="7" s="1"/>
  <c r="Z112" i="6"/>
  <c r="AE115" i="7" s="1"/>
  <c r="AG112" i="6"/>
  <c r="H112" i="6"/>
  <c r="J115" i="7" s="1"/>
  <c r="D112" i="6"/>
  <c r="F115" i="7" s="1"/>
  <c r="F112" i="6"/>
  <c r="H115" i="7" s="1"/>
  <c r="E256" i="6"/>
  <c r="G259" i="7" s="1"/>
  <c r="D256" i="6"/>
  <c r="F259" i="7" s="1"/>
  <c r="H256" i="6"/>
  <c r="J259" i="7" s="1"/>
  <c r="AG256" i="6"/>
  <c r="Z256" i="6"/>
  <c r="AE259" i="7" s="1"/>
  <c r="A105" i="7"/>
  <c r="G155" i="6"/>
  <c r="I158" i="7" s="1"/>
  <c r="AJ158" i="7" s="1"/>
  <c r="T200" i="6"/>
  <c r="Y203" i="7" s="1"/>
  <c r="T161" i="6"/>
  <c r="Y164" i="7" s="1"/>
  <c r="A164" i="7"/>
  <c r="G241" i="6"/>
  <c r="I244" i="7" s="1"/>
  <c r="Z155" i="6"/>
  <c r="AE158" i="7" s="1"/>
  <c r="Z161" i="6"/>
  <c r="AE164" i="7" s="1"/>
  <c r="AF164" i="7" s="1"/>
  <c r="Z200" i="6"/>
  <c r="AE203" i="7" s="1"/>
  <c r="Q102" i="6"/>
  <c r="A213" i="7"/>
  <c r="F256" i="6"/>
  <c r="H259" i="7" s="1"/>
  <c r="AF127" i="7"/>
  <c r="V37" i="6"/>
  <c r="AA40" i="7" s="1"/>
  <c r="AL40" i="7" s="1"/>
  <c r="Y40" i="7"/>
  <c r="AH72" i="7"/>
  <c r="AI72" i="7" s="1"/>
  <c r="V110" i="6"/>
  <c r="AA113" i="7" s="1"/>
  <c r="AL113" i="7" s="1"/>
  <c r="Y113" i="7"/>
  <c r="V68" i="6"/>
  <c r="AA71" i="7" s="1"/>
  <c r="AL71" i="7" s="1"/>
  <c r="Y71" i="7"/>
  <c r="F83" i="6"/>
  <c r="H86" i="7" s="1"/>
  <c r="E83" i="6"/>
  <c r="G86" i="7" s="1"/>
  <c r="AG83" i="6"/>
  <c r="D83" i="6"/>
  <c r="F86" i="7" s="1"/>
  <c r="H83" i="6"/>
  <c r="J86" i="7" s="1"/>
  <c r="Z83" i="6"/>
  <c r="AE86" i="7" s="1"/>
  <c r="Z193" i="6"/>
  <c r="AE196" i="7" s="1"/>
  <c r="BF196" i="7" s="1"/>
  <c r="E193" i="6"/>
  <c r="G196" i="7" s="1"/>
  <c r="AG193" i="6"/>
  <c r="H193" i="6"/>
  <c r="J196" i="7" s="1"/>
  <c r="F193" i="6"/>
  <c r="H196" i="7" s="1"/>
  <c r="D193" i="6"/>
  <c r="F196" i="7" s="1"/>
  <c r="R72" i="7"/>
  <c r="BL64" i="7"/>
  <c r="AH61" i="6" s="1"/>
  <c r="I106" i="6"/>
  <c r="K109" i="7" s="1"/>
  <c r="AG106" i="6"/>
  <c r="Z106" i="6"/>
  <c r="AE109" i="7" s="1"/>
  <c r="BF109" i="7" s="1"/>
  <c r="AE106" i="6" s="1"/>
  <c r="H106" i="6"/>
  <c r="J109" i="7" s="1"/>
  <c r="F106" i="6"/>
  <c r="H109" i="7" s="1"/>
  <c r="D106" i="6"/>
  <c r="F109" i="7" s="1"/>
  <c r="E106" i="6"/>
  <c r="G109" i="7" s="1"/>
  <c r="V124" i="6"/>
  <c r="AA127" i="7" s="1"/>
  <c r="AL127" i="7" s="1"/>
  <c r="Y127" i="7"/>
  <c r="D248" i="6"/>
  <c r="F251" i="7" s="1"/>
  <c r="H248" i="6"/>
  <c r="J251" i="7" s="1"/>
  <c r="AG248" i="6"/>
  <c r="E248" i="6"/>
  <c r="G251" i="7" s="1"/>
  <c r="Z248" i="6"/>
  <c r="AE251" i="7" s="1"/>
  <c r="BM251" i="7" s="1"/>
  <c r="BC53" i="7"/>
  <c r="BD53" i="7"/>
  <c r="BJ53" i="7"/>
  <c r="I59" i="6"/>
  <c r="K62" i="7" s="1"/>
  <c r="AG59" i="6"/>
  <c r="F59" i="6"/>
  <c r="H62" i="7" s="1"/>
  <c r="Z59" i="6"/>
  <c r="AE62" i="7" s="1"/>
  <c r="H59" i="6"/>
  <c r="J62" i="7" s="1"/>
  <c r="AH62" i="7" s="1"/>
  <c r="AI62" i="7" s="1"/>
  <c r="D59" i="6"/>
  <c r="F62" i="7" s="1"/>
  <c r="E59" i="6"/>
  <c r="G62" i="7" s="1"/>
  <c r="T100" i="6"/>
  <c r="I100" i="6"/>
  <c r="K103" i="7" s="1"/>
  <c r="H100" i="6"/>
  <c r="J103" i="7" s="1"/>
  <c r="D100" i="6"/>
  <c r="F103" i="7" s="1"/>
  <c r="AG100" i="6"/>
  <c r="Z100" i="6"/>
  <c r="AE103" i="7" s="1"/>
  <c r="F100" i="6"/>
  <c r="H103" i="7" s="1"/>
  <c r="E100" i="6"/>
  <c r="G103" i="7" s="1"/>
  <c r="E160" i="6"/>
  <c r="G163" i="7" s="1"/>
  <c r="D160" i="6"/>
  <c r="F163" i="7" s="1"/>
  <c r="AG160" i="6"/>
  <c r="G78" i="6"/>
  <c r="I81" i="7" s="1"/>
  <c r="H78" i="6"/>
  <c r="J81" i="7" s="1"/>
  <c r="F78" i="6"/>
  <c r="H81" i="7" s="1"/>
  <c r="E78" i="6"/>
  <c r="G81" i="7" s="1"/>
  <c r="AG78" i="6"/>
  <c r="D78" i="6"/>
  <c r="F81" i="7" s="1"/>
  <c r="Z78" i="6"/>
  <c r="AE81" i="7" s="1"/>
  <c r="BM81" i="7" s="1"/>
  <c r="AI78" i="6" s="1"/>
  <c r="Q245" i="6"/>
  <c r="T245" i="6"/>
  <c r="I245" i="6"/>
  <c r="K248" i="7" s="1"/>
  <c r="Z245" i="6"/>
  <c r="AE248" i="7" s="1"/>
  <c r="BL248" i="7" s="1"/>
  <c r="D245" i="6"/>
  <c r="F248" i="7" s="1"/>
  <c r="E245" i="6"/>
  <c r="G248" i="7" s="1"/>
  <c r="F245" i="6"/>
  <c r="H248" i="7" s="1"/>
  <c r="AG245" i="6"/>
  <c r="H245" i="6"/>
  <c r="J248" i="7" s="1"/>
  <c r="S159" i="6"/>
  <c r="X162" i="7" s="1"/>
  <c r="V162" i="7"/>
  <c r="BB147" i="7"/>
  <c r="BJ147" i="7"/>
  <c r="BD147" i="7"/>
  <c r="BC147" i="7"/>
  <c r="I123" i="6"/>
  <c r="K126" i="7" s="1"/>
  <c r="H123" i="6"/>
  <c r="J126" i="7" s="1"/>
  <c r="F123" i="6"/>
  <c r="H126" i="7" s="1"/>
  <c r="AG123" i="6"/>
  <c r="Z123" i="6"/>
  <c r="AE126" i="7" s="1"/>
  <c r="D123" i="6"/>
  <c r="F126" i="7" s="1"/>
  <c r="E123" i="6"/>
  <c r="G126" i="7" s="1"/>
  <c r="G273" i="6"/>
  <c r="I276" i="7" s="1"/>
  <c r="E273" i="6"/>
  <c r="G276" i="7" s="1"/>
  <c r="Z273" i="6"/>
  <c r="AE276" i="7" s="1"/>
  <c r="BL276" i="7" s="1"/>
  <c r="D273" i="6"/>
  <c r="F276" i="7" s="1"/>
  <c r="F273" i="6"/>
  <c r="H276" i="7" s="1"/>
  <c r="H273" i="6"/>
  <c r="J276" i="7" s="1"/>
  <c r="AG273" i="6"/>
  <c r="A37" i="7"/>
  <c r="G66" i="6"/>
  <c r="I69" i="7" s="1"/>
  <c r="AK69" i="7" s="1"/>
  <c r="T123" i="6"/>
  <c r="V123" i="6" s="1"/>
  <c r="AA126" i="7" s="1"/>
  <c r="AL126" i="7" s="1"/>
  <c r="AJ94" i="7"/>
  <c r="A139" i="7"/>
  <c r="G245" i="6"/>
  <c r="I248" i="7" s="1"/>
  <c r="AJ248" i="7" s="1"/>
  <c r="AG314" i="7"/>
  <c r="BE221" i="7"/>
  <c r="BN221" i="7"/>
  <c r="BE223" i="7"/>
  <c r="G137" i="6"/>
  <c r="I140" i="7" s="1"/>
  <c r="AK140" i="7" s="1"/>
  <c r="D188" i="6"/>
  <c r="F191" i="7" s="1"/>
  <c r="T239" i="6"/>
  <c r="V239" i="6" s="1"/>
  <c r="AA242" i="7" s="1"/>
  <c r="AL242" i="7" s="1"/>
  <c r="G244" i="6"/>
  <c r="I247" i="7" s="1"/>
  <c r="I160" i="6"/>
  <c r="K163" i="7" s="1"/>
  <c r="AF275" i="7"/>
  <c r="AK82" i="7"/>
  <c r="Q100" i="6"/>
  <c r="Q94" i="7"/>
  <c r="R94" i="7" s="1"/>
  <c r="AG94" i="7"/>
  <c r="AF94" i="7"/>
  <c r="G132" i="6"/>
  <c r="I135" i="7" s="1"/>
  <c r="T132" i="6"/>
  <c r="Z132" i="6"/>
  <c r="AE135" i="7" s="1"/>
  <c r="I132" i="6"/>
  <c r="K135" i="7" s="1"/>
  <c r="H132" i="6"/>
  <c r="J135" i="7" s="1"/>
  <c r="E132" i="6"/>
  <c r="G135" i="7" s="1"/>
  <c r="AG132" i="6"/>
  <c r="D132" i="6"/>
  <c r="F135" i="7" s="1"/>
  <c r="F132" i="6"/>
  <c r="H135" i="7" s="1"/>
  <c r="I214" i="6"/>
  <c r="K217" i="7" s="1"/>
  <c r="A217" i="7"/>
  <c r="F214" i="6"/>
  <c r="H217" i="7" s="1"/>
  <c r="E214" i="6"/>
  <c r="G217" i="7" s="1"/>
  <c r="H214" i="6"/>
  <c r="J217" i="7" s="1"/>
  <c r="AH217" i="7" s="1"/>
  <c r="AI217" i="7" s="1"/>
  <c r="D214" i="6"/>
  <c r="F217" i="7" s="1"/>
  <c r="AG214" i="6"/>
  <c r="Z214" i="6"/>
  <c r="AE217" i="7" s="1"/>
  <c r="A175" i="7"/>
  <c r="Z172" i="6"/>
  <c r="AE175" i="7" s="1"/>
  <c r="F172" i="6"/>
  <c r="H175" i="7" s="1"/>
  <c r="AG172" i="6"/>
  <c r="H172" i="6"/>
  <c r="J175" i="7" s="1"/>
  <c r="D172" i="6"/>
  <c r="F175" i="7" s="1"/>
  <c r="E172" i="6"/>
  <c r="G175" i="7" s="1"/>
  <c r="G279" i="6"/>
  <c r="I282" i="7" s="1"/>
  <c r="D279" i="6"/>
  <c r="F282" i="7" s="1"/>
  <c r="F279" i="6"/>
  <c r="H282" i="7" s="1"/>
  <c r="H279" i="6"/>
  <c r="J282" i="7" s="1"/>
  <c r="Z279" i="6"/>
  <c r="AE282" i="7" s="1"/>
  <c r="AG279" i="6"/>
  <c r="E279" i="6"/>
  <c r="G282" i="7" s="1"/>
  <c r="Z134" i="6"/>
  <c r="AE137" i="7" s="1"/>
  <c r="H134" i="6"/>
  <c r="J137" i="7" s="1"/>
  <c r="AG134" i="6"/>
  <c r="E134" i="6"/>
  <c r="G137" i="7" s="1"/>
  <c r="F134" i="6"/>
  <c r="H137" i="7" s="1"/>
  <c r="D134" i="6"/>
  <c r="F137" i="7" s="1"/>
  <c r="V159" i="6"/>
  <c r="AA162" i="7" s="1"/>
  <c r="AL162" i="7" s="1"/>
  <c r="Y162" i="7"/>
  <c r="I26" i="6"/>
  <c r="K29" i="7" s="1"/>
  <c r="G26" i="6"/>
  <c r="I29" i="7" s="1"/>
  <c r="D26" i="6"/>
  <c r="F29" i="7" s="1"/>
  <c r="E26" i="6"/>
  <c r="G29" i="7" s="1"/>
  <c r="F26" i="6"/>
  <c r="H29" i="7" s="1"/>
  <c r="H26" i="6"/>
  <c r="J29" i="7" s="1"/>
  <c r="AG26" i="6"/>
  <c r="Z26" i="6"/>
  <c r="AE29" i="7" s="1"/>
  <c r="Q34" i="6"/>
  <c r="V37" i="7" s="1"/>
  <c r="T48" i="6"/>
  <c r="T59" i="6"/>
  <c r="V59" i="6" s="1"/>
  <c r="AA62" i="7" s="1"/>
  <c r="AL62" i="7" s="1"/>
  <c r="Q48" i="6"/>
  <c r="V51" i="7" s="1"/>
  <c r="T78" i="6"/>
  <c r="Y81" i="7" s="1"/>
  <c r="A103" i="7"/>
  <c r="T99" i="6"/>
  <c r="Y102" i="7" s="1"/>
  <c r="Q132" i="6"/>
  <c r="S132" i="6" s="1"/>
  <c r="X135" i="7" s="1"/>
  <c r="I105" i="6"/>
  <c r="K108" i="7" s="1"/>
  <c r="I87" i="6"/>
  <c r="K90" i="7" s="1"/>
  <c r="AK94" i="7"/>
  <c r="T160" i="6"/>
  <c r="Y163" i="7" s="1"/>
  <c r="I172" i="6"/>
  <c r="K175" i="7" s="1"/>
  <c r="G177" i="6"/>
  <c r="I180" i="7" s="1"/>
  <c r="AK180" i="7" s="1"/>
  <c r="Q134" i="6"/>
  <c r="V137" i="7" s="1"/>
  <c r="A137" i="7"/>
  <c r="A155" i="7"/>
  <c r="T172" i="6"/>
  <c r="V172" i="6" s="1"/>
  <c r="AA175" i="7" s="1"/>
  <c r="AL175" i="7" s="1"/>
  <c r="A173" i="7"/>
  <c r="Q214" i="6"/>
  <c r="S214" i="6" s="1"/>
  <c r="X217" i="7" s="1"/>
  <c r="AJ163" i="7"/>
  <c r="G188" i="6"/>
  <c r="I191" i="7" s="1"/>
  <c r="AJ191" i="7" s="1"/>
  <c r="AK145" i="7"/>
  <c r="G223" i="6"/>
  <c r="I226" i="7" s="1"/>
  <c r="AK226" i="7" s="1"/>
  <c r="I234" i="6"/>
  <c r="K237" i="7" s="1"/>
  <c r="I244" i="6"/>
  <c r="K247" i="7" s="1"/>
  <c r="G217" i="6"/>
  <c r="I220" i="7" s="1"/>
  <c r="AK220" i="7" s="1"/>
  <c r="Q225" i="6"/>
  <c r="T273" i="6"/>
  <c r="T27" i="6"/>
  <c r="V27" i="6" s="1"/>
  <c r="AA30" i="7" s="1"/>
  <c r="AL30" i="7" s="1"/>
  <c r="A31" i="7"/>
  <c r="AK232" i="7"/>
  <c r="A32" i="7"/>
  <c r="Q279" i="6"/>
  <c r="A297" i="7"/>
  <c r="A301" i="7"/>
  <c r="A309" i="7"/>
  <c r="G28" i="6"/>
  <c r="I31" i="7" s="1"/>
  <c r="AJ31" i="7" s="1"/>
  <c r="AK278" i="7"/>
  <c r="Q181" i="7"/>
  <c r="R181" i="7" s="1"/>
  <c r="BO221" i="7"/>
  <c r="BP221" i="7" s="1"/>
  <c r="E309" i="6"/>
  <c r="G312" i="7" s="1"/>
  <c r="I177" i="6"/>
  <c r="K180" i="7" s="1"/>
  <c r="A247" i="7"/>
  <c r="Z160" i="6"/>
  <c r="AE163" i="7" s="1"/>
  <c r="Q163" i="7" s="1"/>
  <c r="A163" i="7"/>
  <c r="AJ82" i="7"/>
  <c r="F294" i="6"/>
  <c r="H297" i="7" s="1"/>
  <c r="BM162" i="7"/>
  <c r="BO162" i="7"/>
  <c r="BP162" i="7" s="1"/>
  <c r="BG96" i="7"/>
  <c r="AF93" i="6" s="1"/>
  <c r="Q143" i="6"/>
  <c r="D143" i="6"/>
  <c r="F146" i="7" s="1"/>
  <c r="H143" i="6"/>
  <c r="J146" i="7" s="1"/>
  <c r="AG143" i="6"/>
  <c r="Z143" i="6"/>
  <c r="AE146" i="7" s="1"/>
  <c r="F169" i="6"/>
  <c r="H172" i="7" s="1"/>
  <c r="E169" i="6"/>
  <c r="G172" i="7" s="1"/>
  <c r="Z169" i="6"/>
  <c r="AE172" i="7" s="1"/>
  <c r="D169" i="6"/>
  <c r="F172" i="7" s="1"/>
  <c r="H169" i="6"/>
  <c r="J172" i="7" s="1"/>
  <c r="AH172" i="7" s="1"/>
  <c r="AI172" i="7" s="1"/>
  <c r="AG169" i="6"/>
  <c r="Z263" i="6"/>
  <c r="AE266" i="7" s="1"/>
  <c r="H263" i="6"/>
  <c r="J266" i="7" s="1"/>
  <c r="E263" i="6"/>
  <c r="G266" i="7" s="1"/>
  <c r="H133" i="6"/>
  <c r="J136" i="7" s="1"/>
  <c r="AG133" i="6"/>
  <c r="F133" i="6"/>
  <c r="H136" i="7" s="1"/>
  <c r="D133" i="6"/>
  <c r="F136" i="7" s="1"/>
  <c r="AG212" i="6"/>
  <c r="E212" i="6"/>
  <c r="G215" i="7" s="1"/>
  <c r="H212" i="6"/>
  <c r="J215" i="7" s="1"/>
  <c r="D212" i="6"/>
  <c r="F215" i="7" s="1"/>
  <c r="AH56" i="7"/>
  <c r="AI56" i="7" s="1"/>
  <c r="BO209" i="7"/>
  <c r="BP209" i="7" s="1"/>
  <c r="BM209" i="7"/>
  <c r="AG74" i="6"/>
  <c r="E74" i="6"/>
  <c r="G77" i="7" s="1"/>
  <c r="D74" i="6"/>
  <c r="F77" i="7" s="1"/>
  <c r="Z74" i="6"/>
  <c r="AE77" i="7" s="1"/>
  <c r="H74" i="6"/>
  <c r="J77" i="7" s="1"/>
  <c r="AG238" i="6"/>
  <c r="D238" i="6"/>
  <c r="F241" i="7" s="1"/>
  <c r="E238" i="6"/>
  <c r="G241" i="7" s="1"/>
  <c r="H238" i="6"/>
  <c r="J241" i="7" s="1"/>
  <c r="Z238" i="6"/>
  <c r="AE241" i="7" s="1"/>
  <c r="S98" i="6"/>
  <c r="X101" i="7" s="1"/>
  <c r="V101" i="7"/>
  <c r="A183" i="7"/>
  <c r="H180" i="6"/>
  <c r="J183" i="7" s="1"/>
  <c r="E180" i="6"/>
  <c r="G183" i="7" s="1"/>
  <c r="Z180" i="6"/>
  <c r="AE183" i="7" s="1"/>
  <c r="AG180" i="6"/>
  <c r="D180" i="6"/>
  <c r="F183" i="7" s="1"/>
  <c r="F180" i="6"/>
  <c r="H183" i="7" s="1"/>
  <c r="AG199" i="7"/>
  <c r="AF199" i="7"/>
  <c r="Q199" i="7"/>
  <c r="R199" i="7" s="1"/>
  <c r="T221" i="6"/>
  <c r="Z221" i="6"/>
  <c r="AE224" i="7" s="1"/>
  <c r="E221" i="6"/>
  <c r="G224" i="7" s="1"/>
  <c r="F221" i="6"/>
  <c r="H224" i="7" s="1"/>
  <c r="D221" i="6"/>
  <c r="F224" i="7" s="1"/>
  <c r="H221" i="6"/>
  <c r="J224" i="7" s="1"/>
  <c r="AG221" i="6"/>
  <c r="F235" i="6"/>
  <c r="H238" i="7" s="1"/>
  <c r="E235" i="6"/>
  <c r="G238" i="7" s="1"/>
  <c r="Z235" i="6"/>
  <c r="AE238" i="7" s="1"/>
  <c r="AG235" i="6"/>
  <c r="A50" i="7"/>
  <c r="F47" i="6"/>
  <c r="H50" i="7" s="1"/>
  <c r="D47" i="6"/>
  <c r="F50" i="7" s="1"/>
  <c r="Z47" i="6"/>
  <c r="AE50" i="7" s="1"/>
  <c r="E47" i="6"/>
  <c r="G50" i="7" s="1"/>
  <c r="H47" i="6"/>
  <c r="J50" i="7" s="1"/>
  <c r="AG47" i="6"/>
  <c r="A112" i="7"/>
  <c r="AG109" i="6"/>
  <c r="D109" i="6"/>
  <c r="F112" i="7" s="1"/>
  <c r="Z150" i="6"/>
  <c r="AE153" i="7" s="1"/>
  <c r="H150" i="6"/>
  <c r="J153" i="7" s="1"/>
  <c r="E150" i="6"/>
  <c r="G153" i="7" s="1"/>
  <c r="D150" i="6"/>
  <c r="F153" i="7" s="1"/>
  <c r="AG150" i="6"/>
  <c r="E251" i="6"/>
  <c r="G254" i="7" s="1"/>
  <c r="H251" i="6"/>
  <c r="J254" i="7" s="1"/>
  <c r="AG251" i="6"/>
  <c r="D251" i="6"/>
  <c r="F254" i="7" s="1"/>
  <c r="F251" i="6"/>
  <c r="H254" i="7" s="1"/>
  <c r="Z251" i="6"/>
  <c r="AE254" i="7" s="1"/>
  <c r="G266" i="6"/>
  <c r="I269" i="7" s="1"/>
  <c r="Z266" i="6"/>
  <c r="AE269" i="7" s="1"/>
  <c r="D266" i="6"/>
  <c r="F269" i="7" s="1"/>
  <c r="H266" i="6"/>
  <c r="J269" i="7" s="1"/>
  <c r="F266" i="6"/>
  <c r="H269" i="7" s="1"/>
  <c r="AG266" i="6"/>
  <c r="I301" i="6"/>
  <c r="K304" i="7" s="1"/>
  <c r="AG301" i="6"/>
  <c r="D301" i="6"/>
  <c r="F304" i="7" s="1"/>
  <c r="Z301" i="6"/>
  <c r="AE304" i="7" s="1"/>
  <c r="F301" i="6"/>
  <c r="H304" i="7" s="1"/>
  <c r="E301" i="6"/>
  <c r="G304" i="7" s="1"/>
  <c r="H301" i="6"/>
  <c r="J304" i="7" s="1"/>
  <c r="AG38" i="6"/>
  <c r="D38" i="6"/>
  <c r="F41" i="7" s="1"/>
  <c r="AG244" i="6"/>
  <c r="F244" i="6"/>
  <c r="H247" i="7" s="1"/>
  <c r="V157" i="6"/>
  <c r="AA160" i="7" s="1"/>
  <c r="AL160" i="7" s="1"/>
  <c r="Y160" i="7"/>
  <c r="I298" i="6"/>
  <c r="K301" i="7" s="1"/>
  <c r="H298" i="6"/>
  <c r="J301" i="7" s="1"/>
  <c r="D298" i="6"/>
  <c r="F301" i="7" s="1"/>
  <c r="E298" i="6"/>
  <c r="G301" i="7" s="1"/>
  <c r="AG298" i="6"/>
  <c r="AG66" i="6"/>
  <c r="F66" i="6"/>
  <c r="H69" i="7" s="1"/>
  <c r="D66" i="6"/>
  <c r="F69" i="7" s="1"/>
  <c r="Z66" i="6"/>
  <c r="AE69" i="7" s="1"/>
  <c r="E66" i="6"/>
  <c r="G69" i="7" s="1"/>
  <c r="H66" i="6"/>
  <c r="J69" i="7" s="1"/>
  <c r="AG188" i="6"/>
  <c r="Z188" i="6"/>
  <c r="AE191" i="7" s="1"/>
  <c r="AF191" i="7" s="1"/>
  <c r="H188" i="6"/>
  <c r="J191" i="7" s="1"/>
  <c r="E188" i="6"/>
  <c r="G191" i="7" s="1"/>
  <c r="F188" i="6"/>
  <c r="H191" i="7" s="1"/>
  <c r="H239" i="6"/>
  <c r="J242" i="7" s="1"/>
  <c r="Z239" i="6"/>
  <c r="AE242" i="7" s="1"/>
  <c r="AG239" i="6"/>
  <c r="D239" i="6"/>
  <c r="F242" i="7" s="1"/>
  <c r="Q59" i="6"/>
  <c r="S59" i="6" s="1"/>
  <c r="X62" i="7" s="1"/>
  <c r="Q78" i="6"/>
  <c r="V81" i="7" s="1"/>
  <c r="Q105" i="6"/>
  <c r="V108" i="7" s="1"/>
  <c r="Q160" i="6"/>
  <c r="A191" i="7"/>
  <c r="BN191" i="7" s="1"/>
  <c r="T234" i="6"/>
  <c r="T244" i="6"/>
  <c r="V244" i="6" s="1"/>
  <c r="AA247" i="7" s="1"/>
  <c r="AL247" i="7" s="1"/>
  <c r="Q273" i="6"/>
  <c r="S273" i="6" s="1"/>
  <c r="X276" i="7" s="1"/>
  <c r="Q27" i="6"/>
  <c r="S27" i="6" s="1"/>
  <c r="X30" i="7" s="1"/>
  <c r="T28" i="6"/>
  <c r="Y31" i="7" s="1"/>
  <c r="G123" i="6"/>
  <c r="I126" i="7" s="1"/>
  <c r="AJ126" i="7" s="1"/>
  <c r="Z298" i="6"/>
  <c r="AE301" i="7" s="1"/>
  <c r="AG301" i="7" s="1"/>
  <c r="E239" i="6"/>
  <c r="G242" i="7" s="1"/>
  <c r="F160" i="6"/>
  <c r="H163" i="7" s="1"/>
  <c r="Z244" i="6"/>
  <c r="AE247" i="7" s="1"/>
  <c r="BK162" i="7"/>
  <c r="V92" i="6"/>
  <c r="AA95" i="7" s="1"/>
  <c r="AL95" i="7" s="1"/>
  <c r="Y95" i="7"/>
  <c r="AG99" i="6"/>
  <c r="H99" i="6"/>
  <c r="J102" i="7" s="1"/>
  <c r="F99" i="6"/>
  <c r="H102" i="7" s="1"/>
  <c r="F197" i="6"/>
  <c r="H200" i="7" s="1"/>
  <c r="H197" i="6"/>
  <c r="J200" i="7" s="1"/>
  <c r="E197" i="6"/>
  <c r="G200" i="7" s="1"/>
  <c r="Z197" i="6"/>
  <c r="AE200" i="7" s="1"/>
  <c r="AG89" i="6"/>
  <c r="H89" i="6"/>
  <c r="J92" i="7" s="1"/>
  <c r="Z89" i="6"/>
  <c r="AE92" i="7" s="1"/>
  <c r="E89" i="6"/>
  <c r="G92" i="7" s="1"/>
  <c r="F89" i="6"/>
  <c r="H92" i="7" s="1"/>
  <c r="AF250" i="7"/>
  <c r="AG250" i="7"/>
  <c r="Q250" i="7"/>
  <c r="R250" i="7" s="1"/>
  <c r="F228" i="6"/>
  <c r="H231" i="7" s="1"/>
  <c r="D228" i="6"/>
  <c r="F231" i="7" s="1"/>
  <c r="H228" i="6"/>
  <c r="J231" i="7" s="1"/>
  <c r="E228" i="6"/>
  <c r="G231" i="7" s="1"/>
  <c r="AG217" i="6"/>
  <c r="D217" i="6"/>
  <c r="F220" i="7" s="1"/>
  <c r="E217" i="6"/>
  <c r="G220" i="7" s="1"/>
  <c r="F217" i="6"/>
  <c r="H220" i="7" s="1"/>
  <c r="Z217" i="6"/>
  <c r="AE220" i="7" s="1"/>
  <c r="D294" i="6"/>
  <c r="F297" i="7" s="1"/>
  <c r="AG294" i="6"/>
  <c r="H294" i="6"/>
  <c r="J297" i="7" s="1"/>
  <c r="AH297" i="7" s="1"/>
  <c r="AI297" i="7" s="1"/>
  <c r="AG96" i="7"/>
  <c r="Q96" i="7"/>
  <c r="R96" i="7" s="1"/>
  <c r="AF96" i="7"/>
  <c r="T269" i="6"/>
  <c r="H269" i="6"/>
  <c r="J272" i="7" s="1"/>
  <c r="Z269" i="6"/>
  <c r="AE272" i="7" s="1"/>
  <c r="BO272" i="7" s="1"/>
  <c r="BP272" i="7" s="1"/>
  <c r="AG269" i="6"/>
  <c r="D269" i="6"/>
  <c r="F272" i="7" s="1"/>
  <c r="E269" i="6"/>
  <c r="G272" i="7" s="1"/>
  <c r="F269" i="6"/>
  <c r="H272" i="7" s="1"/>
  <c r="AG297" i="6"/>
  <c r="D297" i="6"/>
  <c r="F300" i="7" s="1"/>
  <c r="E297" i="6"/>
  <c r="G300" i="7" s="1"/>
  <c r="F297" i="6"/>
  <c r="H300" i="7" s="1"/>
  <c r="Z297" i="6"/>
  <c r="AE300" i="7" s="1"/>
  <c r="A62" i="7"/>
  <c r="I78" i="6"/>
  <c r="K81" i="7" s="1"/>
  <c r="T89" i="6"/>
  <c r="Y92" i="7" s="1"/>
  <c r="G100" i="6"/>
  <c r="I103" i="7" s="1"/>
  <c r="AJ103" i="7" s="1"/>
  <c r="I66" i="6"/>
  <c r="K69" i="7" s="1"/>
  <c r="I99" i="6"/>
  <c r="K102" i="7" s="1"/>
  <c r="A135" i="7"/>
  <c r="AK88" i="7"/>
  <c r="A126" i="7"/>
  <c r="Q87" i="6"/>
  <c r="S87" i="6" s="1"/>
  <c r="X90" i="7" s="1"/>
  <c r="G134" i="6"/>
  <c r="I137" i="7" s="1"/>
  <c r="G136" i="6"/>
  <c r="I139" i="7" s="1"/>
  <c r="AK139" i="7" s="1"/>
  <c r="T141" i="6"/>
  <c r="V141" i="6" s="1"/>
  <c r="AA144" i="7" s="1"/>
  <c r="AL144" i="7" s="1"/>
  <c r="G152" i="6"/>
  <c r="I155" i="7" s="1"/>
  <c r="AJ155" i="7" s="1"/>
  <c r="R193" i="7"/>
  <c r="T214" i="6"/>
  <c r="Y217" i="7" s="1"/>
  <c r="Q239" i="6"/>
  <c r="V242" i="7" s="1"/>
  <c r="Q188" i="6"/>
  <c r="S188" i="6" s="1"/>
  <c r="X191" i="7" s="1"/>
  <c r="I197" i="6"/>
  <c r="K200" i="7" s="1"/>
  <c r="G219" i="6"/>
  <c r="I222" i="7" s="1"/>
  <c r="AK222" i="7" s="1"/>
  <c r="A226" i="7"/>
  <c r="A237" i="7"/>
  <c r="G269" i="6"/>
  <c r="I272" i="7" s="1"/>
  <c r="AJ272" i="7" s="1"/>
  <c r="Q228" i="6"/>
  <c r="V231" i="7" s="1"/>
  <c r="Q217" i="6"/>
  <c r="I273" i="6"/>
  <c r="K276" i="7" s="1"/>
  <c r="I281" i="6"/>
  <c r="K284" i="7" s="1"/>
  <c r="Q289" i="6"/>
  <c r="V292" i="7" s="1"/>
  <c r="Q232" i="6"/>
  <c r="S232" i="6" s="1"/>
  <c r="X235" i="7" s="1"/>
  <c r="AJ253" i="7"/>
  <c r="T297" i="6"/>
  <c r="V297" i="6" s="1"/>
  <c r="AA300" i="7" s="1"/>
  <c r="AL300" i="7" s="1"/>
  <c r="Q309" i="6"/>
  <c r="Q29" i="6"/>
  <c r="S29" i="6" s="1"/>
  <c r="X32" i="7" s="1"/>
  <c r="T279" i="6"/>
  <c r="Y282" i="7" s="1"/>
  <c r="Q294" i="6"/>
  <c r="S294" i="6" s="1"/>
  <c r="X297" i="7" s="1"/>
  <c r="AO297" i="7" s="1"/>
  <c r="Q298" i="6"/>
  <c r="S298" i="6" s="1"/>
  <c r="X301" i="7" s="1"/>
  <c r="Q26" i="6"/>
  <c r="BD225" i="7"/>
  <c r="BB225" i="7"/>
  <c r="I269" i="6"/>
  <c r="K272" i="7" s="1"/>
  <c r="T217" i="6"/>
  <c r="V217" i="6" s="1"/>
  <c r="AA220" i="7" s="1"/>
  <c r="AL220" i="7" s="1"/>
  <c r="D89" i="6"/>
  <c r="F92" i="7" s="1"/>
  <c r="AG228" i="6"/>
  <c r="Z99" i="6"/>
  <c r="AE102" i="7" s="1"/>
  <c r="BG221" i="7"/>
  <c r="AG197" i="6"/>
  <c r="G239" i="6"/>
  <c r="I242" i="7" s="1"/>
  <c r="H160" i="6"/>
  <c r="J163" i="7" s="1"/>
  <c r="AH163" i="7" s="1"/>
  <c r="AI163" i="7" s="1"/>
  <c r="H244" i="6"/>
  <c r="J247" i="7" s="1"/>
  <c r="E294" i="6"/>
  <c r="G297" i="7" s="1"/>
  <c r="AF162" i="7"/>
  <c r="BG162" i="7"/>
  <c r="BN96" i="7"/>
  <c r="BM96" i="7"/>
  <c r="AI93" i="6" s="1"/>
  <c r="T96" i="6"/>
  <c r="H96" i="6"/>
  <c r="J99" i="7" s="1"/>
  <c r="E96" i="6"/>
  <c r="G99" i="7" s="1"/>
  <c r="AG96" i="6"/>
  <c r="F96" i="6"/>
  <c r="H99" i="7" s="1"/>
  <c r="Z96" i="6"/>
  <c r="AE99" i="7" s="1"/>
  <c r="D96" i="6"/>
  <c r="F99" i="7" s="1"/>
  <c r="D127" i="6"/>
  <c r="F130" i="7" s="1"/>
  <c r="Z127" i="6"/>
  <c r="AE130" i="7" s="1"/>
  <c r="AG127" i="6"/>
  <c r="E185" i="6"/>
  <c r="G188" i="7" s="1"/>
  <c r="D185" i="6"/>
  <c r="F188" i="7" s="1"/>
  <c r="Z185" i="6"/>
  <c r="AE188" i="7" s="1"/>
  <c r="F185" i="6"/>
  <c r="H188" i="7" s="1"/>
  <c r="D41" i="6"/>
  <c r="F44" i="7" s="1"/>
  <c r="AG41" i="6"/>
  <c r="H41" i="6"/>
  <c r="J44" i="7" s="1"/>
  <c r="E41" i="6"/>
  <c r="G44" i="7" s="1"/>
  <c r="Z41" i="6"/>
  <c r="AE44" i="7" s="1"/>
  <c r="F41" i="6"/>
  <c r="H44" i="7" s="1"/>
  <c r="V98" i="6"/>
  <c r="AA101" i="7" s="1"/>
  <c r="AL101" i="7" s="1"/>
  <c r="Y101" i="7"/>
  <c r="I255" i="6"/>
  <c r="K258" i="7" s="1"/>
  <c r="H255" i="6"/>
  <c r="J258" i="7" s="1"/>
  <c r="AH258" i="7" s="1"/>
  <c r="AI258" i="7" s="1"/>
  <c r="E255" i="6"/>
  <c r="G258" i="7" s="1"/>
  <c r="F255" i="6"/>
  <c r="H258" i="7" s="1"/>
  <c r="Z255" i="6"/>
  <c r="AE258" i="7" s="1"/>
  <c r="D255" i="6"/>
  <c r="F258" i="7" s="1"/>
  <c r="AG255" i="6"/>
  <c r="H153" i="6"/>
  <c r="J156" i="7" s="1"/>
  <c r="Z153" i="6"/>
  <c r="AE156" i="7" s="1"/>
  <c r="D153" i="6"/>
  <c r="F156" i="7" s="1"/>
  <c r="AG153" i="6"/>
  <c r="E153" i="6"/>
  <c r="G156" i="7" s="1"/>
  <c r="F153" i="6"/>
  <c r="H156" i="7" s="1"/>
  <c r="BF162" i="7"/>
  <c r="BL162" i="7"/>
  <c r="BE162" i="7"/>
  <c r="BN162" i="7"/>
  <c r="AH275" i="7"/>
  <c r="AI275" i="7" s="1"/>
  <c r="Q187" i="7"/>
  <c r="R187" i="7" s="1"/>
  <c r="AG187" i="7"/>
  <c r="Q202" i="7"/>
  <c r="R202" i="7" s="1"/>
  <c r="AG202" i="7"/>
  <c r="AF202" i="7"/>
  <c r="I261" i="6"/>
  <c r="K264" i="7" s="1"/>
  <c r="E261" i="6"/>
  <c r="G264" i="7" s="1"/>
  <c r="H261" i="6"/>
  <c r="J264" i="7" s="1"/>
  <c r="AG261" i="6"/>
  <c r="Z261" i="6"/>
  <c r="AE264" i="7" s="1"/>
  <c r="D261" i="6"/>
  <c r="F264" i="7" s="1"/>
  <c r="G283" i="6"/>
  <c r="I286" i="7" s="1"/>
  <c r="Z283" i="6"/>
  <c r="AE286" i="7" s="1"/>
  <c r="D283" i="6"/>
  <c r="F286" i="7" s="1"/>
  <c r="AG283" i="6"/>
  <c r="E283" i="6"/>
  <c r="G286" i="7" s="1"/>
  <c r="H283" i="6"/>
  <c r="J286" i="7" s="1"/>
  <c r="F283" i="6"/>
  <c r="H286" i="7" s="1"/>
  <c r="Z308" i="6"/>
  <c r="AE311" i="7" s="1"/>
  <c r="AG308" i="6"/>
  <c r="H308" i="6"/>
  <c r="J311" i="7" s="1"/>
  <c r="F308" i="6"/>
  <c r="H311" i="7" s="1"/>
  <c r="BB193" i="7"/>
  <c r="BJ193" i="7"/>
  <c r="BC193" i="7"/>
  <c r="BD193" i="7"/>
  <c r="BJ160" i="7"/>
  <c r="BC160" i="7"/>
  <c r="BB160" i="7"/>
  <c r="BD160" i="7"/>
  <c r="I305" i="6"/>
  <c r="K308" i="7" s="1"/>
  <c r="D305" i="6"/>
  <c r="F308" i="7" s="1"/>
  <c r="Z305" i="6"/>
  <c r="AE308" i="7" s="1"/>
  <c r="AG305" i="6"/>
  <c r="E305" i="6"/>
  <c r="G308" i="7" s="1"/>
  <c r="F305" i="6"/>
  <c r="H308" i="7" s="1"/>
  <c r="H305" i="6"/>
  <c r="J308" i="7" s="1"/>
  <c r="AW19" i="7"/>
  <c r="AY19" i="7" s="1"/>
  <c r="AV22" i="7"/>
  <c r="AW22" i="7" s="1"/>
  <c r="AV20" i="7"/>
  <c r="AW20" i="7" s="1"/>
  <c r="U35" i="5"/>
  <c r="S189" i="5"/>
  <c r="T49" i="5"/>
  <c r="T143" i="5"/>
  <c r="T35" i="5"/>
  <c r="U160" i="5"/>
  <c r="T272" i="5"/>
  <c r="T51" i="5"/>
  <c r="S241" i="5"/>
  <c r="S244" i="5"/>
  <c r="S195" i="5"/>
  <c r="T29" i="5"/>
  <c r="U129" i="5"/>
  <c r="U250" i="5"/>
  <c r="T142" i="5"/>
  <c r="X224" i="5"/>
  <c r="T218" i="5"/>
  <c r="S271" i="5"/>
  <c r="U202" i="5"/>
  <c r="S45" i="5"/>
  <c r="U45" i="5"/>
  <c r="T291" i="6"/>
  <c r="Y294" i="7" s="1"/>
  <c r="AK202" i="7"/>
  <c r="AK257" i="7"/>
  <c r="S302" i="5"/>
  <c r="T92" i="5"/>
  <c r="S141" i="5"/>
  <c r="X90" i="5"/>
  <c r="U234" i="5"/>
  <c r="S269" i="5"/>
  <c r="T154" i="5"/>
  <c r="T183" i="6"/>
  <c r="V183" i="6" s="1"/>
  <c r="AA186" i="7" s="1"/>
  <c r="AL186" i="7" s="1"/>
  <c r="A154" i="7"/>
  <c r="Q290" i="6"/>
  <c r="S290" i="6" s="1"/>
  <c r="X293" i="7" s="1"/>
  <c r="U292" i="5"/>
  <c r="T292" i="5"/>
  <c r="A294" i="7"/>
  <c r="BE241" i="5"/>
  <c r="BF241" i="5" s="1"/>
  <c r="BG241" i="5" s="1"/>
  <c r="BE246" i="7"/>
  <c r="I211" i="6"/>
  <c r="K214" i="7" s="1"/>
  <c r="A214" i="7"/>
  <c r="Q224" i="6"/>
  <c r="S224" i="6" s="1"/>
  <c r="X227" i="7" s="1"/>
  <c r="T224" i="6"/>
  <c r="Y227" i="7" s="1"/>
  <c r="BA33" i="5"/>
  <c r="BO223" i="7"/>
  <c r="BP223" i="7" s="1"/>
  <c r="Q71" i="6"/>
  <c r="S71" i="6" s="1"/>
  <c r="X74" i="7" s="1"/>
  <c r="T71" i="6"/>
  <c r="Y74" i="7" s="1"/>
  <c r="AG76" i="5"/>
  <c r="AI76" i="5" s="1"/>
  <c r="AJ76" i="5" s="1"/>
  <c r="AE76" i="5"/>
  <c r="AD230" i="5"/>
  <c r="AE230" i="5"/>
  <c r="AG230" i="5"/>
  <c r="AI230" i="5" s="1"/>
  <c r="AJ230" i="5" s="1"/>
  <c r="S58" i="5"/>
  <c r="T58" i="5"/>
  <c r="T138" i="5"/>
  <c r="U138" i="5"/>
  <c r="U154" i="5"/>
  <c r="S74" i="5"/>
  <c r="T271" i="5"/>
  <c r="T151" i="6"/>
  <c r="V151" i="6" s="1"/>
  <c r="AA154" i="7" s="1"/>
  <c r="AL154" i="7" s="1"/>
  <c r="Q291" i="6"/>
  <c r="S291" i="6" s="1"/>
  <c r="X294" i="7" s="1"/>
  <c r="U83" i="5"/>
  <c r="S83" i="5"/>
  <c r="Q298" i="7"/>
  <c r="R298" i="7" s="1"/>
  <c r="R87" i="7"/>
  <c r="AK87" i="7"/>
  <c r="BK211" i="7"/>
  <c r="BO211" i="7"/>
  <c r="BP211" i="7" s="1"/>
  <c r="BF211" i="7"/>
  <c r="AG263" i="5"/>
  <c r="AI263" i="5" s="1"/>
  <c r="AJ263" i="5" s="1"/>
  <c r="AE263" i="5"/>
  <c r="AH313" i="7"/>
  <c r="AI313" i="7" s="1"/>
  <c r="S110" i="6"/>
  <c r="X113" i="7" s="1"/>
  <c r="V113" i="7"/>
  <c r="AE109" i="5"/>
  <c r="AF109" i="5"/>
  <c r="AG109" i="5"/>
  <c r="AI109" i="5" s="1"/>
  <c r="AJ109" i="5" s="1"/>
  <c r="AK46" i="7"/>
  <c r="AO46" i="7" s="1"/>
  <c r="AJ46" i="7"/>
  <c r="AH46" i="7"/>
  <c r="AI46" i="7" s="1"/>
  <c r="BG94" i="7"/>
  <c r="AF91" i="6" s="1"/>
  <c r="BF94" i="7"/>
  <c r="AE91" i="6" s="1"/>
  <c r="BO94" i="7"/>
  <c r="BP94" i="7" s="1"/>
  <c r="BN94" i="7"/>
  <c r="BE94" i="7"/>
  <c r="AD91" i="6" s="1"/>
  <c r="BL94" i="7"/>
  <c r="AH91" i="6" s="1"/>
  <c r="BM94" i="7"/>
  <c r="AI91" i="6" s="1"/>
  <c r="BK94" i="7"/>
  <c r="AS298" i="5"/>
  <c r="AT298" i="5" s="1"/>
  <c r="AU298" i="5" s="1"/>
  <c r="AC298" i="5" s="1"/>
  <c r="BE298" i="5"/>
  <c r="BF298" i="5" s="1"/>
  <c r="BG298" i="5" s="1"/>
  <c r="AS127" i="5"/>
  <c r="AT127" i="5" s="1"/>
  <c r="AU127" i="5" s="1"/>
  <c r="AC127" i="5" s="1"/>
  <c r="X127" i="5" s="1"/>
  <c r="BE127" i="5"/>
  <c r="BF127" i="5" s="1"/>
  <c r="BG127" i="5" s="1"/>
  <c r="AE86" i="5"/>
  <c r="AD86" i="5"/>
  <c r="AF86" i="5"/>
  <c r="S266" i="5"/>
  <c r="U266" i="5"/>
  <c r="X309" i="5"/>
  <c r="U106" i="5"/>
  <c r="T239" i="5"/>
  <c r="S170" i="5"/>
  <c r="T47" i="5"/>
  <c r="U79" i="5"/>
  <c r="Q183" i="6"/>
  <c r="V186" i="7" s="1"/>
  <c r="I151" i="6"/>
  <c r="K154" i="7" s="1"/>
  <c r="A123" i="7"/>
  <c r="G120" i="6"/>
  <c r="I123" i="7" s="1"/>
  <c r="AK123" i="7" s="1"/>
  <c r="R145" i="7"/>
  <c r="AH145" i="7"/>
  <c r="AI145" i="7" s="1"/>
  <c r="Q246" i="7"/>
  <c r="R246" i="7" s="1"/>
  <c r="AG246" i="7"/>
  <c r="BC246" i="7" s="1"/>
  <c r="T198" i="6"/>
  <c r="Y201" i="7" s="1"/>
  <c r="A201" i="7"/>
  <c r="I203" i="6"/>
  <c r="K206" i="7" s="1"/>
  <c r="Q203" i="6"/>
  <c r="V206" i="7" s="1"/>
  <c r="AG223" i="7"/>
  <c r="BD223" i="7" s="1"/>
  <c r="Q223" i="7"/>
  <c r="R223" i="7" s="1"/>
  <c r="BF223" i="7"/>
  <c r="A228" i="7"/>
  <c r="G225" i="6"/>
  <c r="I228" i="7" s="1"/>
  <c r="AK228" i="7" s="1"/>
  <c r="AG225" i="5"/>
  <c r="AI225" i="5" s="1"/>
  <c r="AJ225" i="5" s="1"/>
  <c r="AD225" i="5"/>
  <c r="AE252" i="5"/>
  <c r="AD252" i="5"/>
  <c r="AF252" i="5"/>
  <c r="G34" i="6"/>
  <c r="I37" i="7" s="1"/>
  <c r="AK37" i="7" s="1"/>
  <c r="AJ67" i="7"/>
  <c r="G87" i="6"/>
  <c r="I90" i="7" s="1"/>
  <c r="G166" i="6"/>
  <c r="I169" i="7" s="1"/>
  <c r="AK169" i="7" s="1"/>
  <c r="AK253" i="7"/>
  <c r="AU29" i="5"/>
  <c r="AC29" i="5" s="1"/>
  <c r="BE162" i="5"/>
  <c r="BF162" i="5" s="1"/>
  <c r="BG162" i="5" s="1"/>
  <c r="AF111" i="5"/>
  <c r="AG187" i="5"/>
  <c r="AI187" i="5" s="1"/>
  <c r="AJ187" i="5" s="1"/>
  <c r="BA190" i="5"/>
  <c r="AH131" i="7"/>
  <c r="AI131" i="7" s="1"/>
  <c r="AU166" i="5"/>
  <c r="AC166" i="5" s="1"/>
  <c r="BG143" i="5"/>
  <c r="AH265" i="7"/>
  <c r="AI265" i="7" s="1"/>
  <c r="BA248" i="5"/>
  <c r="BG178" i="5"/>
  <c r="AS199" i="5"/>
  <c r="AT199" i="5" s="1"/>
  <c r="AU199" i="5" s="1"/>
  <c r="AC199" i="5" s="1"/>
  <c r="AS306" i="5"/>
  <c r="AT306" i="5" s="1"/>
  <c r="AU306" i="5" s="1"/>
  <c r="AC306" i="5" s="1"/>
  <c r="F90" i="6"/>
  <c r="H93" i="7" s="1"/>
  <c r="AG90" i="6"/>
  <c r="E90" i="6"/>
  <c r="G93" i="7" s="1"/>
  <c r="Z90" i="6"/>
  <c r="AE93" i="7" s="1"/>
  <c r="H90" i="6"/>
  <c r="J93" i="7" s="1"/>
  <c r="AH93" i="7" s="1"/>
  <c r="AI93" i="7" s="1"/>
  <c r="D90" i="6"/>
  <c r="F93" i="7" s="1"/>
  <c r="AS150" i="5"/>
  <c r="AT150" i="5" s="1"/>
  <c r="AU150" i="5" s="1"/>
  <c r="AC150" i="5" s="1"/>
  <c r="BG46" i="7"/>
  <c r="AF43" i="6" s="1"/>
  <c r="BK46" i="7"/>
  <c r="BO46" i="7"/>
  <c r="BP46" i="7" s="1"/>
  <c r="BL46" i="7"/>
  <c r="AH43" i="6" s="1"/>
  <c r="BE46" i="7"/>
  <c r="AD43" i="6" s="1"/>
  <c r="BN46" i="7"/>
  <c r="BF46" i="7"/>
  <c r="AE43" i="6" s="1"/>
  <c r="BM46" i="7"/>
  <c r="AI43" i="6" s="1"/>
  <c r="V52" i="6"/>
  <c r="AA55" i="7" s="1"/>
  <c r="AL55" i="7" s="1"/>
  <c r="Y55" i="7"/>
  <c r="BE113" i="5"/>
  <c r="BF113" i="5" s="1"/>
  <c r="BG113" i="5" s="1"/>
  <c r="AS113" i="5"/>
  <c r="AT113" i="5" s="1"/>
  <c r="AU113" i="5" s="1"/>
  <c r="AC113" i="5" s="1"/>
  <c r="H31" i="6"/>
  <c r="J34" i="7" s="1"/>
  <c r="D31" i="6"/>
  <c r="F34" i="7" s="1"/>
  <c r="Z31" i="6"/>
  <c r="AE34" i="7" s="1"/>
  <c r="AS268" i="5"/>
  <c r="AT268" i="5" s="1"/>
  <c r="AU268" i="5" s="1"/>
  <c r="AC268" i="5" s="1"/>
  <c r="X268" i="5" s="1"/>
  <c r="BE268" i="5"/>
  <c r="BF268" i="5" s="1"/>
  <c r="BG268" i="5" s="1"/>
  <c r="AS182" i="5"/>
  <c r="AT182" i="5" s="1"/>
  <c r="AU182" i="5" s="1"/>
  <c r="AC182" i="5" s="1"/>
  <c r="AS42" i="5"/>
  <c r="AT42" i="5" s="1"/>
  <c r="AU42" i="5" s="1"/>
  <c r="AC42" i="5" s="1"/>
  <c r="BE236" i="5"/>
  <c r="BF236" i="5" s="1"/>
  <c r="BG236" i="5" s="1"/>
  <c r="AS236" i="5"/>
  <c r="AT236" i="5" s="1"/>
  <c r="AU236" i="5" s="1"/>
  <c r="AC236" i="5" s="1"/>
  <c r="X236" i="5" s="1"/>
  <c r="BC84" i="7"/>
  <c r="BJ84" i="7"/>
  <c r="BD84" i="7"/>
  <c r="BB84" i="7"/>
  <c r="AS119" i="5"/>
  <c r="AT119" i="5" s="1"/>
  <c r="AU119" i="5" s="1"/>
  <c r="AC119" i="5" s="1"/>
  <c r="BE119" i="5"/>
  <c r="BF119" i="5" s="1"/>
  <c r="BG119" i="5" s="1"/>
  <c r="AS282" i="5"/>
  <c r="AT282" i="5" s="1"/>
  <c r="AU282" i="5" s="1"/>
  <c r="AC282" i="5" s="1"/>
  <c r="BB43" i="7"/>
  <c r="BC43" i="7"/>
  <c r="BD43" i="7"/>
  <c r="BJ43" i="7"/>
  <c r="T116" i="6"/>
  <c r="I116" i="6"/>
  <c r="K119" i="7" s="1"/>
  <c r="G116" i="6"/>
  <c r="I119" i="7" s="1"/>
  <c r="D116" i="6"/>
  <c r="F119" i="7" s="1"/>
  <c r="AG116" i="6"/>
  <c r="Z116" i="6"/>
  <c r="AE119" i="7" s="1"/>
  <c r="E116" i="6"/>
  <c r="G119" i="7" s="1"/>
  <c r="F116" i="6"/>
  <c r="H119" i="7" s="1"/>
  <c r="H116" i="6"/>
  <c r="J119" i="7" s="1"/>
  <c r="AS297" i="5"/>
  <c r="AT297" i="5" s="1"/>
  <c r="AU297" i="5" s="1"/>
  <c r="AC297" i="5" s="1"/>
  <c r="AS228" i="5"/>
  <c r="AT228" i="5" s="1"/>
  <c r="AU228" i="5" s="1"/>
  <c r="AC228" i="5" s="1"/>
  <c r="X228" i="5" s="1"/>
  <c r="AS211" i="5"/>
  <c r="AT211" i="5" s="1"/>
  <c r="AU211" i="5" s="1"/>
  <c r="AC211" i="5" s="1"/>
  <c r="BB114" i="7"/>
  <c r="BD114" i="7"/>
  <c r="BC114" i="7"/>
  <c r="BJ114" i="7"/>
  <c r="BA228" i="5"/>
  <c r="BG27" i="5"/>
  <c r="BG227" i="5"/>
  <c r="BG307" i="5"/>
  <c r="BA149" i="5"/>
  <c r="BA274" i="5"/>
  <c r="BK221" i="7"/>
  <c r="BF221" i="7"/>
  <c r="BL221" i="7"/>
  <c r="E234" i="6"/>
  <c r="G237" i="7" s="1"/>
  <c r="H234" i="6"/>
  <c r="J237" i="7" s="1"/>
  <c r="AH237" i="7" s="1"/>
  <c r="AI237" i="7" s="1"/>
  <c r="AG234" i="6"/>
  <c r="D234" i="6"/>
  <c r="F237" i="7" s="1"/>
  <c r="F234" i="6"/>
  <c r="H237" i="7" s="1"/>
  <c r="AS148" i="5"/>
  <c r="AT148" i="5" s="1"/>
  <c r="AU148" i="5" s="1"/>
  <c r="AC148" i="5" s="1"/>
  <c r="X148" i="5" s="1"/>
  <c r="BE148" i="5"/>
  <c r="BF148" i="5" s="1"/>
  <c r="BG148" i="5" s="1"/>
  <c r="AS77" i="5"/>
  <c r="AT77" i="5" s="1"/>
  <c r="AU77" i="5" s="1"/>
  <c r="AC77" i="5" s="1"/>
  <c r="X77" i="5" s="1"/>
  <c r="BE290" i="5"/>
  <c r="BF290" i="5" s="1"/>
  <c r="BG290" i="5" s="1"/>
  <c r="AS290" i="5"/>
  <c r="AT290" i="5" s="1"/>
  <c r="AU290" i="5" s="1"/>
  <c r="AC290" i="5" s="1"/>
  <c r="AS88" i="5"/>
  <c r="AT88" i="5" s="1"/>
  <c r="AU88" i="5" s="1"/>
  <c r="AC88" i="5" s="1"/>
  <c r="BE88" i="5"/>
  <c r="BF88" i="5" s="1"/>
  <c r="BG88" i="5" s="1"/>
  <c r="BE176" i="5"/>
  <c r="BF176" i="5" s="1"/>
  <c r="BG176" i="5" s="1"/>
  <c r="AS176" i="5"/>
  <c r="AT176" i="5" s="1"/>
  <c r="AU176" i="5" s="1"/>
  <c r="AC176" i="5" s="1"/>
  <c r="X176" i="5" s="1"/>
  <c r="A179" i="7"/>
  <c r="I176" i="6"/>
  <c r="K179" i="7" s="1"/>
  <c r="G176" i="6"/>
  <c r="I179" i="7" s="1"/>
  <c r="H176" i="6"/>
  <c r="J179" i="7" s="1"/>
  <c r="F176" i="6"/>
  <c r="H179" i="7" s="1"/>
  <c r="D176" i="6"/>
  <c r="F179" i="7" s="1"/>
  <c r="AG176" i="6"/>
  <c r="Z176" i="6"/>
  <c r="AE179" i="7" s="1"/>
  <c r="E176" i="6"/>
  <c r="G179" i="7" s="1"/>
  <c r="BL261" i="7"/>
  <c r="BO261" i="7"/>
  <c r="BP261" i="7" s="1"/>
  <c r="BK261" i="7"/>
  <c r="BG261" i="7"/>
  <c r="BN261" i="7"/>
  <c r="BF261" i="7"/>
  <c r="BE261" i="7"/>
  <c r="BM261" i="7"/>
  <c r="BE194" i="5"/>
  <c r="BF194" i="5" s="1"/>
  <c r="BG194" i="5" s="1"/>
  <c r="AS194" i="5"/>
  <c r="AT194" i="5" s="1"/>
  <c r="AU194" i="5" s="1"/>
  <c r="AC194" i="5" s="1"/>
  <c r="E242" i="6"/>
  <c r="G245" i="7" s="1"/>
  <c r="Z242" i="6"/>
  <c r="AE245" i="7" s="1"/>
  <c r="BO245" i="7" s="1"/>
  <c r="BP245" i="7" s="1"/>
  <c r="D242" i="6"/>
  <c r="F245" i="7" s="1"/>
  <c r="H242" i="6"/>
  <c r="J245" i="7" s="1"/>
  <c r="AG242" i="6"/>
  <c r="F242" i="6"/>
  <c r="H245" i="7" s="1"/>
  <c r="Q259" i="6"/>
  <c r="T259" i="6"/>
  <c r="Z259" i="6"/>
  <c r="AE262" i="7" s="1"/>
  <c r="I259" i="6"/>
  <c r="K262" i="7" s="1"/>
  <c r="D259" i="6"/>
  <c r="F262" i="7" s="1"/>
  <c r="E259" i="6"/>
  <c r="G262" i="7" s="1"/>
  <c r="AG259" i="6"/>
  <c r="H259" i="6"/>
  <c r="J262" i="7" s="1"/>
  <c r="F259" i="6"/>
  <c r="H262" i="7" s="1"/>
  <c r="AY90" i="5"/>
  <c r="AZ90" i="5" s="1"/>
  <c r="BA90" i="5" s="1"/>
  <c r="BE90" i="5"/>
  <c r="BF90" i="5" s="1"/>
  <c r="BG90" i="5" s="1"/>
  <c r="AS310" i="5"/>
  <c r="AT310" i="5" s="1"/>
  <c r="AU310" i="5" s="1"/>
  <c r="AC310" i="5" s="1"/>
  <c r="BE310" i="5"/>
  <c r="BF310" i="5" s="1"/>
  <c r="BG310" i="5" s="1"/>
  <c r="AS303" i="5"/>
  <c r="AT303" i="5" s="1"/>
  <c r="AU303" i="5" s="1"/>
  <c r="AC303" i="5" s="1"/>
  <c r="X303" i="5" s="1"/>
  <c r="BE303" i="5"/>
  <c r="BF303" i="5" s="1"/>
  <c r="BG303" i="5" s="1"/>
  <c r="G35" i="6"/>
  <c r="I38" i="7" s="1"/>
  <c r="A38" i="7"/>
  <c r="T35" i="6"/>
  <c r="I35" i="6"/>
  <c r="K38" i="7" s="1"/>
  <c r="Q35" i="6"/>
  <c r="F35" i="6"/>
  <c r="H38" i="7" s="1"/>
  <c r="AG35" i="6"/>
  <c r="Z35" i="6"/>
  <c r="AE38" i="7" s="1"/>
  <c r="D35" i="6"/>
  <c r="F38" i="7" s="1"/>
  <c r="H35" i="6"/>
  <c r="J38" i="7" s="1"/>
  <c r="E35" i="6"/>
  <c r="G38" i="7" s="1"/>
  <c r="AS235" i="5"/>
  <c r="AT235" i="5" s="1"/>
  <c r="AU235" i="5" s="1"/>
  <c r="AC235" i="5" s="1"/>
  <c r="BE158" i="5"/>
  <c r="BF158" i="5" s="1"/>
  <c r="BG158" i="5" s="1"/>
  <c r="AS158" i="5"/>
  <c r="AT158" i="5" s="1"/>
  <c r="AU158" i="5" s="1"/>
  <c r="AC158" i="5" s="1"/>
  <c r="X158" i="5" s="1"/>
  <c r="AS190" i="5"/>
  <c r="AT190" i="5" s="1"/>
  <c r="AU190" i="5" s="1"/>
  <c r="AC190" i="5" s="1"/>
  <c r="X190" i="5" s="1"/>
  <c r="BE190" i="5"/>
  <c r="BF190" i="5" s="1"/>
  <c r="BG190" i="5" s="1"/>
  <c r="AS57" i="5"/>
  <c r="AT57" i="5" s="1"/>
  <c r="AU57" i="5" s="1"/>
  <c r="AC57" i="5" s="1"/>
  <c r="BE57" i="5"/>
  <c r="BF57" i="5" s="1"/>
  <c r="BG57" i="5" s="1"/>
  <c r="AU162" i="5"/>
  <c r="AC162" i="5" s="1"/>
  <c r="BB190" i="7"/>
  <c r="BJ190" i="7"/>
  <c r="BC168" i="7"/>
  <c r="BB168" i="7"/>
  <c r="BD168" i="7"/>
  <c r="BJ168" i="7"/>
  <c r="Q104" i="7"/>
  <c r="R104" i="7" s="1"/>
  <c r="AF104" i="7"/>
  <c r="AG104" i="7"/>
  <c r="AS128" i="5"/>
  <c r="AT128" i="5" s="1"/>
  <c r="AU128" i="5" s="1"/>
  <c r="AC128" i="5" s="1"/>
  <c r="X128" i="5" s="1"/>
  <c r="BE128" i="5"/>
  <c r="BF128" i="5" s="1"/>
  <c r="BG128" i="5" s="1"/>
  <c r="Z309" i="6"/>
  <c r="AE312" i="7" s="1"/>
  <c r="H309" i="6"/>
  <c r="J312" i="7" s="1"/>
  <c r="AG309" i="6"/>
  <c r="D309" i="6"/>
  <c r="F312" i="7" s="1"/>
  <c r="F309" i="6"/>
  <c r="H312" i="7" s="1"/>
  <c r="AS156" i="5"/>
  <c r="AT156" i="5" s="1"/>
  <c r="AU156" i="5" s="1"/>
  <c r="AC156" i="5" s="1"/>
  <c r="BE156" i="5"/>
  <c r="BF156" i="5" s="1"/>
  <c r="BG156" i="5" s="1"/>
  <c r="I306" i="6"/>
  <c r="K309" i="7" s="1"/>
  <c r="G306" i="6"/>
  <c r="I309" i="7" s="1"/>
  <c r="Z306" i="6"/>
  <c r="AE309" i="7" s="1"/>
  <c r="D306" i="6"/>
  <c r="F309" i="7" s="1"/>
  <c r="H306" i="6"/>
  <c r="J309" i="7" s="1"/>
  <c r="F306" i="6"/>
  <c r="H309" i="7" s="1"/>
  <c r="E306" i="6"/>
  <c r="G309" i="7" s="1"/>
  <c r="AG306" i="6"/>
  <c r="BE51" i="5"/>
  <c r="BF51" i="5" s="1"/>
  <c r="BG51" i="5" s="1"/>
  <c r="AS51" i="5"/>
  <c r="AT51" i="5" s="1"/>
  <c r="AU51" i="5" s="1"/>
  <c r="AC51" i="5" s="1"/>
  <c r="AY86" i="5"/>
  <c r="AZ86" i="5" s="1"/>
  <c r="BA86" i="5" s="1"/>
  <c r="BE86" i="5"/>
  <c r="BF86" i="5" s="1"/>
  <c r="BG86" i="5" s="1"/>
  <c r="BE165" i="5"/>
  <c r="BF165" i="5" s="1"/>
  <c r="BG165" i="5" s="1"/>
  <c r="AS165" i="5"/>
  <c r="AT165" i="5" s="1"/>
  <c r="AU165" i="5" s="1"/>
  <c r="AC165" i="5" s="1"/>
  <c r="BE131" i="5"/>
  <c r="BF131" i="5" s="1"/>
  <c r="BG131" i="5" s="1"/>
  <c r="AS131" i="5"/>
  <c r="AT131" i="5" s="1"/>
  <c r="AU131" i="5" s="1"/>
  <c r="AC131" i="5" s="1"/>
  <c r="X131" i="5" s="1"/>
  <c r="AS175" i="5"/>
  <c r="AT175" i="5" s="1"/>
  <c r="AU175" i="5" s="1"/>
  <c r="AC175" i="5" s="1"/>
  <c r="X175" i="5" s="1"/>
  <c r="BE175" i="5"/>
  <c r="BF175" i="5" s="1"/>
  <c r="BG175" i="5" s="1"/>
  <c r="AS44" i="5"/>
  <c r="AT44" i="5" s="1"/>
  <c r="AU44" i="5" s="1"/>
  <c r="AC44" i="5" s="1"/>
  <c r="AS135" i="5"/>
  <c r="AT135" i="5" s="1"/>
  <c r="AU135" i="5" s="1"/>
  <c r="AC135" i="5" s="1"/>
  <c r="BE135" i="5"/>
  <c r="BF135" i="5" s="1"/>
  <c r="BG135" i="5" s="1"/>
  <c r="Z86" i="6"/>
  <c r="AE89" i="7" s="1"/>
  <c r="F86" i="6"/>
  <c r="H89" i="7" s="1"/>
  <c r="AG86" i="6"/>
  <c r="H86" i="6"/>
  <c r="J89" i="7" s="1"/>
  <c r="T130" i="6"/>
  <c r="AG130" i="6"/>
  <c r="F130" i="6"/>
  <c r="H133" i="7" s="1"/>
  <c r="E130" i="6"/>
  <c r="G133" i="7" s="1"/>
  <c r="D130" i="6"/>
  <c r="F133" i="7" s="1"/>
  <c r="AH202" i="7"/>
  <c r="AI202" i="7" s="1"/>
  <c r="AU222" i="5"/>
  <c r="AC222" i="5" s="1"/>
  <c r="X222" i="5" s="1"/>
  <c r="R75" i="7"/>
  <c r="BE246" i="5"/>
  <c r="BF246" i="5" s="1"/>
  <c r="BG246" i="5" s="1"/>
  <c r="BE62" i="5"/>
  <c r="BF62" i="5" s="1"/>
  <c r="BG62" i="5" s="1"/>
  <c r="G285" i="6"/>
  <c r="I288" i="7" s="1"/>
  <c r="AG285" i="6"/>
  <c r="D285" i="6"/>
  <c r="F288" i="7" s="1"/>
  <c r="F285" i="6"/>
  <c r="H288" i="7" s="1"/>
  <c r="H285" i="6"/>
  <c r="J288" i="7" s="1"/>
  <c r="E285" i="6"/>
  <c r="G288" i="7" s="1"/>
  <c r="Z285" i="6"/>
  <c r="AE288" i="7" s="1"/>
  <c r="V43" i="6"/>
  <c r="AA46" i="7" s="1"/>
  <c r="AL46" i="7" s="1"/>
  <c r="Y46" i="7"/>
  <c r="AK127" i="7"/>
  <c r="AJ127" i="7"/>
  <c r="BE225" i="7"/>
  <c r="BL225" i="7"/>
  <c r="BK225" i="7"/>
  <c r="BG225" i="7"/>
  <c r="BN225" i="7"/>
  <c r="BM225" i="7"/>
  <c r="BF225" i="7"/>
  <c r="BO225" i="7"/>
  <c r="BP225" i="7" s="1"/>
  <c r="BA217" i="5"/>
  <c r="G195" i="6"/>
  <c r="I198" i="7" s="1"/>
  <c r="E195" i="6"/>
  <c r="G198" i="7" s="1"/>
  <c r="D195" i="6"/>
  <c r="F198" i="7" s="1"/>
  <c r="Z195" i="6"/>
  <c r="AE198" i="7" s="1"/>
  <c r="BE198" i="7" s="1"/>
  <c r="F195" i="6"/>
  <c r="H198" i="7" s="1"/>
  <c r="H195" i="6"/>
  <c r="J198" i="7" s="1"/>
  <c r="AG195" i="6"/>
  <c r="Q267" i="6"/>
  <c r="T267" i="6"/>
  <c r="I267" i="6"/>
  <c r="K270" i="7" s="1"/>
  <c r="F267" i="6"/>
  <c r="H270" i="7" s="1"/>
  <c r="Z267" i="6"/>
  <c r="AE270" i="7" s="1"/>
  <c r="AG267" i="6"/>
  <c r="H267" i="6"/>
  <c r="J270" i="7" s="1"/>
  <c r="AH270" i="7" s="1"/>
  <c r="AI270" i="7" s="1"/>
  <c r="E267" i="6"/>
  <c r="G270" i="7" s="1"/>
  <c r="D267" i="6"/>
  <c r="F270" i="7" s="1"/>
  <c r="AU69" i="5"/>
  <c r="AC69" i="5" s="1"/>
  <c r="X69" i="5" s="1"/>
  <c r="T177" i="6"/>
  <c r="F177" i="6"/>
  <c r="H180" i="7" s="1"/>
  <c r="H177" i="6"/>
  <c r="J180" i="7" s="1"/>
  <c r="AG177" i="6"/>
  <c r="E177" i="6"/>
  <c r="G180" i="7" s="1"/>
  <c r="Q253" i="6"/>
  <c r="I253" i="6"/>
  <c r="K256" i="7" s="1"/>
  <c r="T253" i="6"/>
  <c r="D253" i="6"/>
  <c r="F256" i="7" s="1"/>
  <c r="H253" i="6"/>
  <c r="J256" i="7" s="1"/>
  <c r="F253" i="6"/>
  <c r="H256" i="7" s="1"/>
  <c r="AG253" i="6"/>
  <c r="Z253" i="6"/>
  <c r="AE256" i="7" s="1"/>
  <c r="BL256" i="7" s="1"/>
  <c r="E253" i="6"/>
  <c r="G256" i="7" s="1"/>
  <c r="AJ297" i="7"/>
  <c r="BE309" i="5"/>
  <c r="BF309" i="5" s="1"/>
  <c r="BG309" i="5" s="1"/>
  <c r="AS309" i="5"/>
  <c r="AT309" i="5" s="1"/>
  <c r="AU309" i="5" s="1"/>
  <c r="AC309" i="5" s="1"/>
  <c r="BA185" i="5"/>
  <c r="AS121" i="5"/>
  <c r="AT121" i="5" s="1"/>
  <c r="AU121" i="5" s="1"/>
  <c r="AC121" i="5" s="1"/>
  <c r="X121" i="5" s="1"/>
  <c r="BE121" i="5"/>
  <c r="BF121" i="5" s="1"/>
  <c r="BG121" i="5" s="1"/>
  <c r="AS170" i="5"/>
  <c r="AT170" i="5" s="1"/>
  <c r="AU170" i="5" s="1"/>
  <c r="AC170" i="5" s="1"/>
  <c r="BE170" i="5"/>
  <c r="BF170" i="5" s="1"/>
  <c r="BG170" i="5" s="1"/>
  <c r="BB233" i="7"/>
  <c r="BJ233" i="7"/>
  <c r="BD233" i="7"/>
  <c r="BC233" i="7"/>
  <c r="AS63" i="5"/>
  <c r="AT63" i="5" s="1"/>
  <c r="AU63" i="5" s="1"/>
  <c r="AC63" i="5" s="1"/>
  <c r="X63" i="5" s="1"/>
  <c r="AS223" i="5"/>
  <c r="AT223" i="5" s="1"/>
  <c r="AU223" i="5" s="1"/>
  <c r="AC223" i="5" s="1"/>
  <c r="X223" i="5" s="1"/>
  <c r="BE124" i="5"/>
  <c r="BF124" i="5" s="1"/>
  <c r="BG124" i="5" s="1"/>
  <c r="A140" i="7"/>
  <c r="F137" i="6"/>
  <c r="H140" i="7" s="1"/>
  <c r="Z137" i="6"/>
  <c r="AE140" i="7" s="1"/>
  <c r="E137" i="6"/>
  <c r="G140" i="7" s="1"/>
  <c r="AG137" i="6"/>
  <c r="H137" i="6"/>
  <c r="J140" i="7" s="1"/>
  <c r="D137" i="6"/>
  <c r="F140" i="7" s="1"/>
  <c r="T46" i="5"/>
  <c r="T144" i="5"/>
  <c r="T128" i="5"/>
  <c r="T208" i="5"/>
  <c r="S80" i="5"/>
  <c r="U96" i="5"/>
  <c r="U224" i="5"/>
  <c r="S159" i="5"/>
  <c r="T192" i="5"/>
  <c r="T112" i="5"/>
  <c r="S47" i="5"/>
  <c r="U128" i="5"/>
  <c r="T255" i="5"/>
  <c r="T95" i="5"/>
  <c r="U64" i="5"/>
  <c r="S79" i="5"/>
  <c r="S304" i="5"/>
  <c r="U163" i="5"/>
  <c r="S49" i="5"/>
  <c r="S145" i="5"/>
  <c r="T94" i="5"/>
  <c r="S112" i="5"/>
  <c r="U179" i="5"/>
  <c r="S27" i="5"/>
  <c r="S100" i="5"/>
  <c r="S255" i="5"/>
  <c r="U272" i="5"/>
  <c r="S176" i="5"/>
  <c r="S240" i="5"/>
  <c r="T64" i="5"/>
  <c r="T291" i="5"/>
  <c r="S298" i="5"/>
  <c r="S41" i="5"/>
  <c r="T83" i="5"/>
  <c r="T146" i="5"/>
  <c r="T298" i="5"/>
  <c r="Q19" i="5"/>
  <c r="T19" i="5" s="1"/>
  <c r="U175" i="5"/>
  <c r="J17" i="1"/>
  <c r="P21" i="5" s="1"/>
  <c r="I17" i="1" s="1"/>
  <c r="T207" i="5"/>
  <c r="AE214" i="5"/>
  <c r="AD214" i="5"/>
  <c r="AF214" i="5"/>
  <c r="AG214" i="5"/>
  <c r="AI214" i="5" s="1"/>
  <c r="AJ214" i="5" s="1"/>
  <c r="AG178" i="5"/>
  <c r="AI178" i="5" s="1"/>
  <c r="AJ178" i="5" s="1"/>
  <c r="AE178" i="5"/>
  <c r="AF178" i="5"/>
  <c r="AD178" i="5"/>
  <c r="AD25" i="5"/>
  <c r="AE143" i="5"/>
  <c r="AG143" i="5"/>
  <c r="AI143" i="5" s="1"/>
  <c r="AJ143" i="5" s="1"/>
  <c r="AF143" i="5"/>
  <c r="AD143" i="5"/>
  <c r="AG182" i="5"/>
  <c r="AI182" i="5" s="1"/>
  <c r="AJ182" i="5" s="1"/>
  <c r="AE182" i="5"/>
  <c r="AF205" i="5"/>
  <c r="AE205" i="5"/>
  <c r="AD205" i="5"/>
  <c r="AG205" i="5"/>
  <c r="AI205" i="5" s="1"/>
  <c r="AJ205" i="5" s="1"/>
  <c r="AD89" i="5"/>
  <c r="AF89" i="5"/>
  <c r="AE89" i="5"/>
  <c r="AG89" i="5"/>
  <c r="AI89" i="5" s="1"/>
  <c r="AJ89" i="5" s="1"/>
  <c r="AG27" i="5"/>
  <c r="AI27" i="5" s="1"/>
  <c r="AJ27" i="5" s="1"/>
  <c r="AF27" i="5"/>
  <c r="AE27" i="5"/>
  <c r="AD27" i="5"/>
  <c r="X89" i="5"/>
  <c r="AU65" i="5"/>
  <c r="AC65" i="5" s="1"/>
  <c r="AD65" i="5" s="1"/>
  <c r="S70" i="6"/>
  <c r="X73" i="7" s="1"/>
  <c r="V73" i="7"/>
  <c r="BE213" i="5"/>
  <c r="BF213" i="5" s="1"/>
  <c r="BG213" i="5" s="1"/>
  <c r="AS213" i="5"/>
  <c r="AT213" i="5" s="1"/>
  <c r="AU213" i="5" s="1"/>
  <c r="AC213" i="5" s="1"/>
  <c r="AK40" i="7"/>
  <c r="AJ40" i="7"/>
  <c r="AH40" i="7"/>
  <c r="AI40" i="7" s="1"/>
  <c r="V175" i="6"/>
  <c r="AA178" i="7" s="1"/>
  <c r="AL178" i="7" s="1"/>
  <c r="Y178" i="7"/>
  <c r="BE253" i="7"/>
  <c r="BF253" i="7"/>
  <c r="BK253" i="7"/>
  <c r="BO253" i="7"/>
  <c r="BP253" i="7" s="1"/>
  <c r="BN253" i="7"/>
  <c r="BM253" i="7"/>
  <c r="BG253" i="7"/>
  <c r="BL253" i="7"/>
  <c r="BL275" i="7"/>
  <c r="BE275" i="7"/>
  <c r="BK275" i="7"/>
  <c r="BN275" i="7"/>
  <c r="BO275" i="7"/>
  <c r="BP275" i="7" s="1"/>
  <c r="BF275" i="7"/>
  <c r="BM275" i="7"/>
  <c r="BG275" i="7"/>
  <c r="BE33" i="5"/>
  <c r="BF33" i="5" s="1"/>
  <c r="BG33" i="5" s="1"/>
  <c r="AS33" i="5"/>
  <c r="AT33" i="5" s="1"/>
  <c r="AU33" i="5" s="1"/>
  <c r="AC33" i="5" s="1"/>
  <c r="X33" i="5" s="1"/>
  <c r="AS284" i="5"/>
  <c r="AT284" i="5" s="1"/>
  <c r="AU284" i="5" s="1"/>
  <c r="AC284" i="5" s="1"/>
  <c r="BE284" i="5"/>
  <c r="BF284" i="5" s="1"/>
  <c r="BG284" i="5" s="1"/>
  <c r="AJ157" i="7"/>
  <c r="AH157" i="7"/>
  <c r="AI157" i="7" s="1"/>
  <c r="AF271" i="7"/>
  <c r="Q271" i="7"/>
  <c r="R271" i="7" s="1"/>
  <c r="AG271" i="7"/>
  <c r="AJ289" i="7"/>
  <c r="AK289" i="7"/>
  <c r="R289" i="7"/>
  <c r="AH289" i="7"/>
  <c r="AI289" i="7" s="1"/>
  <c r="BE107" i="5"/>
  <c r="BF107" i="5" s="1"/>
  <c r="BG107" i="5" s="1"/>
  <c r="AS107" i="5"/>
  <c r="AT107" i="5" s="1"/>
  <c r="AU107" i="5" s="1"/>
  <c r="AC107" i="5" s="1"/>
  <c r="X107" i="5" s="1"/>
  <c r="BE304" i="5"/>
  <c r="BF304" i="5" s="1"/>
  <c r="BG304" i="5" s="1"/>
  <c r="AS304" i="5"/>
  <c r="AT304" i="5" s="1"/>
  <c r="AU304" i="5" s="1"/>
  <c r="AC304" i="5" s="1"/>
  <c r="AS267" i="5"/>
  <c r="AT267" i="5" s="1"/>
  <c r="AU267" i="5" s="1"/>
  <c r="AC267" i="5" s="1"/>
  <c r="BE267" i="5"/>
  <c r="BF267" i="5" s="1"/>
  <c r="BG267" i="5" s="1"/>
  <c r="AS78" i="5"/>
  <c r="AT78" i="5" s="1"/>
  <c r="AU78" i="5" s="1"/>
  <c r="AC78" i="5" s="1"/>
  <c r="X78" i="5" s="1"/>
  <c r="BE78" i="5"/>
  <c r="BF78" i="5" s="1"/>
  <c r="BG78" i="5" s="1"/>
  <c r="AS272" i="5"/>
  <c r="AT272" i="5" s="1"/>
  <c r="AU272" i="5" s="1"/>
  <c r="AC272" i="5" s="1"/>
  <c r="BE278" i="5"/>
  <c r="BF278" i="5" s="1"/>
  <c r="BG278" i="5" s="1"/>
  <c r="AS278" i="5"/>
  <c r="AT278" i="5" s="1"/>
  <c r="AU278" i="5" s="1"/>
  <c r="AC278" i="5" s="1"/>
  <c r="X278" i="5" s="1"/>
  <c r="AG39" i="6"/>
  <c r="Z39" i="6"/>
  <c r="AE42" i="7" s="1"/>
  <c r="F39" i="6"/>
  <c r="H42" i="7" s="1"/>
  <c r="H39" i="6"/>
  <c r="J42" i="7" s="1"/>
  <c r="D39" i="6"/>
  <c r="F42" i="7" s="1"/>
  <c r="E39" i="6"/>
  <c r="G42" i="7" s="1"/>
  <c r="I145" i="6"/>
  <c r="K148" i="7" s="1"/>
  <c r="E145" i="6"/>
  <c r="G148" i="7" s="1"/>
  <c r="T145" i="6"/>
  <c r="AG145" i="6"/>
  <c r="D145" i="6"/>
  <c r="F148" i="7" s="1"/>
  <c r="Z145" i="6"/>
  <c r="AE148" i="7" s="1"/>
  <c r="F145" i="6"/>
  <c r="H148" i="7" s="1"/>
  <c r="H145" i="6"/>
  <c r="J148" i="7" s="1"/>
  <c r="Q257" i="6"/>
  <c r="I257" i="6"/>
  <c r="K260" i="7" s="1"/>
  <c r="T257" i="6"/>
  <c r="Z257" i="6"/>
  <c r="AE260" i="7" s="1"/>
  <c r="D257" i="6"/>
  <c r="F260" i="7" s="1"/>
  <c r="H257" i="6"/>
  <c r="J260" i="7" s="1"/>
  <c r="F257" i="6"/>
  <c r="H260" i="7" s="1"/>
  <c r="E257" i="6"/>
  <c r="G260" i="7" s="1"/>
  <c r="AG257" i="6"/>
  <c r="BE41" i="5"/>
  <c r="BF41" i="5" s="1"/>
  <c r="BG41" i="5" s="1"/>
  <c r="AS41" i="5"/>
  <c r="AT41" i="5" s="1"/>
  <c r="AU41" i="5" s="1"/>
  <c r="AC41" i="5" s="1"/>
  <c r="X41" i="5" s="1"/>
  <c r="A122" i="7"/>
  <c r="H119" i="6"/>
  <c r="J122" i="7" s="1"/>
  <c r="F119" i="6"/>
  <c r="H122" i="7" s="1"/>
  <c r="D119" i="6"/>
  <c r="F122" i="7" s="1"/>
  <c r="Z119" i="6"/>
  <c r="AE122" i="7" s="1"/>
  <c r="E119" i="6"/>
  <c r="G122" i="7" s="1"/>
  <c r="AG119" i="6"/>
  <c r="S155" i="6"/>
  <c r="X158" i="7" s="1"/>
  <c r="V158" i="7"/>
  <c r="A255" i="7"/>
  <c r="G252" i="6"/>
  <c r="I255" i="7" s="1"/>
  <c r="H252" i="6"/>
  <c r="J255" i="7" s="1"/>
  <c r="AG252" i="6"/>
  <c r="Z252" i="6"/>
  <c r="AE255" i="7" s="1"/>
  <c r="E252" i="6"/>
  <c r="G255" i="7" s="1"/>
  <c r="F252" i="6"/>
  <c r="H255" i="7" s="1"/>
  <c r="D252" i="6"/>
  <c r="F255" i="7" s="1"/>
  <c r="BG257" i="7"/>
  <c r="BL257" i="7"/>
  <c r="BK257" i="7"/>
  <c r="BE257" i="7"/>
  <c r="BN257" i="7"/>
  <c r="BF257" i="7"/>
  <c r="BO257" i="7"/>
  <c r="BP257" i="7" s="1"/>
  <c r="BM257" i="7"/>
  <c r="AJ283" i="7"/>
  <c r="AH283" i="7"/>
  <c r="AI283" i="7" s="1"/>
  <c r="AJ298" i="7"/>
  <c r="AH298" i="7"/>
  <c r="AI298" i="7" s="1"/>
  <c r="BE251" i="5"/>
  <c r="BF251" i="5" s="1"/>
  <c r="BG251" i="5" s="1"/>
  <c r="AS251" i="5"/>
  <c r="AT251" i="5" s="1"/>
  <c r="AU251" i="5" s="1"/>
  <c r="AC251" i="5" s="1"/>
  <c r="X251" i="5" s="1"/>
  <c r="AS98" i="5"/>
  <c r="AT98" i="5" s="1"/>
  <c r="AU98" i="5" s="1"/>
  <c r="AC98" i="5" s="1"/>
  <c r="BE98" i="5"/>
  <c r="BF98" i="5" s="1"/>
  <c r="BG98" i="5" s="1"/>
  <c r="AS216" i="5"/>
  <c r="AT216" i="5" s="1"/>
  <c r="AU216" i="5" s="1"/>
  <c r="AC216" i="5" s="1"/>
  <c r="X216" i="5" s="1"/>
  <c r="BE216" i="5"/>
  <c r="BF216" i="5" s="1"/>
  <c r="BG216" i="5" s="1"/>
  <c r="AS24" i="5"/>
  <c r="AT24" i="5" s="1"/>
  <c r="AU24" i="5" s="1"/>
  <c r="AC24" i="5" s="1"/>
  <c r="BE24" i="5"/>
  <c r="BF24" i="5" s="1"/>
  <c r="BG24" i="5" s="1"/>
  <c r="AS276" i="5"/>
  <c r="AT276" i="5" s="1"/>
  <c r="AU276" i="5" s="1"/>
  <c r="AC276" i="5" s="1"/>
  <c r="X276" i="5" s="1"/>
  <c r="BE276" i="5"/>
  <c r="BF276" i="5" s="1"/>
  <c r="BG276" i="5" s="1"/>
  <c r="AS177" i="5"/>
  <c r="AT177" i="5" s="1"/>
  <c r="AU177" i="5" s="1"/>
  <c r="AC177" i="5" s="1"/>
  <c r="BE177" i="5"/>
  <c r="BF177" i="5" s="1"/>
  <c r="BG177" i="5" s="1"/>
  <c r="BE218" i="5"/>
  <c r="BF218" i="5" s="1"/>
  <c r="BG218" i="5" s="1"/>
  <c r="AS218" i="5"/>
  <c r="AT218" i="5" s="1"/>
  <c r="AU218" i="5" s="1"/>
  <c r="AC218" i="5" s="1"/>
  <c r="X218" i="5" s="1"/>
  <c r="AS195" i="5"/>
  <c r="AT195" i="5" s="1"/>
  <c r="AU195" i="5" s="1"/>
  <c r="AC195" i="5" s="1"/>
  <c r="BE195" i="5"/>
  <c r="BF195" i="5" s="1"/>
  <c r="BG195" i="5" s="1"/>
  <c r="AS232" i="5"/>
  <c r="AT232" i="5" s="1"/>
  <c r="AU232" i="5" s="1"/>
  <c r="AC232" i="5" s="1"/>
  <c r="X232" i="5" s="1"/>
  <c r="BE232" i="5"/>
  <c r="BF232" i="5" s="1"/>
  <c r="BG232" i="5" s="1"/>
  <c r="BE64" i="5"/>
  <c r="BF64" i="5" s="1"/>
  <c r="BG64" i="5" s="1"/>
  <c r="AS64" i="5"/>
  <c r="AT64" i="5" s="1"/>
  <c r="AU64" i="5" s="1"/>
  <c r="AC64" i="5" s="1"/>
  <c r="BE229" i="5"/>
  <c r="BF229" i="5" s="1"/>
  <c r="BG229" i="5" s="1"/>
  <c r="AS229" i="5"/>
  <c r="AT229" i="5" s="1"/>
  <c r="AU229" i="5" s="1"/>
  <c r="AC229" i="5" s="1"/>
  <c r="X229" i="5" s="1"/>
  <c r="H75" i="6"/>
  <c r="J78" i="7" s="1"/>
  <c r="Z75" i="6"/>
  <c r="AE78" i="7" s="1"/>
  <c r="F75" i="6"/>
  <c r="H78" i="7" s="1"/>
  <c r="I75" i="6"/>
  <c r="K78" i="7" s="1"/>
  <c r="E75" i="6"/>
  <c r="G78" i="7" s="1"/>
  <c r="AG75" i="6"/>
  <c r="D75" i="6"/>
  <c r="F78" i="7" s="1"/>
  <c r="BB181" i="7"/>
  <c r="BC181" i="7"/>
  <c r="BJ181" i="7"/>
  <c r="BD181" i="7"/>
  <c r="Z181" i="6"/>
  <c r="AE184" i="7" s="1"/>
  <c r="BN184" i="7" s="1"/>
  <c r="F181" i="6"/>
  <c r="H184" i="7" s="1"/>
  <c r="D181" i="6"/>
  <c r="F184" i="7" s="1"/>
  <c r="AG181" i="6"/>
  <c r="H181" i="6"/>
  <c r="J184" i="7" s="1"/>
  <c r="E181" i="6"/>
  <c r="G184" i="7" s="1"/>
  <c r="S243" i="6"/>
  <c r="X246" i="7" s="1"/>
  <c r="V246" i="7"/>
  <c r="AS80" i="5"/>
  <c r="AT80" i="5" s="1"/>
  <c r="AU80" i="5" s="1"/>
  <c r="AC80" i="5" s="1"/>
  <c r="X80" i="5" s="1"/>
  <c r="BE80" i="5"/>
  <c r="BF80" i="5" s="1"/>
  <c r="BG80" i="5" s="1"/>
  <c r="V233" i="6"/>
  <c r="AA236" i="7" s="1"/>
  <c r="AL236" i="7" s="1"/>
  <c r="Y236" i="7"/>
  <c r="E240" i="6"/>
  <c r="G243" i="7" s="1"/>
  <c r="F240" i="6"/>
  <c r="H243" i="7" s="1"/>
  <c r="AG240" i="6"/>
  <c r="D240" i="6"/>
  <c r="F243" i="7" s="1"/>
  <c r="Z240" i="6"/>
  <c r="AE243" i="7" s="1"/>
  <c r="AF243" i="7" s="1"/>
  <c r="H240" i="6"/>
  <c r="J243" i="7" s="1"/>
  <c r="AV131" i="7"/>
  <c r="AW131" i="7" s="1"/>
  <c r="AV231" i="7"/>
  <c r="AW231" i="7" s="1"/>
  <c r="AV222" i="7"/>
  <c r="AW222" i="7" s="1"/>
  <c r="AV151" i="7"/>
  <c r="AW151" i="7" s="1"/>
  <c r="AV279" i="7"/>
  <c r="AW279" i="7" s="1"/>
  <c r="AV270" i="7"/>
  <c r="AW270" i="7" s="1"/>
  <c r="AV39" i="7"/>
  <c r="AW39" i="7" s="1"/>
  <c r="AV34" i="7"/>
  <c r="AW34" i="7" s="1"/>
  <c r="AV50" i="7"/>
  <c r="AW50" i="7" s="1"/>
  <c r="AV64" i="7"/>
  <c r="AW64" i="7" s="1"/>
  <c r="AV80" i="7"/>
  <c r="AW80" i="7" s="1"/>
  <c r="AV96" i="7"/>
  <c r="AW96" i="7" s="1"/>
  <c r="AV112" i="7"/>
  <c r="AW112" i="7" s="1"/>
  <c r="AV128" i="7"/>
  <c r="AW128" i="7" s="1"/>
  <c r="AV61" i="7"/>
  <c r="AW61" i="7" s="1"/>
  <c r="AV66" i="7"/>
  <c r="AW66" i="7" s="1"/>
  <c r="AV71" i="7"/>
  <c r="AW71" i="7" s="1"/>
  <c r="AV77" i="7"/>
  <c r="AW77" i="7" s="1"/>
  <c r="AV82" i="7"/>
  <c r="AW82" i="7" s="1"/>
  <c r="AV87" i="7"/>
  <c r="AW87" i="7" s="1"/>
  <c r="AV93" i="7"/>
  <c r="AW93" i="7" s="1"/>
  <c r="AV37" i="7"/>
  <c r="AW37" i="7" s="1"/>
  <c r="AV53" i="7"/>
  <c r="AW53" i="7" s="1"/>
  <c r="AV98" i="7"/>
  <c r="AW98" i="7" s="1"/>
  <c r="AV148" i="7"/>
  <c r="AW148" i="7" s="1"/>
  <c r="AV164" i="7"/>
  <c r="AW164" i="7" s="1"/>
  <c r="AV180" i="7"/>
  <c r="AW180" i="7" s="1"/>
  <c r="AV196" i="7"/>
  <c r="AW196" i="7" s="1"/>
  <c r="AV212" i="7"/>
  <c r="AW212" i="7" s="1"/>
  <c r="AV228" i="7"/>
  <c r="AW228" i="7" s="1"/>
  <c r="AV244" i="7"/>
  <c r="AW244" i="7" s="1"/>
  <c r="AV260" i="7"/>
  <c r="AW260" i="7" s="1"/>
  <c r="AV276" i="7"/>
  <c r="AW276" i="7" s="1"/>
  <c r="AV292" i="7"/>
  <c r="AW292" i="7" s="1"/>
  <c r="AV308" i="7"/>
  <c r="AW308" i="7" s="1"/>
  <c r="AV32" i="7"/>
  <c r="AW32" i="7" s="1"/>
  <c r="AV48" i="7"/>
  <c r="AW48" i="7" s="1"/>
  <c r="AV101" i="7"/>
  <c r="AW101" i="7" s="1"/>
  <c r="AV153" i="7"/>
  <c r="AW153" i="7" s="1"/>
  <c r="AV169" i="7"/>
  <c r="AW169" i="7" s="1"/>
  <c r="AV185" i="7"/>
  <c r="AW185" i="7" s="1"/>
  <c r="AV201" i="7"/>
  <c r="AW201" i="7" s="1"/>
  <c r="AV217" i="7"/>
  <c r="AW217" i="7" s="1"/>
  <c r="AV233" i="7"/>
  <c r="AW233" i="7" s="1"/>
  <c r="AV249" i="7"/>
  <c r="AW249" i="7" s="1"/>
  <c r="AV265" i="7"/>
  <c r="AW265" i="7" s="1"/>
  <c r="AV281" i="7"/>
  <c r="AW281" i="7" s="1"/>
  <c r="AV297" i="7"/>
  <c r="AW297" i="7" s="1"/>
  <c r="AV313" i="7"/>
  <c r="AW313" i="7" s="1"/>
  <c r="AV117" i="7"/>
  <c r="AW117" i="7" s="1"/>
  <c r="AV139" i="7"/>
  <c r="AW139" i="7" s="1"/>
  <c r="AV43" i="7"/>
  <c r="AW43" i="7" s="1"/>
  <c r="AV119" i="7"/>
  <c r="AW119" i="7" s="1"/>
  <c r="AV138" i="7"/>
  <c r="AW138" i="7" s="1"/>
  <c r="AV155" i="7"/>
  <c r="AW155" i="7" s="1"/>
  <c r="AV171" i="7"/>
  <c r="AW171" i="7" s="1"/>
  <c r="AV187" i="7"/>
  <c r="AW187" i="7" s="1"/>
  <c r="AV203" i="7"/>
  <c r="AW203" i="7" s="1"/>
  <c r="AV219" i="7"/>
  <c r="AW219" i="7" s="1"/>
  <c r="AV235" i="7"/>
  <c r="AW235" i="7" s="1"/>
  <c r="AV251" i="7"/>
  <c r="AW251" i="7" s="1"/>
  <c r="AV267" i="7"/>
  <c r="AW267" i="7" s="1"/>
  <c r="AV283" i="7"/>
  <c r="AW283" i="7" s="1"/>
  <c r="AV299" i="7"/>
  <c r="AW299" i="7" s="1"/>
  <c r="AV315" i="7"/>
  <c r="AW315" i="7" s="1"/>
  <c r="AV130" i="7"/>
  <c r="AW130" i="7" s="1"/>
  <c r="AV182" i="7"/>
  <c r="AW182" i="7" s="1"/>
  <c r="AV246" i="7"/>
  <c r="AW246" i="7" s="1"/>
  <c r="AV310" i="7"/>
  <c r="AW310" i="7" s="1"/>
  <c r="AV111" i="7"/>
  <c r="AW111" i="7" s="1"/>
  <c r="AV134" i="7"/>
  <c r="AW134" i="7" s="1"/>
  <c r="AV175" i="7"/>
  <c r="AW175" i="7" s="1"/>
  <c r="AV239" i="7"/>
  <c r="AW239" i="7" s="1"/>
  <c r="AV303" i="7"/>
  <c r="AW303" i="7" s="1"/>
  <c r="AV295" i="7"/>
  <c r="AW295" i="7" s="1"/>
  <c r="AV263" i="7"/>
  <c r="AW263" i="7" s="1"/>
  <c r="AV286" i="7"/>
  <c r="AW286" i="7" s="1"/>
  <c r="AV247" i="7"/>
  <c r="AW247" i="7" s="1"/>
  <c r="AV206" i="7"/>
  <c r="AW206" i="7" s="1"/>
  <c r="AV42" i="7"/>
  <c r="AW42" i="7" s="1"/>
  <c r="AV60" i="7"/>
  <c r="AW60" i="7" s="1"/>
  <c r="AV84" i="7"/>
  <c r="AW84" i="7" s="1"/>
  <c r="AV104" i="7"/>
  <c r="AW104" i="7" s="1"/>
  <c r="AV124" i="7"/>
  <c r="AW124" i="7" s="1"/>
  <c r="AV65" i="7"/>
  <c r="AW65" i="7" s="1"/>
  <c r="AV69" i="7"/>
  <c r="AW69" i="7" s="1"/>
  <c r="AV75" i="7"/>
  <c r="AW75" i="7" s="1"/>
  <c r="AV83" i="7"/>
  <c r="AW83" i="7" s="1"/>
  <c r="AV90" i="7"/>
  <c r="AW90" i="7" s="1"/>
  <c r="AV33" i="7"/>
  <c r="AW33" i="7" s="1"/>
  <c r="AV57" i="7"/>
  <c r="AW57" i="7" s="1"/>
  <c r="AV106" i="7"/>
  <c r="AW106" i="7" s="1"/>
  <c r="AV160" i="7"/>
  <c r="AW160" i="7" s="1"/>
  <c r="AV184" i="7"/>
  <c r="AW184" i="7" s="1"/>
  <c r="AV204" i="7"/>
  <c r="AW204" i="7" s="1"/>
  <c r="AV224" i="7"/>
  <c r="AW224" i="7" s="1"/>
  <c r="AV248" i="7"/>
  <c r="AW248" i="7" s="1"/>
  <c r="AV268" i="7"/>
  <c r="AW268" i="7" s="1"/>
  <c r="AV288" i="7"/>
  <c r="AW288" i="7" s="1"/>
  <c r="AV312" i="7"/>
  <c r="AW312" i="7" s="1"/>
  <c r="AV40" i="7"/>
  <c r="AW40" i="7" s="1"/>
  <c r="AV97" i="7"/>
  <c r="AW97" i="7" s="1"/>
  <c r="AV157" i="7"/>
  <c r="AW157" i="7" s="1"/>
  <c r="AV177" i="7"/>
  <c r="AW177" i="7" s="1"/>
  <c r="AV197" i="7"/>
  <c r="AW197" i="7" s="1"/>
  <c r="AV221" i="7"/>
  <c r="AW221" i="7" s="1"/>
  <c r="AV241" i="7"/>
  <c r="AW241" i="7" s="1"/>
  <c r="AV261" i="7"/>
  <c r="AW261" i="7" s="1"/>
  <c r="AV285" i="7"/>
  <c r="AW285" i="7" s="1"/>
  <c r="AV305" i="7"/>
  <c r="AW305" i="7" s="1"/>
  <c r="AV110" i="7"/>
  <c r="AW110" i="7" s="1"/>
  <c r="AV142" i="7"/>
  <c r="AW142" i="7" s="1"/>
  <c r="AV59" i="7"/>
  <c r="AW59" i="7" s="1"/>
  <c r="AV135" i="7"/>
  <c r="AW135" i="7" s="1"/>
  <c r="AV162" i="7"/>
  <c r="AW162" i="7" s="1"/>
  <c r="AV179" i="7"/>
  <c r="AW179" i="7" s="1"/>
  <c r="AV202" i="7"/>
  <c r="AW202" i="7" s="1"/>
  <c r="AV226" i="7"/>
  <c r="AW226" i="7" s="1"/>
  <c r="AV243" i="7"/>
  <c r="AW243" i="7" s="1"/>
  <c r="AV266" i="7"/>
  <c r="AW266" i="7" s="1"/>
  <c r="AV290" i="7"/>
  <c r="AW290" i="7" s="1"/>
  <c r="AV307" i="7"/>
  <c r="AW307" i="7" s="1"/>
  <c r="AV121" i="7"/>
  <c r="AW121" i="7" s="1"/>
  <c r="AV198" i="7"/>
  <c r="AW198" i="7" s="1"/>
  <c r="AV278" i="7"/>
  <c r="AW278" i="7" s="1"/>
  <c r="AV109" i="7"/>
  <c r="AW109" i="7" s="1"/>
  <c r="AV141" i="7"/>
  <c r="AW141" i="7" s="1"/>
  <c r="AV207" i="7"/>
  <c r="AW207" i="7" s="1"/>
  <c r="AV287" i="7"/>
  <c r="AW287" i="7" s="1"/>
  <c r="AV167" i="7"/>
  <c r="AW167" i="7" s="1"/>
  <c r="AV254" i="7"/>
  <c r="AW254" i="7" s="1"/>
  <c r="AV311" i="7"/>
  <c r="AW311" i="7" s="1"/>
  <c r="AV174" i="7"/>
  <c r="AW174" i="7" s="1"/>
  <c r="AV38" i="7"/>
  <c r="AW38" i="7" s="1"/>
  <c r="AV68" i="7"/>
  <c r="AW68" i="7" s="1"/>
  <c r="AV92" i="7"/>
  <c r="AW92" i="7" s="1"/>
  <c r="AV120" i="7"/>
  <c r="AW120" i="7" s="1"/>
  <c r="AV58" i="7"/>
  <c r="AW58" i="7" s="1"/>
  <c r="AV73" i="7"/>
  <c r="AW73" i="7" s="1"/>
  <c r="AV81" i="7"/>
  <c r="AW81" i="7" s="1"/>
  <c r="AV91" i="7"/>
  <c r="AW91" i="7" s="1"/>
  <c r="AV45" i="7"/>
  <c r="AW45" i="7" s="1"/>
  <c r="AV102" i="7"/>
  <c r="AW102" i="7" s="1"/>
  <c r="AV168" i="7"/>
  <c r="AW168" i="7" s="1"/>
  <c r="AV192" i="7"/>
  <c r="AW192" i="7" s="1"/>
  <c r="AV220" i="7"/>
  <c r="AW220" i="7" s="1"/>
  <c r="AV252" i="7"/>
  <c r="AW252" i="7" s="1"/>
  <c r="AV280" i="7"/>
  <c r="AW280" i="7" s="1"/>
  <c r="AV304" i="7"/>
  <c r="AW304" i="7" s="1"/>
  <c r="AV44" i="7"/>
  <c r="AW44" i="7" s="1"/>
  <c r="AV145" i="7"/>
  <c r="AW145" i="7" s="1"/>
  <c r="AV173" i="7"/>
  <c r="AW173" i="7" s="1"/>
  <c r="AV205" i="7"/>
  <c r="AW205" i="7" s="1"/>
  <c r="AV229" i="7"/>
  <c r="AW229" i="7" s="1"/>
  <c r="AV257" i="7"/>
  <c r="AW257" i="7" s="1"/>
  <c r="AV289" i="7"/>
  <c r="AW289" i="7" s="1"/>
  <c r="AV99" i="7"/>
  <c r="AW99" i="7" s="1"/>
  <c r="AV133" i="7"/>
  <c r="AW133" i="7" s="1"/>
  <c r="AV113" i="7"/>
  <c r="AW113" i="7" s="1"/>
  <c r="AV147" i="7"/>
  <c r="AW147" i="7" s="1"/>
  <c r="AV178" i="7"/>
  <c r="AW178" i="7" s="1"/>
  <c r="AV210" i="7"/>
  <c r="AW210" i="7" s="1"/>
  <c r="AV234" i="7"/>
  <c r="AW234" i="7" s="1"/>
  <c r="AV259" i="7"/>
  <c r="AW259" i="7" s="1"/>
  <c r="AV291" i="7"/>
  <c r="AW291" i="7" s="1"/>
  <c r="AV103" i="7"/>
  <c r="AW103" i="7" s="1"/>
  <c r="AV166" i="7"/>
  <c r="AW166" i="7" s="1"/>
  <c r="AV294" i="7"/>
  <c r="AW294" i="7" s="1"/>
  <c r="AV125" i="7"/>
  <c r="AW125" i="7" s="1"/>
  <c r="AV191" i="7"/>
  <c r="AW191" i="7" s="1"/>
  <c r="AV183" i="7"/>
  <c r="AW183" i="7" s="1"/>
  <c r="AV238" i="7"/>
  <c r="AW238" i="7" s="1"/>
  <c r="AV95" i="7"/>
  <c r="AW95" i="7" s="1"/>
  <c r="AV46" i="7"/>
  <c r="AW46" i="7" s="1"/>
  <c r="AV76" i="7"/>
  <c r="AW76" i="7" s="1"/>
  <c r="AV116" i="7"/>
  <c r="AW116" i="7" s="1"/>
  <c r="AV62" i="7"/>
  <c r="AW62" i="7" s="1"/>
  <c r="AV78" i="7"/>
  <c r="AW78" i="7" s="1"/>
  <c r="AV89" i="7"/>
  <c r="AW89" i="7" s="1"/>
  <c r="AV49" i="7"/>
  <c r="AW49" i="7" s="1"/>
  <c r="AV152" i="7"/>
  <c r="AW152" i="7" s="1"/>
  <c r="AV188" i="7"/>
  <c r="AW188" i="7" s="1"/>
  <c r="AV232" i="7"/>
  <c r="AW232" i="7" s="1"/>
  <c r="AV264" i="7"/>
  <c r="AW264" i="7" s="1"/>
  <c r="AV300" i="7"/>
  <c r="AW300" i="7" s="1"/>
  <c r="AV52" i="7"/>
  <c r="AW52" i="7" s="1"/>
  <c r="AV161" i="7"/>
  <c r="AW161" i="7" s="1"/>
  <c r="AV193" i="7"/>
  <c r="AW193" i="7" s="1"/>
  <c r="AV237" i="7"/>
  <c r="AW237" i="7" s="1"/>
  <c r="AV273" i="7"/>
  <c r="AW273" i="7" s="1"/>
  <c r="AV309" i="7"/>
  <c r="AW309" i="7" s="1"/>
  <c r="AV27" i="7"/>
  <c r="AW27" i="7" s="1"/>
  <c r="AV129" i="7"/>
  <c r="AW129" i="7" s="1"/>
  <c r="AV170" i="7"/>
  <c r="AW170" i="7" s="1"/>
  <c r="AV211" i="7"/>
  <c r="AW211" i="7" s="1"/>
  <c r="AV250" i="7"/>
  <c r="AW250" i="7" s="1"/>
  <c r="AV282" i="7"/>
  <c r="AW282" i="7" s="1"/>
  <c r="AV114" i="7"/>
  <c r="AW114" i="7" s="1"/>
  <c r="AV230" i="7"/>
  <c r="AW230" i="7" s="1"/>
  <c r="AV118" i="7"/>
  <c r="AW118" i="7" s="1"/>
  <c r="AV223" i="7"/>
  <c r="AW223" i="7" s="1"/>
  <c r="AV199" i="7"/>
  <c r="AW199" i="7" s="1"/>
  <c r="AV158" i="7"/>
  <c r="AW158" i="7" s="1"/>
  <c r="AV215" i="7"/>
  <c r="AW215" i="7" s="1"/>
  <c r="AV115" i="7"/>
  <c r="AW115" i="7" s="1"/>
  <c r="AV54" i="7"/>
  <c r="AW54" i="7" s="1"/>
  <c r="AV88" i="7"/>
  <c r="AW88" i="7" s="1"/>
  <c r="AV132" i="7"/>
  <c r="AW132" i="7" s="1"/>
  <c r="AV67" i="7"/>
  <c r="AW67" i="7" s="1"/>
  <c r="AV79" i="7"/>
  <c r="AW79" i="7" s="1"/>
  <c r="AV25" i="7"/>
  <c r="AW25" i="7" s="1"/>
  <c r="AV63" i="7"/>
  <c r="AW63" i="7" s="1"/>
  <c r="AV156" i="7"/>
  <c r="AW156" i="7" s="1"/>
  <c r="AV200" i="7"/>
  <c r="AW200" i="7" s="1"/>
  <c r="AV236" i="7"/>
  <c r="AW236" i="7" s="1"/>
  <c r="AV272" i="7"/>
  <c r="AW272" i="7" s="1"/>
  <c r="AV24" i="7"/>
  <c r="AW24" i="7" s="1"/>
  <c r="AV56" i="7"/>
  <c r="AW56" i="7" s="1"/>
  <c r="AV165" i="7"/>
  <c r="AW165" i="7" s="1"/>
  <c r="AV209" i="7"/>
  <c r="AW209" i="7" s="1"/>
  <c r="AV245" i="7"/>
  <c r="AW245" i="7" s="1"/>
  <c r="AV277" i="7"/>
  <c r="AW277" i="7" s="1"/>
  <c r="AV107" i="7"/>
  <c r="AW107" i="7" s="1"/>
  <c r="AV35" i="7"/>
  <c r="AW35" i="7" s="1"/>
  <c r="AV146" i="7"/>
  <c r="AW146" i="7" s="1"/>
  <c r="AV186" i="7"/>
  <c r="AW186" i="7" s="1"/>
  <c r="AV218" i="7"/>
  <c r="AW218" i="7" s="1"/>
  <c r="AV258" i="7"/>
  <c r="AW258" i="7" s="1"/>
  <c r="AV298" i="7"/>
  <c r="AW298" i="7" s="1"/>
  <c r="AV137" i="7"/>
  <c r="AW137" i="7" s="1"/>
  <c r="AV262" i="7"/>
  <c r="AW262" i="7" s="1"/>
  <c r="AV127" i="7"/>
  <c r="AW127" i="7" s="1"/>
  <c r="AV255" i="7"/>
  <c r="AW255" i="7" s="1"/>
  <c r="AV190" i="7"/>
  <c r="AW190" i="7" s="1"/>
  <c r="AV16" i="7"/>
  <c r="AW16" i="7" s="1"/>
  <c r="AV55" i="7"/>
  <c r="AW55" i="7" s="1"/>
  <c r="AV21" i="7"/>
  <c r="AW21" i="7" s="1"/>
  <c r="AY21" i="7" s="1"/>
  <c r="AV136" i="7"/>
  <c r="AW136" i="7" s="1"/>
  <c r="AV85" i="7"/>
  <c r="AW85" i="7" s="1"/>
  <c r="AV94" i="7"/>
  <c r="AW94" i="7" s="1"/>
  <c r="AV208" i="7"/>
  <c r="AW208" i="7" s="1"/>
  <c r="AV284" i="7"/>
  <c r="AW284" i="7" s="1"/>
  <c r="AV105" i="7"/>
  <c r="AW105" i="7" s="1"/>
  <c r="AV213" i="7"/>
  <c r="AW213" i="7" s="1"/>
  <c r="AV293" i="7"/>
  <c r="AW293" i="7" s="1"/>
  <c r="AV51" i="7"/>
  <c r="AW51" i="7" s="1"/>
  <c r="AV194" i="7"/>
  <c r="AW194" i="7" s="1"/>
  <c r="AV274" i="7"/>
  <c r="AW274" i="7" s="1"/>
  <c r="AV150" i="7"/>
  <c r="AW150" i="7" s="1"/>
  <c r="AV143" i="7"/>
  <c r="AW143" i="7" s="1"/>
  <c r="AV23" i="7"/>
  <c r="AW23" i="7" s="1"/>
  <c r="AV302" i="7"/>
  <c r="AW302" i="7" s="1"/>
  <c r="AV26" i="7"/>
  <c r="AW26" i="7" s="1"/>
  <c r="AV100" i="7"/>
  <c r="AW100" i="7" s="1"/>
  <c r="AV70" i="7"/>
  <c r="AW70" i="7" s="1"/>
  <c r="AV29" i="7"/>
  <c r="AW29" i="7" s="1"/>
  <c r="AV172" i="7"/>
  <c r="AW172" i="7" s="1"/>
  <c r="AV240" i="7"/>
  <c r="AW240" i="7" s="1"/>
  <c r="AV28" i="7"/>
  <c r="AW28" i="7" s="1"/>
  <c r="AV181" i="7"/>
  <c r="AW181" i="7" s="1"/>
  <c r="AV253" i="7"/>
  <c r="AW253" i="7" s="1"/>
  <c r="AV123" i="7"/>
  <c r="AW123" i="7" s="1"/>
  <c r="AV154" i="7"/>
  <c r="AW154" i="7" s="1"/>
  <c r="AV227" i="7"/>
  <c r="AW227" i="7" s="1"/>
  <c r="AV306" i="7"/>
  <c r="AW306" i="7" s="1"/>
  <c r="AV31" i="7"/>
  <c r="AW31" i="7" s="1"/>
  <c r="AV271" i="7"/>
  <c r="AW271" i="7" s="1"/>
  <c r="AV108" i="7"/>
  <c r="AW108" i="7" s="1"/>
  <c r="AV41" i="7"/>
  <c r="AW41" i="7" s="1"/>
  <c r="AV256" i="7"/>
  <c r="AW256" i="7" s="1"/>
  <c r="AV189" i="7"/>
  <c r="AW189" i="7" s="1"/>
  <c r="AV126" i="7"/>
  <c r="AW126" i="7" s="1"/>
  <c r="AV242" i="7"/>
  <c r="AW242" i="7" s="1"/>
  <c r="AV47" i="7"/>
  <c r="AW47" i="7" s="1"/>
  <c r="AV140" i="7"/>
  <c r="AW140" i="7" s="1"/>
  <c r="AV144" i="7"/>
  <c r="AW144" i="7" s="1"/>
  <c r="AV296" i="7"/>
  <c r="AW296" i="7" s="1"/>
  <c r="AV225" i="7"/>
  <c r="AW225" i="7" s="1"/>
  <c r="AV122" i="7"/>
  <c r="AW122" i="7" s="1"/>
  <c r="AV275" i="7"/>
  <c r="AW275" i="7" s="1"/>
  <c r="AV159" i="7"/>
  <c r="AW159" i="7" s="1"/>
  <c r="AV18" i="7"/>
  <c r="AW18" i="7" s="1"/>
  <c r="AV72" i="7"/>
  <c r="AW72" i="7" s="1"/>
  <c r="AV86" i="7"/>
  <c r="AW86" i="7" s="1"/>
  <c r="AV216" i="7"/>
  <c r="AW216" i="7" s="1"/>
  <c r="AV149" i="7"/>
  <c r="AW149" i="7" s="1"/>
  <c r="AV301" i="7"/>
  <c r="AW301" i="7" s="1"/>
  <c r="AV195" i="7"/>
  <c r="AW195" i="7" s="1"/>
  <c r="AV214" i="7"/>
  <c r="AW214" i="7" s="1"/>
  <c r="AV30" i="7"/>
  <c r="AW30" i="7" s="1"/>
  <c r="AZ30" i="7" s="1"/>
  <c r="AV269" i="7"/>
  <c r="AW269" i="7" s="1"/>
  <c r="AV74" i="7"/>
  <c r="AW74" i="7" s="1"/>
  <c r="AV163" i="7"/>
  <c r="AW163" i="7" s="1"/>
  <c r="AV36" i="7"/>
  <c r="AW36" i="7" s="1"/>
  <c r="AV176" i="7"/>
  <c r="AW176" i="7" s="1"/>
  <c r="AV314" i="7"/>
  <c r="AW314" i="7" s="1"/>
  <c r="AG130" i="5"/>
  <c r="AI130" i="5" s="1"/>
  <c r="AJ130" i="5" s="1"/>
  <c r="AE130" i="5"/>
  <c r="AY250" i="5"/>
  <c r="AZ250" i="5" s="1"/>
  <c r="BA250" i="5" s="1"/>
  <c r="BE250" i="5"/>
  <c r="BF250" i="5" s="1"/>
  <c r="BG250" i="5" s="1"/>
  <c r="BE160" i="5"/>
  <c r="BF160" i="5" s="1"/>
  <c r="BG160" i="5" s="1"/>
  <c r="AS160" i="5"/>
  <c r="AT160" i="5" s="1"/>
  <c r="AU160" i="5" s="1"/>
  <c r="AC160" i="5" s="1"/>
  <c r="AS58" i="5"/>
  <c r="AT58" i="5" s="1"/>
  <c r="AU58" i="5" s="1"/>
  <c r="AC58" i="5" s="1"/>
  <c r="BE58" i="5"/>
  <c r="BF58" i="5" s="1"/>
  <c r="BG58" i="5" s="1"/>
  <c r="AJ285" i="7"/>
  <c r="AH285" i="7"/>
  <c r="AI285" i="7" s="1"/>
  <c r="BE125" i="5"/>
  <c r="BF125" i="5" s="1"/>
  <c r="BG125" i="5" s="1"/>
  <c r="AS125" i="5"/>
  <c r="AT125" i="5" s="1"/>
  <c r="AU125" i="5" s="1"/>
  <c r="AC125" i="5" s="1"/>
  <c r="X125" i="5" s="1"/>
  <c r="BE181" i="5"/>
  <c r="BF181" i="5" s="1"/>
  <c r="BG181" i="5" s="1"/>
  <c r="AS181" i="5"/>
  <c r="AT181" i="5" s="1"/>
  <c r="AU181" i="5" s="1"/>
  <c r="AC181" i="5" s="1"/>
  <c r="X181" i="5" s="1"/>
  <c r="BE302" i="5"/>
  <c r="BF302" i="5" s="1"/>
  <c r="BG302" i="5" s="1"/>
  <c r="AS302" i="5"/>
  <c r="AT302" i="5" s="1"/>
  <c r="AU302" i="5" s="1"/>
  <c r="AC302" i="5" s="1"/>
  <c r="AS97" i="5"/>
  <c r="AT97" i="5" s="1"/>
  <c r="AU97" i="5" s="1"/>
  <c r="AC97" i="5" s="1"/>
  <c r="X97" i="5" s="1"/>
  <c r="BE97" i="5"/>
  <c r="BF97" i="5" s="1"/>
  <c r="BG97" i="5" s="1"/>
  <c r="AG149" i="6"/>
  <c r="H149" i="6"/>
  <c r="J152" i="7" s="1"/>
  <c r="D149" i="6"/>
  <c r="F152" i="7" s="1"/>
  <c r="F149" i="6"/>
  <c r="H152" i="7" s="1"/>
  <c r="E149" i="6"/>
  <c r="G152" i="7" s="1"/>
  <c r="Z149" i="6"/>
  <c r="AE152" i="7" s="1"/>
  <c r="Q303" i="7"/>
  <c r="R303" i="7" s="1"/>
  <c r="AG303" i="7"/>
  <c r="AF303" i="7"/>
  <c r="BC157" i="7"/>
  <c r="R157" i="7"/>
  <c r="BC91" i="7"/>
  <c r="BJ91" i="7"/>
  <c r="BB91" i="7"/>
  <c r="BD91" i="7"/>
  <c r="AG307" i="5"/>
  <c r="AI307" i="5" s="1"/>
  <c r="AJ307" i="5" s="1"/>
  <c r="AF307" i="5"/>
  <c r="AE307" i="5"/>
  <c r="U121" i="5"/>
  <c r="T102" i="5"/>
  <c r="I39" i="6"/>
  <c r="K42" i="7" s="1"/>
  <c r="G145" i="6"/>
  <c r="I148" i="7" s="1"/>
  <c r="AK148" i="7" s="1"/>
  <c r="BE166" i="5"/>
  <c r="BF166" i="5" s="1"/>
  <c r="BE257" i="5"/>
  <c r="BF257" i="5" s="1"/>
  <c r="AU281" i="5"/>
  <c r="AC281" i="5" s="1"/>
  <c r="AG281" i="5" s="1"/>
  <c r="AI281" i="5" s="1"/>
  <c r="AJ281" i="5" s="1"/>
  <c r="AF181" i="7"/>
  <c r="Q314" i="7"/>
  <c r="R314" i="7" s="1"/>
  <c r="AF28" i="7"/>
  <c r="AG103" i="5"/>
  <c r="AI103" i="5" s="1"/>
  <c r="AJ103" i="5" s="1"/>
  <c r="BG271" i="5"/>
  <c r="U61" i="5"/>
  <c r="T303" i="5"/>
  <c r="T48" i="5"/>
  <c r="T63" i="5"/>
  <c r="T25" i="5"/>
  <c r="T170" i="5"/>
  <c r="U239" i="5"/>
  <c r="S223" i="5"/>
  <c r="U191" i="5"/>
  <c r="S202" i="5"/>
  <c r="U27" i="5"/>
  <c r="U127" i="5"/>
  <c r="U207" i="5"/>
  <c r="U287" i="5"/>
  <c r="S95" i="5"/>
  <c r="S208" i="5"/>
  <c r="T186" i="5"/>
  <c r="T234" i="5"/>
  <c r="U137" i="5"/>
  <c r="Q17" i="5"/>
  <c r="T17" i="5" s="1"/>
  <c r="T223" i="5"/>
  <c r="U288" i="5"/>
  <c r="S237" i="5"/>
  <c r="S224" i="5"/>
  <c r="G39" i="6"/>
  <c r="I42" i="7" s="1"/>
  <c r="AJ42" i="7" s="1"/>
  <c r="T75" i="6"/>
  <c r="Q170" i="6"/>
  <c r="I191" i="6"/>
  <c r="K194" i="7" s="1"/>
  <c r="T149" i="6"/>
  <c r="V149" i="6" s="1"/>
  <c r="AA152" i="7" s="1"/>
  <c r="AL152" i="7" s="1"/>
  <c r="A152" i="7"/>
  <c r="T159" i="5"/>
  <c r="S303" i="5"/>
  <c r="S143" i="5"/>
  <c r="S48" i="5"/>
  <c r="U302" i="5"/>
  <c r="S172" i="5"/>
  <c r="T122" i="5"/>
  <c r="U214" i="5"/>
  <c r="T191" i="5"/>
  <c r="T79" i="5"/>
  <c r="U63" i="5"/>
  <c r="S127" i="5"/>
  <c r="T42" i="5"/>
  <c r="T275" i="5"/>
  <c r="S287" i="5"/>
  <c r="T111" i="5"/>
  <c r="U144" i="5"/>
  <c r="X250" i="5"/>
  <c r="S186" i="5"/>
  <c r="U282" i="5"/>
  <c r="S125" i="5"/>
  <c r="X271" i="5"/>
  <c r="T109" i="5"/>
  <c r="T13" i="5"/>
  <c r="T240" i="5"/>
  <c r="X153" i="5"/>
  <c r="U176" i="5"/>
  <c r="T253" i="5"/>
  <c r="S96" i="5"/>
  <c r="S256" i="5"/>
  <c r="S288" i="5"/>
  <c r="T301" i="5"/>
  <c r="S128" i="5"/>
  <c r="U243" i="5"/>
  <c r="S175" i="5"/>
  <c r="U122" i="5"/>
  <c r="A42" i="7"/>
  <c r="Q39" i="6"/>
  <c r="S39" i="6" s="1"/>
  <c r="X42" i="7" s="1"/>
  <c r="I119" i="6"/>
  <c r="K122" i="7" s="1"/>
  <c r="AJ75" i="7"/>
  <c r="AK91" i="7"/>
  <c r="G119" i="6"/>
  <c r="I122" i="7" s="1"/>
  <c r="AJ131" i="7"/>
  <c r="AK157" i="7"/>
  <c r="G170" i="6"/>
  <c r="I173" i="7" s="1"/>
  <c r="AJ173" i="7" s="1"/>
  <c r="Q181" i="6"/>
  <c r="V184" i="7" s="1"/>
  <c r="G149" i="6"/>
  <c r="I152" i="7" s="1"/>
  <c r="AK152" i="7" s="1"/>
  <c r="I181" i="6"/>
  <c r="K184" i="7" s="1"/>
  <c r="G257" i="6"/>
  <c r="I260" i="7" s="1"/>
  <c r="AJ260" i="7" s="1"/>
  <c r="AJ237" i="7"/>
  <c r="Q252" i="6"/>
  <c r="T120" i="6"/>
  <c r="Y123" i="7" s="1"/>
  <c r="G240" i="6"/>
  <c r="I243" i="7" s="1"/>
  <c r="AK243" i="7" s="1"/>
  <c r="A243" i="7"/>
  <c r="AV17" i="7"/>
  <c r="AW17" i="7" s="1"/>
  <c r="AX17" i="7" s="1"/>
  <c r="G232" i="6"/>
  <c r="I235" i="7" s="1"/>
  <c r="AJ235" i="7" s="1"/>
  <c r="X263" i="5"/>
  <c r="AK233" i="7"/>
  <c r="BG228" i="5"/>
  <c r="BG38" i="5"/>
  <c r="BE52" i="5"/>
  <c r="BF52" i="5" s="1"/>
  <c r="AU126" i="5"/>
  <c r="AC126" i="5" s="1"/>
  <c r="AD126" i="5" s="1"/>
  <c r="BE146" i="5"/>
  <c r="BF146" i="5" s="1"/>
  <c r="BA171" i="5"/>
  <c r="BG186" i="5"/>
  <c r="BE207" i="5"/>
  <c r="BF207" i="5" s="1"/>
  <c r="BG207" i="5" s="1"/>
  <c r="AU274" i="5"/>
  <c r="AC274" i="5" s="1"/>
  <c r="X274" i="5" s="1"/>
  <c r="BG281" i="5"/>
  <c r="BE293" i="5"/>
  <c r="BF293" i="5" s="1"/>
  <c r="BG293" i="5" s="1"/>
  <c r="AJ278" i="7"/>
  <c r="BL246" i="7"/>
  <c r="AF130" i="5"/>
  <c r="AD263" i="5"/>
  <c r="AE103" i="5"/>
  <c r="BK82" i="7"/>
  <c r="BO82" i="7"/>
  <c r="BP82" i="7" s="1"/>
  <c r="BE82" i="7"/>
  <c r="AD79" i="6" s="1"/>
  <c r="BM82" i="7"/>
  <c r="AI79" i="6" s="1"/>
  <c r="BF82" i="7"/>
  <c r="AE79" i="6" s="1"/>
  <c r="BL82" i="7"/>
  <c r="AH79" i="6" s="1"/>
  <c r="BG82" i="7"/>
  <c r="AF79" i="6" s="1"/>
  <c r="BN82" i="7"/>
  <c r="AS169" i="5"/>
  <c r="AT169" i="5" s="1"/>
  <c r="AU169" i="5" s="1"/>
  <c r="AC169" i="5" s="1"/>
  <c r="BN56" i="7"/>
  <c r="BE56" i="7"/>
  <c r="AD53" i="6" s="1"/>
  <c r="BL56" i="7"/>
  <c r="AH53" i="6" s="1"/>
  <c r="BG56" i="7"/>
  <c r="AF53" i="6" s="1"/>
  <c r="BK56" i="7"/>
  <c r="BO56" i="7"/>
  <c r="BP56" i="7" s="1"/>
  <c r="BM56" i="7"/>
  <c r="AI53" i="6" s="1"/>
  <c r="BF56" i="7"/>
  <c r="AE53" i="6" s="1"/>
  <c r="S128" i="6"/>
  <c r="X131" i="7" s="1"/>
  <c r="AO131" i="7" s="1"/>
  <c r="V131" i="7"/>
  <c r="S272" i="6"/>
  <c r="X275" i="7" s="1"/>
  <c r="V275" i="7"/>
  <c r="AS238" i="5"/>
  <c r="AT238" i="5" s="1"/>
  <c r="AU238" i="5" s="1"/>
  <c r="AC238" i="5" s="1"/>
  <c r="BE238" i="5"/>
  <c r="BF238" i="5" s="1"/>
  <c r="BG238" i="5" s="1"/>
  <c r="AS54" i="5"/>
  <c r="AT54" i="5" s="1"/>
  <c r="AU54" i="5" s="1"/>
  <c r="AC54" i="5" s="1"/>
  <c r="BE54" i="5"/>
  <c r="BF54" i="5" s="1"/>
  <c r="BG54" i="5" s="1"/>
  <c r="BE91" i="5"/>
  <c r="BF91" i="5" s="1"/>
  <c r="BG91" i="5" s="1"/>
  <c r="AS91" i="5"/>
  <c r="AT91" i="5" s="1"/>
  <c r="AU91" i="5" s="1"/>
  <c r="AC91" i="5" s="1"/>
  <c r="BE122" i="5"/>
  <c r="BF122" i="5" s="1"/>
  <c r="BG122" i="5" s="1"/>
  <c r="AS122" i="5"/>
  <c r="AT122" i="5" s="1"/>
  <c r="AU122" i="5" s="1"/>
  <c r="AC122" i="5" s="1"/>
  <c r="X122" i="5" s="1"/>
  <c r="H87" i="6"/>
  <c r="J90" i="7" s="1"/>
  <c r="AG87" i="6"/>
  <c r="Z87" i="6"/>
  <c r="AE90" i="7" s="1"/>
  <c r="BE90" i="7" s="1"/>
  <c r="AD87" i="6" s="1"/>
  <c r="D87" i="6"/>
  <c r="F90" i="7" s="1"/>
  <c r="F87" i="6"/>
  <c r="H90" i="7" s="1"/>
  <c r="E87" i="6"/>
  <c r="G90" i="7" s="1"/>
  <c r="H141" i="6"/>
  <c r="J144" i="7" s="1"/>
  <c r="F141" i="6"/>
  <c r="H144" i="7" s="1"/>
  <c r="G141" i="6"/>
  <c r="I144" i="7" s="1"/>
  <c r="Z141" i="6"/>
  <c r="AE144" i="7" s="1"/>
  <c r="AG141" i="6"/>
  <c r="E141" i="6"/>
  <c r="G144" i="7" s="1"/>
  <c r="D141" i="6"/>
  <c r="F144" i="7" s="1"/>
  <c r="BF157" i="7"/>
  <c r="BE157" i="7"/>
  <c r="BM157" i="7"/>
  <c r="BN157" i="7"/>
  <c r="BL157" i="7"/>
  <c r="BG157" i="7"/>
  <c r="BK157" i="7"/>
  <c r="BO157" i="7"/>
  <c r="BP157" i="7" s="1"/>
  <c r="BL207" i="7"/>
  <c r="BF207" i="7"/>
  <c r="BO207" i="7"/>
  <c r="BP207" i="7" s="1"/>
  <c r="BM207" i="7"/>
  <c r="BK207" i="7"/>
  <c r="BE207" i="7"/>
  <c r="BN207" i="7"/>
  <c r="T219" i="6"/>
  <c r="H219" i="6"/>
  <c r="J222" i="7" s="1"/>
  <c r="F219" i="6"/>
  <c r="H222" i="7" s="1"/>
  <c r="D219" i="6"/>
  <c r="F222" i="7" s="1"/>
  <c r="Z219" i="6"/>
  <c r="AE222" i="7" s="1"/>
  <c r="BO222" i="7" s="1"/>
  <c r="BP222" i="7" s="1"/>
  <c r="E219" i="6"/>
  <c r="G222" i="7" s="1"/>
  <c r="AG219" i="6"/>
  <c r="A267" i="7"/>
  <c r="E264" i="6"/>
  <c r="G267" i="7" s="1"/>
  <c r="G264" i="6"/>
  <c r="I267" i="7" s="1"/>
  <c r="Z264" i="6"/>
  <c r="AE267" i="7" s="1"/>
  <c r="D264" i="6"/>
  <c r="F267" i="7" s="1"/>
  <c r="F264" i="6"/>
  <c r="H267" i="7" s="1"/>
  <c r="AG264" i="6"/>
  <c r="H264" i="6"/>
  <c r="J267" i="7" s="1"/>
  <c r="V278" i="6"/>
  <c r="AA281" i="7" s="1"/>
  <c r="AL281" i="7" s="1"/>
  <c r="Y281" i="7"/>
  <c r="BE140" i="5"/>
  <c r="BF140" i="5" s="1"/>
  <c r="BG140" i="5" s="1"/>
  <c r="AS140" i="5"/>
  <c r="AT140" i="5" s="1"/>
  <c r="AU140" i="5" s="1"/>
  <c r="AC140" i="5" s="1"/>
  <c r="X140" i="5" s="1"/>
  <c r="AS221" i="5"/>
  <c r="AT221" i="5" s="1"/>
  <c r="AU221" i="5" s="1"/>
  <c r="AC221" i="5" s="1"/>
  <c r="BE221" i="5"/>
  <c r="BF221" i="5" s="1"/>
  <c r="BG221" i="5" s="1"/>
  <c r="BE154" i="5"/>
  <c r="BF154" i="5" s="1"/>
  <c r="BG154" i="5" s="1"/>
  <c r="AS154" i="5"/>
  <c r="AT154" i="5" s="1"/>
  <c r="AU154" i="5" s="1"/>
  <c r="AC154" i="5" s="1"/>
  <c r="X154" i="5" s="1"/>
  <c r="BE149" i="5"/>
  <c r="BF149" i="5" s="1"/>
  <c r="BG149" i="5" s="1"/>
  <c r="AS149" i="5"/>
  <c r="AT149" i="5" s="1"/>
  <c r="AU149" i="5" s="1"/>
  <c r="AC149" i="5" s="1"/>
  <c r="X149" i="5" s="1"/>
  <c r="AS217" i="5"/>
  <c r="AT217" i="5" s="1"/>
  <c r="AU217" i="5" s="1"/>
  <c r="AC217" i="5" s="1"/>
  <c r="BE294" i="5"/>
  <c r="BF294" i="5" s="1"/>
  <c r="BG294" i="5" s="1"/>
  <c r="AS294" i="5"/>
  <c r="AT294" i="5" s="1"/>
  <c r="AU294" i="5" s="1"/>
  <c r="AC294" i="5" s="1"/>
  <c r="X294" i="5" s="1"/>
  <c r="S139" i="6"/>
  <c r="X142" i="7" s="1"/>
  <c r="V142" i="7"/>
  <c r="V207" i="6"/>
  <c r="AA210" i="7" s="1"/>
  <c r="AL210" i="7" s="1"/>
  <c r="Y210" i="7"/>
  <c r="BG265" i="7"/>
  <c r="BN265" i="7"/>
  <c r="BM265" i="7"/>
  <c r="BK265" i="7"/>
  <c r="BO265" i="7"/>
  <c r="BP265" i="7" s="1"/>
  <c r="BF265" i="7"/>
  <c r="BE265" i="7"/>
  <c r="G27" i="6"/>
  <c r="I30" i="7" s="1"/>
  <c r="I27" i="6"/>
  <c r="K30" i="7" s="1"/>
  <c r="D27" i="6"/>
  <c r="F30" i="7" s="1"/>
  <c r="E27" i="6"/>
  <c r="G30" i="7" s="1"/>
  <c r="Z27" i="6"/>
  <c r="AE30" i="7" s="1"/>
  <c r="AG27" i="6"/>
  <c r="F27" i="6"/>
  <c r="H30" i="7" s="1"/>
  <c r="H27" i="6"/>
  <c r="J30" i="7" s="1"/>
  <c r="AS244" i="5"/>
  <c r="AT244" i="5" s="1"/>
  <c r="AU244" i="5" s="1"/>
  <c r="AC244" i="5" s="1"/>
  <c r="BE244" i="5"/>
  <c r="BF244" i="5" s="1"/>
  <c r="BG244" i="5" s="1"/>
  <c r="AS204" i="5"/>
  <c r="AT204" i="5" s="1"/>
  <c r="AU204" i="5" s="1"/>
  <c r="AC204" i="5" s="1"/>
  <c r="BE204" i="5"/>
  <c r="BF204" i="5" s="1"/>
  <c r="BG204" i="5" s="1"/>
  <c r="AS256" i="5"/>
  <c r="AT256" i="5" s="1"/>
  <c r="AU256" i="5" s="1"/>
  <c r="AC256" i="5" s="1"/>
  <c r="BE256" i="5"/>
  <c r="BF256" i="5" s="1"/>
  <c r="BG256" i="5" s="1"/>
  <c r="Q151" i="6"/>
  <c r="Z151" i="6"/>
  <c r="AE154" i="7" s="1"/>
  <c r="D151" i="6"/>
  <c r="F154" i="7" s="1"/>
  <c r="H151" i="6"/>
  <c r="J154" i="7" s="1"/>
  <c r="AH154" i="7" s="1"/>
  <c r="AI154" i="7" s="1"/>
  <c r="F151" i="6"/>
  <c r="H154" i="7" s="1"/>
  <c r="E151" i="6"/>
  <c r="G154" i="7" s="1"/>
  <c r="AG151" i="6"/>
  <c r="G183" i="6"/>
  <c r="I186" i="7" s="1"/>
  <c r="Z183" i="6"/>
  <c r="AE186" i="7" s="1"/>
  <c r="E183" i="6"/>
  <c r="G186" i="7" s="1"/>
  <c r="H183" i="6"/>
  <c r="J186" i="7" s="1"/>
  <c r="D183" i="6"/>
  <c r="F186" i="7" s="1"/>
  <c r="F183" i="6"/>
  <c r="H186" i="7" s="1"/>
  <c r="AG183" i="6"/>
  <c r="V199" i="6"/>
  <c r="AA202" i="7" s="1"/>
  <c r="AL202" i="7" s="1"/>
  <c r="Y202" i="7"/>
  <c r="AH257" i="7"/>
  <c r="AI257" i="7" s="1"/>
  <c r="Q283" i="7"/>
  <c r="R283" i="7" s="1"/>
  <c r="AF283" i="7"/>
  <c r="AG283" i="7"/>
  <c r="V280" i="6"/>
  <c r="AA283" i="7" s="1"/>
  <c r="AL283" i="7" s="1"/>
  <c r="Y283" i="7"/>
  <c r="G291" i="6"/>
  <c r="I294" i="7" s="1"/>
  <c r="AG291" i="6"/>
  <c r="E291" i="6"/>
  <c r="G294" i="7" s="1"/>
  <c r="D291" i="6"/>
  <c r="F294" i="7" s="1"/>
  <c r="H291" i="6"/>
  <c r="J294" i="7" s="1"/>
  <c r="F291" i="6"/>
  <c r="H294" i="7" s="1"/>
  <c r="Z291" i="6"/>
  <c r="AE294" i="7" s="1"/>
  <c r="BE138" i="5"/>
  <c r="BF138" i="5" s="1"/>
  <c r="BG138" i="5" s="1"/>
  <c r="AS138" i="5"/>
  <c r="AT138" i="5" s="1"/>
  <c r="AU138" i="5" s="1"/>
  <c r="AC138" i="5" s="1"/>
  <c r="X138" i="5" s="1"/>
  <c r="AS188" i="5"/>
  <c r="AT188" i="5" s="1"/>
  <c r="AU188" i="5" s="1"/>
  <c r="AC188" i="5" s="1"/>
  <c r="X188" i="5" s="1"/>
  <c r="BE188" i="5"/>
  <c r="BF188" i="5" s="1"/>
  <c r="BG188" i="5" s="1"/>
  <c r="BE226" i="5"/>
  <c r="BF226" i="5" s="1"/>
  <c r="BG226" i="5" s="1"/>
  <c r="AS226" i="5"/>
  <c r="AT226" i="5" s="1"/>
  <c r="AU226" i="5" s="1"/>
  <c r="AC226" i="5" s="1"/>
  <c r="BE141" i="5"/>
  <c r="BF141" i="5" s="1"/>
  <c r="BG141" i="5" s="1"/>
  <c r="AS141" i="5"/>
  <c r="AT141" i="5" s="1"/>
  <c r="AU141" i="5" s="1"/>
  <c r="AC141" i="5" s="1"/>
  <c r="AS249" i="5"/>
  <c r="AT249" i="5" s="1"/>
  <c r="AU249" i="5" s="1"/>
  <c r="AC249" i="5" s="1"/>
  <c r="X249" i="5" s="1"/>
  <c r="BE249" i="5"/>
  <c r="BF249" i="5" s="1"/>
  <c r="BG249" i="5" s="1"/>
  <c r="AS118" i="5"/>
  <c r="AT118" i="5" s="1"/>
  <c r="AU118" i="5" s="1"/>
  <c r="AC118" i="5" s="1"/>
  <c r="BE118" i="5"/>
  <c r="BF118" i="5" s="1"/>
  <c r="BG118" i="5" s="1"/>
  <c r="BE71" i="5"/>
  <c r="BF71" i="5" s="1"/>
  <c r="BG71" i="5" s="1"/>
  <c r="AS71" i="5"/>
  <c r="AT71" i="5" s="1"/>
  <c r="AU71" i="5" s="1"/>
  <c r="AC71" i="5" s="1"/>
  <c r="X71" i="5" s="1"/>
  <c r="AS50" i="5"/>
  <c r="AT50" i="5" s="1"/>
  <c r="AU50" i="5" s="1"/>
  <c r="AC50" i="5" s="1"/>
  <c r="BE50" i="5"/>
  <c r="BF50" i="5" s="1"/>
  <c r="BG50" i="5" s="1"/>
  <c r="I94" i="6"/>
  <c r="K97" i="7" s="1"/>
  <c r="Q94" i="6"/>
  <c r="H94" i="6"/>
  <c r="J97" i="7" s="1"/>
  <c r="AH97" i="7" s="1"/>
  <c r="AI97" i="7" s="1"/>
  <c r="T94" i="6"/>
  <c r="F94" i="6"/>
  <c r="H97" i="7" s="1"/>
  <c r="E94" i="6"/>
  <c r="G97" i="7" s="1"/>
  <c r="D94" i="6"/>
  <c r="F97" i="7" s="1"/>
  <c r="Z94" i="6"/>
  <c r="AE97" i="7" s="1"/>
  <c r="AG94" i="6"/>
  <c r="T290" i="6"/>
  <c r="G290" i="6"/>
  <c r="I293" i="7" s="1"/>
  <c r="I290" i="6"/>
  <c r="K293" i="7" s="1"/>
  <c r="Z290" i="6"/>
  <c r="AE293" i="7" s="1"/>
  <c r="BG293" i="7" s="1"/>
  <c r="AG290" i="6"/>
  <c r="H290" i="6"/>
  <c r="J293" i="7" s="1"/>
  <c r="D290" i="6"/>
  <c r="F293" i="7" s="1"/>
  <c r="E290" i="6"/>
  <c r="G293" i="7" s="1"/>
  <c r="F290" i="6"/>
  <c r="H293" i="7" s="1"/>
  <c r="AJ313" i="7"/>
  <c r="R313" i="7"/>
  <c r="AF88" i="7"/>
  <c r="Q88" i="7"/>
  <c r="R88" i="7" s="1"/>
  <c r="AG88" i="7"/>
  <c r="T104" i="6"/>
  <c r="Q104" i="6"/>
  <c r="I104" i="6"/>
  <c r="K107" i="7" s="1"/>
  <c r="H104" i="6"/>
  <c r="J107" i="7" s="1"/>
  <c r="AH107" i="7" s="1"/>
  <c r="AI107" i="7" s="1"/>
  <c r="E104" i="6"/>
  <c r="G107" i="7" s="1"/>
  <c r="AG104" i="6"/>
  <c r="F104" i="6"/>
  <c r="H107" i="7" s="1"/>
  <c r="Z104" i="6"/>
  <c r="AE107" i="7" s="1"/>
  <c r="D104" i="6"/>
  <c r="F107" i="7" s="1"/>
  <c r="BL145" i="7"/>
  <c r="BM145" i="7"/>
  <c r="BK145" i="7"/>
  <c r="BF145" i="7"/>
  <c r="BE145" i="7"/>
  <c r="V243" i="6"/>
  <c r="AA246" i="7" s="1"/>
  <c r="AL246" i="7" s="1"/>
  <c r="Y246" i="7"/>
  <c r="BO249" i="7"/>
  <c r="BP249" i="7" s="1"/>
  <c r="BF249" i="7"/>
  <c r="BM249" i="7"/>
  <c r="BG249" i="7"/>
  <c r="BL249" i="7"/>
  <c r="BN249" i="7"/>
  <c r="BE249" i="7"/>
  <c r="T288" i="6"/>
  <c r="G288" i="6"/>
  <c r="I291" i="7" s="1"/>
  <c r="F288" i="6"/>
  <c r="H291" i="7" s="1"/>
  <c r="H288" i="6"/>
  <c r="J291" i="7" s="1"/>
  <c r="I288" i="6"/>
  <c r="K291" i="7" s="1"/>
  <c r="Z288" i="6"/>
  <c r="AE291" i="7" s="1"/>
  <c r="D288" i="6"/>
  <c r="F291" i="7" s="1"/>
  <c r="E288" i="6"/>
  <c r="G291" i="7" s="1"/>
  <c r="AG288" i="6"/>
  <c r="BE123" i="5"/>
  <c r="BF123" i="5" s="1"/>
  <c r="BG123" i="5" s="1"/>
  <c r="AS123" i="5"/>
  <c r="AT123" i="5" s="1"/>
  <c r="AU123" i="5" s="1"/>
  <c r="AC123" i="5" s="1"/>
  <c r="X123" i="5" s="1"/>
  <c r="AS283" i="5"/>
  <c r="AT283" i="5" s="1"/>
  <c r="AU283" i="5" s="1"/>
  <c r="AC283" i="5" s="1"/>
  <c r="X283" i="5" s="1"/>
  <c r="BE283" i="5"/>
  <c r="BF283" i="5" s="1"/>
  <c r="BG283" i="5" s="1"/>
  <c r="BE210" i="5"/>
  <c r="BF210" i="5" s="1"/>
  <c r="BG210" i="5" s="1"/>
  <c r="AS210" i="5"/>
  <c r="AT210" i="5" s="1"/>
  <c r="AU210" i="5" s="1"/>
  <c r="AC210" i="5" s="1"/>
  <c r="X210" i="5" s="1"/>
  <c r="AS60" i="5"/>
  <c r="AT60" i="5" s="1"/>
  <c r="AU60" i="5" s="1"/>
  <c r="AC60" i="5" s="1"/>
  <c r="X60" i="5" s="1"/>
  <c r="BE60" i="5"/>
  <c r="BF60" i="5" s="1"/>
  <c r="BG60" i="5" s="1"/>
  <c r="AS257" i="5"/>
  <c r="AT257" i="5" s="1"/>
  <c r="AU257" i="5" s="1"/>
  <c r="AC257" i="5" s="1"/>
  <c r="S177" i="6"/>
  <c r="X180" i="7" s="1"/>
  <c r="V180" i="7"/>
  <c r="T209" i="6"/>
  <c r="D209" i="6"/>
  <c r="F212" i="7" s="1"/>
  <c r="AG209" i="6"/>
  <c r="E209" i="6"/>
  <c r="G212" i="7" s="1"/>
  <c r="F209" i="6"/>
  <c r="H212" i="7" s="1"/>
  <c r="H209" i="6"/>
  <c r="J212" i="7" s="1"/>
  <c r="Z209" i="6"/>
  <c r="AE212" i="7" s="1"/>
  <c r="BL212" i="7" s="1"/>
  <c r="A230" i="7"/>
  <c r="Z227" i="6"/>
  <c r="AE230" i="7" s="1"/>
  <c r="AG227" i="6"/>
  <c r="D227" i="6"/>
  <c r="F230" i="7" s="1"/>
  <c r="H227" i="6"/>
  <c r="J230" i="7" s="1"/>
  <c r="F227" i="6"/>
  <c r="H230" i="7" s="1"/>
  <c r="E227" i="6"/>
  <c r="G230" i="7" s="1"/>
  <c r="AG236" i="7"/>
  <c r="AF236" i="7"/>
  <c r="Q236" i="7"/>
  <c r="R236" i="7" s="1"/>
  <c r="AJ236" i="7"/>
  <c r="AH236" i="7"/>
  <c r="AI236" i="7" s="1"/>
  <c r="A273" i="7"/>
  <c r="G270" i="6"/>
  <c r="I273" i="7" s="1"/>
  <c r="E270" i="6"/>
  <c r="G273" i="7" s="1"/>
  <c r="D270" i="6"/>
  <c r="F273" i="7" s="1"/>
  <c r="H270" i="6"/>
  <c r="J273" i="7" s="1"/>
  <c r="F270" i="6"/>
  <c r="H273" i="7" s="1"/>
  <c r="Z270" i="6"/>
  <c r="AE273" i="7" s="1"/>
  <c r="AG270" i="6"/>
  <c r="BA162" i="5"/>
  <c r="G171" i="6"/>
  <c r="I174" i="7" s="1"/>
  <c r="Z171" i="6"/>
  <c r="AE174" i="7" s="1"/>
  <c r="E171" i="6"/>
  <c r="G174" i="7" s="1"/>
  <c r="AG171" i="6"/>
  <c r="H171" i="6"/>
  <c r="J174" i="7" s="1"/>
  <c r="F171" i="6"/>
  <c r="H174" i="7" s="1"/>
  <c r="D171" i="6"/>
  <c r="F174" i="7" s="1"/>
  <c r="G189" i="6"/>
  <c r="I192" i="7" s="1"/>
  <c r="Z189" i="6"/>
  <c r="AE192" i="7" s="1"/>
  <c r="BK192" i="7" s="1"/>
  <c r="E189" i="6"/>
  <c r="G192" i="7" s="1"/>
  <c r="D189" i="6"/>
  <c r="F192" i="7" s="1"/>
  <c r="H189" i="6"/>
  <c r="J192" i="7" s="1"/>
  <c r="F189" i="6"/>
  <c r="H192" i="7" s="1"/>
  <c r="AG189" i="6"/>
  <c r="T201" i="6"/>
  <c r="D201" i="6"/>
  <c r="F204" i="7" s="1"/>
  <c r="E201" i="6"/>
  <c r="G204" i="7" s="1"/>
  <c r="AG201" i="6"/>
  <c r="H201" i="6"/>
  <c r="J204" i="7" s="1"/>
  <c r="AH204" i="7" s="1"/>
  <c r="AI204" i="7" s="1"/>
  <c r="Z201" i="6"/>
  <c r="AE204" i="7" s="1"/>
  <c r="F201" i="6"/>
  <c r="H204" i="7" s="1"/>
  <c r="T215" i="6"/>
  <c r="E215" i="6"/>
  <c r="G218" i="7" s="1"/>
  <c r="D215" i="6"/>
  <c r="F218" i="7" s="1"/>
  <c r="H215" i="6"/>
  <c r="J218" i="7" s="1"/>
  <c r="AG215" i="6"/>
  <c r="Z215" i="6"/>
  <c r="AE218" i="7" s="1"/>
  <c r="F215" i="6"/>
  <c r="H218" i="7" s="1"/>
  <c r="AJ234" i="7"/>
  <c r="AK234" i="7"/>
  <c r="AH234" i="7"/>
  <c r="AI234" i="7" s="1"/>
  <c r="AH239" i="7"/>
  <c r="AI239" i="7" s="1"/>
  <c r="BE31" i="5"/>
  <c r="BF31" i="5" s="1"/>
  <c r="BG31" i="5" s="1"/>
  <c r="AS31" i="5"/>
  <c r="AT31" i="5" s="1"/>
  <c r="AU31" i="5" s="1"/>
  <c r="AC31" i="5" s="1"/>
  <c r="X31" i="5" s="1"/>
  <c r="BE270" i="5"/>
  <c r="BF270" i="5" s="1"/>
  <c r="BG270" i="5" s="1"/>
  <c r="AS270" i="5"/>
  <c r="AT270" i="5" s="1"/>
  <c r="AU270" i="5" s="1"/>
  <c r="AC270" i="5" s="1"/>
  <c r="AS35" i="5"/>
  <c r="AT35" i="5" s="1"/>
  <c r="AU35" i="5" s="1"/>
  <c r="AC35" i="5" s="1"/>
  <c r="BE114" i="7"/>
  <c r="AD111" i="6" s="1"/>
  <c r="BG114" i="7"/>
  <c r="AF111" i="6" s="1"/>
  <c r="BF114" i="7"/>
  <c r="AE111" i="6" s="1"/>
  <c r="BM114" i="7"/>
  <c r="AI111" i="6" s="1"/>
  <c r="BN114" i="7"/>
  <c r="BL114" i="7"/>
  <c r="AH111" i="6" s="1"/>
  <c r="BK114" i="7"/>
  <c r="BO114" i="7"/>
  <c r="BP114" i="7" s="1"/>
  <c r="BE93" i="5"/>
  <c r="BF93" i="5" s="1"/>
  <c r="BG93" i="5" s="1"/>
  <c r="AS93" i="5"/>
  <c r="AT93" i="5" s="1"/>
  <c r="AU93" i="5" s="1"/>
  <c r="AC93" i="5" s="1"/>
  <c r="AS108" i="5"/>
  <c r="AT108" i="5" s="1"/>
  <c r="AU108" i="5" s="1"/>
  <c r="AC108" i="5" s="1"/>
  <c r="BE108" i="5"/>
  <c r="BF108" i="5" s="1"/>
  <c r="BG108" i="5" s="1"/>
  <c r="AS112" i="5"/>
  <c r="AT112" i="5" s="1"/>
  <c r="AU112" i="5" s="1"/>
  <c r="AC112" i="5" s="1"/>
  <c r="BE112" i="5"/>
  <c r="BF112" i="5" s="1"/>
  <c r="BG112" i="5" s="1"/>
  <c r="BE262" i="5"/>
  <c r="BF262" i="5" s="1"/>
  <c r="BG262" i="5" s="1"/>
  <c r="AS262" i="5"/>
  <c r="AT262" i="5" s="1"/>
  <c r="AU262" i="5" s="1"/>
  <c r="AC262" i="5" s="1"/>
  <c r="H34" i="6"/>
  <c r="J37" i="7" s="1"/>
  <c r="Z34" i="6"/>
  <c r="AE37" i="7" s="1"/>
  <c r="AG34" i="6"/>
  <c r="T34" i="6"/>
  <c r="F34" i="6"/>
  <c r="H37" i="7" s="1"/>
  <c r="D34" i="6"/>
  <c r="F37" i="7" s="1"/>
  <c r="E34" i="6"/>
  <c r="G37" i="7" s="1"/>
  <c r="Z48" i="6"/>
  <c r="AE51" i="7" s="1"/>
  <c r="BF51" i="7" s="1"/>
  <c r="AE48" i="6" s="1"/>
  <c r="H48" i="6"/>
  <c r="J51" i="7" s="1"/>
  <c r="AG48" i="6"/>
  <c r="F48" i="6"/>
  <c r="H51" i="7" s="1"/>
  <c r="D48" i="6"/>
  <c r="F51" i="7" s="1"/>
  <c r="E48" i="6"/>
  <c r="G51" i="7" s="1"/>
  <c r="BE72" i="5"/>
  <c r="BF72" i="5" s="1"/>
  <c r="BG72" i="5" s="1"/>
  <c r="AS72" i="5"/>
  <c r="AT72" i="5" s="1"/>
  <c r="AU72" i="5" s="1"/>
  <c r="AC72" i="5" s="1"/>
  <c r="X72" i="5" s="1"/>
  <c r="BK249" i="7"/>
  <c r="AS275" i="5"/>
  <c r="AT275" i="5" s="1"/>
  <c r="AU275" i="5" s="1"/>
  <c r="AC275" i="5" s="1"/>
  <c r="X275" i="5" s="1"/>
  <c r="AS273" i="5"/>
  <c r="AT273" i="5" s="1"/>
  <c r="AU273" i="5" s="1"/>
  <c r="AC273" i="5" s="1"/>
  <c r="BE273" i="5"/>
  <c r="BF273" i="5" s="1"/>
  <c r="BG273" i="5" s="1"/>
  <c r="BE168" i="5"/>
  <c r="BF168" i="5" s="1"/>
  <c r="BG168" i="5" s="1"/>
  <c r="AS168" i="5"/>
  <c r="AT168" i="5" s="1"/>
  <c r="AU168" i="5" s="1"/>
  <c r="AC168" i="5" s="1"/>
  <c r="X168" i="5" s="1"/>
  <c r="I121" i="6"/>
  <c r="K124" i="7" s="1"/>
  <c r="G121" i="6"/>
  <c r="I124" i="7" s="1"/>
  <c r="A124" i="7"/>
  <c r="Z121" i="6"/>
  <c r="AE124" i="7" s="1"/>
  <c r="F121" i="6"/>
  <c r="H124" i="7" s="1"/>
  <c r="E121" i="6"/>
  <c r="G124" i="7" s="1"/>
  <c r="AG121" i="6"/>
  <c r="H121" i="6"/>
  <c r="J124" i="7" s="1"/>
  <c r="D121" i="6"/>
  <c r="F124" i="7" s="1"/>
  <c r="BL265" i="7"/>
  <c r="BG300" i="5"/>
  <c r="Q75" i="6"/>
  <c r="S75" i="6" s="1"/>
  <c r="X78" i="7" s="1"/>
  <c r="Q149" i="6"/>
  <c r="S149" i="6" s="1"/>
  <c r="X152" i="7" s="1"/>
  <c r="X160" i="5"/>
  <c r="I252" i="6"/>
  <c r="K255" i="7" s="1"/>
  <c r="T240" i="6"/>
  <c r="Y243" i="7" s="1"/>
  <c r="X205" i="5"/>
  <c r="BE103" i="5"/>
  <c r="BF103" i="5" s="1"/>
  <c r="BG103" i="5" s="1"/>
  <c r="AF306" i="5"/>
  <c r="AE224" i="5"/>
  <c r="BM73" i="7"/>
  <c r="AI70" i="6" s="1"/>
  <c r="BE73" i="7"/>
  <c r="AD70" i="6" s="1"/>
  <c r="BK73" i="7"/>
  <c r="BO73" i="7"/>
  <c r="BP73" i="7" s="1"/>
  <c r="BF73" i="7"/>
  <c r="AE70" i="6" s="1"/>
  <c r="BL73" i="7"/>
  <c r="AH70" i="6" s="1"/>
  <c r="BN73" i="7"/>
  <c r="S265" i="6"/>
  <c r="X268" i="7" s="1"/>
  <c r="V268" i="7"/>
  <c r="AS120" i="5"/>
  <c r="AT120" i="5" s="1"/>
  <c r="AU120" i="5" s="1"/>
  <c r="AC120" i="5" s="1"/>
  <c r="X120" i="5" s="1"/>
  <c r="BE120" i="5"/>
  <c r="BF120" i="5" s="1"/>
  <c r="BG120" i="5" s="1"/>
  <c r="BE59" i="5"/>
  <c r="BF59" i="5" s="1"/>
  <c r="BG59" i="5" s="1"/>
  <c r="AS59" i="5"/>
  <c r="AT59" i="5" s="1"/>
  <c r="AU59" i="5" s="1"/>
  <c r="AC59" i="5" s="1"/>
  <c r="X59" i="5" s="1"/>
  <c r="AS145" i="5"/>
  <c r="AT145" i="5" s="1"/>
  <c r="AU145" i="5" s="1"/>
  <c r="AC145" i="5" s="1"/>
  <c r="X145" i="5" s="1"/>
  <c r="BE145" i="5"/>
  <c r="BF145" i="5" s="1"/>
  <c r="BG145" i="5" s="1"/>
  <c r="V112" i="6"/>
  <c r="AA115" i="7" s="1"/>
  <c r="AL115" i="7" s="1"/>
  <c r="Y115" i="7"/>
  <c r="BF131" i="7"/>
  <c r="BN131" i="7"/>
  <c r="BK131" i="7"/>
  <c r="BE131" i="7"/>
  <c r="BL131" i="7"/>
  <c r="BM131" i="7"/>
  <c r="BO131" i="7"/>
  <c r="BP131" i="7" s="1"/>
  <c r="BG131" i="7"/>
  <c r="S175" i="6"/>
  <c r="X178" i="7" s="1"/>
  <c r="V178" i="7"/>
  <c r="BE102" i="5"/>
  <c r="BF102" i="5" s="1"/>
  <c r="BG102" i="5" s="1"/>
  <c r="AS102" i="5"/>
  <c r="AT102" i="5" s="1"/>
  <c r="AU102" i="5" s="1"/>
  <c r="AC102" i="5" s="1"/>
  <c r="X102" i="5" s="1"/>
  <c r="AS220" i="5"/>
  <c r="AT220" i="5" s="1"/>
  <c r="AU220" i="5" s="1"/>
  <c r="AC220" i="5" s="1"/>
  <c r="BE220" i="5"/>
  <c r="BF220" i="5" s="1"/>
  <c r="BG220" i="5" s="1"/>
  <c r="BE305" i="5"/>
  <c r="BF305" i="5" s="1"/>
  <c r="BG305" i="5" s="1"/>
  <c r="AS305" i="5"/>
  <c r="AT305" i="5" s="1"/>
  <c r="AU305" i="5" s="1"/>
  <c r="AC305" i="5" s="1"/>
  <c r="X305" i="5" s="1"/>
  <c r="AH84" i="7"/>
  <c r="AI84" i="7" s="1"/>
  <c r="R84" i="7"/>
  <c r="BO147" i="7"/>
  <c r="BP147" i="7" s="1"/>
  <c r="BL147" i="7"/>
  <c r="BE147" i="7"/>
  <c r="BF147" i="7"/>
  <c r="BG147" i="7"/>
  <c r="BM147" i="7"/>
  <c r="BN147" i="7"/>
  <c r="BK147" i="7"/>
  <c r="BN271" i="7"/>
  <c r="BE271" i="7"/>
  <c r="BG271" i="7"/>
  <c r="BF271" i="7"/>
  <c r="BM271" i="7"/>
  <c r="BO271" i="7"/>
  <c r="BP271" i="7" s="1"/>
  <c r="BK271" i="7"/>
  <c r="BL271" i="7"/>
  <c r="V286" i="6"/>
  <c r="AA289" i="7" s="1"/>
  <c r="AL289" i="7" s="1"/>
  <c r="Y289" i="7"/>
  <c r="AG38" i="5"/>
  <c r="AI38" i="5" s="1"/>
  <c r="AJ38" i="5" s="1"/>
  <c r="AF38" i="5"/>
  <c r="AD38" i="5"/>
  <c r="AS40" i="5"/>
  <c r="AT40" i="5" s="1"/>
  <c r="AU40" i="5" s="1"/>
  <c r="AC40" i="5" s="1"/>
  <c r="X40" i="5" s="1"/>
  <c r="BE40" i="5"/>
  <c r="BF40" i="5" s="1"/>
  <c r="BG40" i="5" s="1"/>
  <c r="AS292" i="5"/>
  <c r="AT292" i="5" s="1"/>
  <c r="AU292" i="5" s="1"/>
  <c r="AC292" i="5" s="1"/>
  <c r="X292" i="5" s="1"/>
  <c r="BE83" i="5"/>
  <c r="BF83" i="5" s="1"/>
  <c r="BG83" i="5" s="1"/>
  <c r="AS83" i="5"/>
  <c r="AT83" i="5" s="1"/>
  <c r="AU83" i="5" s="1"/>
  <c r="AC83" i="5" s="1"/>
  <c r="AS61" i="5"/>
  <c r="AT61" i="5" s="1"/>
  <c r="AU61" i="5" s="1"/>
  <c r="AC61" i="5" s="1"/>
  <c r="X61" i="5" s="1"/>
  <c r="BE61" i="5"/>
  <c r="BF61" i="5" s="1"/>
  <c r="BG61" i="5" s="1"/>
  <c r="AS259" i="5"/>
  <c r="AT259" i="5" s="1"/>
  <c r="AU259" i="5" s="1"/>
  <c r="AC259" i="5" s="1"/>
  <c r="X259" i="5" s="1"/>
  <c r="BE259" i="5"/>
  <c r="BF259" i="5" s="1"/>
  <c r="BG259" i="5" s="1"/>
  <c r="AS203" i="5"/>
  <c r="AT203" i="5" s="1"/>
  <c r="AU203" i="5" s="1"/>
  <c r="AC203" i="5" s="1"/>
  <c r="BE203" i="5"/>
  <c r="BF203" i="5" s="1"/>
  <c r="BG203" i="5" s="1"/>
  <c r="AG115" i="6"/>
  <c r="D115" i="6"/>
  <c r="F118" i="7" s="1"/>
  <c r="F115" i="6"/>
  <c r="H118" i="7" s="1"/>
  <c r="Z115" i="6"/>
  <c r="AE118" i="7" s="1"/>
  <c r="H115" i="6"/>
  <c r="J118" i="7" s="1"/>
  <c r="E115" i="6"/>
  <c r="G118" i="7" s="1"/>
  <c r="A170" i="7"/>
  <c r="Q167" i="6"/>
  <c r="T167" i="6"/>
  <c r="I167" i="6"/>
  <c r="K170" i="7" s="1"/>
  <c r="AG167" i="6"/>
  <c r="H167" i="6"/>
  <c r="J170" i="7" s="1"/>
  <c r="AH170" i="7" s="1"/>
  <c r="AI170" i="7" s="1"/>
  <c r="E167" i="6"/>
  <c r="G170" i="7" s="1"/>
  <c r="D167" i="6"/>
  <c r="F170" i="7" s="1"/>
  <c r="F167" i="6"/>
  <c r="H170" i="7" s="1"/>
  <c r="Z167" i="6"/>
  <c r="AE170" i="7" s="1"/>
  <c r="H191" i="6"/>
  <c r="J194" i="7" s="1"/>
  <c r="Z191" i="6"/>
  <c r="AE194" i="7" s="1"/>
  <c r="G191" i="6"/>
  <c r="I194" i="7" s="1"/>
  <c r="AG191" i="6"/>
  <c r="D191" i="6"/>
  <c r="F194" i="7" s="1"/>
  <c r="E191" i="6"/>
  <c r="G194" i="7" s="1"/>
  <c r="F191" i="6"/>
  <c r="H194" i="7" s="1"/>
  <c r="I216" i="6"/>
  <c r="K219" i="7" s="1"/>
  <c r="A219" i="7"/>
  <c r="H216" i="6"/>
  <c r="J219" i="7" s="1"/>
  <c r="D216" i="6"/>
  <c r="F219" i="7" s="1"/>
  <c r="F216" i="6"/>
  <c r="H219" i="7" s="1"/>
  <c r="Z216" i="6"/>
  <c r="AE219" i="7" s="1"/>
  <c r="E216" i="6"/>
  <c r="G219" i="7" s="1"/>
  <c r="AG216" i="6"/>
  <c r="Q240" i="7"/>
  <c r="AF240" i="7"/>
  <c r="AG240" i="7"/>
  <c r="V247" i="6"/>
  <c r="AA250" i="7" s="1"/>
  <c r="AL250" i="7" s="1"/>
  <c r="Y250" i="7"/>
  <c r="AS81" i="5"/>
  <c r="AT81" i="5" s="1"/>
  <c r="AU81" i="5" s="1"/>
  <c r="AC81" i="5" s="1"/>
  <c r="BE81" i="5"/>
  <c r="BF81" i="5" s="1"/>
  <c r="BG81" i="5" s="1"/>
  <c r="AS67" i="5"/>
  <c r="AT67" i="5" s="1"/>
  <c r="AU67" i="5" s="1"/>
  <c r="AC67" i="5" s="1"/>
  <c r="BE67" i="5"/>
  <c r="BF67" i="5" s="1"/>
  <c r="BG67" i="5" s="1"/>
  <c r="F170" i="6"/>
  <c r="H173" i="7" s="1"/>
  <c r="AG170" i="6"/>
  <c r="D170" i="6"/>
  <c r="F173" i="7" s="1"/>
  <c r="Z170" i="6"/>
  <c r="AE173" i="7" s="1"/>
  <c r="H170" i="6"/>
  <c r="J173" i="7" s="1"/>
  <c r="E170" i="6"/>
  <c r="G173" i="7" s="1"/>
  <c r="T223" i="6"/>
  <c r="H223" i="6"/>
  <c r="J226" i="7" s="1"/>
  <c r="F223" i="6"/>
  <c r="H226" i="7" s="1"/>
  <c r="E223" i="6"/>
  <c r="G226" i="7" s="1"/>
  <c r="Z223" i="6"/>
  <c r="AE226" i="7" s="1"/>
  <c r="D223" i="6"/>
  <c r="F226" i="7" s="1"/>
  <c r="AG223" i="6"/>
  <c r="F232" i="6"/>
  <c r="H235" i="7" s="1"/>
  <c r="E232" i="6"/>
  <c r="G235" i="7" s="1"/>
  <c r="H232" i="6"/>
  <c r="J235" i="7" s="1"/>
  <c r="D232" i="6"/>
  <c r="F235" i="7" s="1"/>
  <c r="AG232" i="6"/>
  <c r="Z232" i="6"/>
  <c r="AE235" i="7" s="1"/>
  <c r="G289" i="6"/>
  <c r="I292" i="7" s="1"/>
  <c r="F289" i="6"/>
  <c r="H292" i="7" s="1"/>
  <c r="Z289" i="6"/>
  <c r="AE292" i="7" s="1"/>
  <c r="D289" i="6"/>
  <c r="F292" i="7" s="1"/>
  <c r="E289" i="6"/>
  <c r="G292" i="7" s="1"/>
  <c r="H289" i="6"/>
  <c r="J292" i="7" s="1"/>
  <c r="AG289" i="6"/>
  <c r="AG299" i="7"/>
  <c r="Q299" i="7"/>
  <c r="R299" i="7" s="1"/>
  <c r="AF299" i="7"/>
  <c r="AS161" i="5"/>
  <c r="AT161" i="5" s="1"/>
  <c r="AU161" i="5" s="1"/>
  <c r="AC161" i="5" s="1"/>
  <c r="BE161" i="5"/>
  <c r="BF161" i="5" s="1"/>
  <c r="BG161" i="5" s="1"/>
  <c r="BE287" i="5"/>
  <c r="BF287" i="5" s="1"/>
  <c r="BG287" i="5" s="1"/>
  <c r="AS287" i="5"/>
  <c r="AT287" i="5" s="1"/>
  <c r="AU287" i="5" s="1"/>
  <c r="AC287" i="5" s="1"/>
  <c r="BE84" i="5"/>
  <c r="BF84" i="5" s="1"/>
  <c r="BG84" i="5" s="1"/>
  <c r="AS84" i="5"/>
  <c r="AT84" i="5" s="1"/>
  <c r="AU84" i="5" s="1"/>
  <c r="AC84" i="5" s="1"/>
  <c r="X84" i="5" s="1"/>
  <c r="AS291" i="5"/>
  <c r="AT291" i="5" s="1"/>
  <c r="AU291" i="5" s="1"/>
  <c r="AC291" i="5" s="1"/>
  <c r="BE242" i="5"/>
  <c r="BF242" i="5" s="1"/>
  <c r="BG242" i="5" s="1"/>
  <c r="AS242" i="5"/>
  <c r="AT242" i="5" s="1"/>
  <c r="AU242" i="5" s="1"/>
  <c r="AC242" i="5" s="1"/>
  <c r="X242" i="5" s="1"/>
  <c r="BE39" i="5"/>
  <c r="BF39" i="5" s="1"/>
  <c r="BG39" i="5" s="1"/>
  <c r="AS39" i="5"/>
  <c r="AT39" i="5" s="1"/>
  <c r="AU39" i="5" s="1"/>
  <c r="AC39" i="5" s="1"/>
  <c r="AS70" i="5"/>
  <c r="AT70" i="5" s="1"/>
  <c r="AU70" i="5" s="1"/>
  <c r="AC70" i="5" s="1"/>
  <c r="BE70" i="5"/>
  <c r="BF70" i="5" s="1"/>
  <c r="BG70" i="5" s="1"/>
  <c r="AS285" i="5"/>
  <c r="AT285" i="5" s="1"/>
  <c r="AU285" i="5" s="1"/>
  <c r="AC285" i="5" s="1"/>
  <c r="X285" i="5" s="1"/>
  <c r="BE285" i="5"/>
  <c r="BF285" i="5" s="1"/>
  <c r="BG285" i="5" s="1"/>
  <c r="AS94" i="5"/>
  <c r="AT94" i="5" s="1"/>
  <c r="AU94" i="5" s="1"/>
  <c r="AC94" i="5" s="1"/>
  <c r="BE94" i="5"/>
  <c r="BF94" i="5" s="1"/>
  <c r="BG94" i="5" s="1"/>
  <c r="AS174" i="5"/>
  <c r="AT174" i="5" s="1"/>
  <c r="AU174" i="5" s="1"/>
  <c r="AC174" i="5" s="1"/>
  <c r="X174" i="5" s="1"/>
  <c r="BE174" i="5"/>
  <c r="BF174" i="5" s="1"/>
  <c r="BG174" i="5" s="1"/>
  <c r="AS92" i="5"/>
  <c r="AT92" i="5" s="1"/>
  <c r="AU92" i="5" s="1"/>
  <c r="AC92" i="5" s="1"/>
  <c r="BE92" i="5"/>
  <c r="BF92" i="5" s="1"/>
  <c r="BG92" i="5" s="1"/>
  <c r="AG310" i="7"/>
  <c r="AF310" i="7"/>
  <c r="Q310" i="7"/>
  <c r="R310" i="7" s="1"/>
  <c r="AS36" i="5"/>
  <c r="AT36" i="5" s="1"/>
  <c r="AU36" i="5" s="1"/>
  <c r="AC36" i="5" s="1"/>
  <c r="X36" i="5" s="1"/>
  <c r="BE36" i="5"/>
  <c r="BF36" i="5" s="1"/>
  <c r="BG36" i="5" s="1"/>
  <c r="AS104" i="5"/>
  <c r="AT104" i="5" s="1"/>
  <c r="AU104" i="5" s="1"/>
  <c r="AC104" i="5" s="1"/>
  <c r="BN76" i="7"/>
  <c r="BL76" i="7"/>
  <c r="AH73" i="6" s="1"/>
  <c r="BM76" i="7"/>
  <c r="AI73" i="6" s="1"/>
  <c r="BE76" i="7"/>
  <c r="AD73" i="6" s="1"/>
  <c r="BO76" i="7"/>
  <c r="BP76" i="7" s="1"/>
  <c r="BG76" i="7"/>
  <c r="AF73" i="6" s="1"/>
  <c r="BF76" i="7"/>
  <c r="AE73" i="6" s="1"/>
  <c r="BK76" i="7"/>
  <c r="H120" i="6"/>
  <c r="J123" i="7" s="1"/>
  <c r="AG120" i="6"/>
  <c r="F120" i="6"/>
  <c r="H123" i="7" s="1"/>
  <c r="D120" i="6"/>
  <c r="F123" i="7" s="1"/>
  <c r="E120" i="6"/>
  <c r="G123" i="7" s="1"/>
  <c r="Z120" i="6"/>
  <c r="AE123" i="7" s="1"/>
  <c r="BK246" i="7"/>
  <c r="AF246" i="7"/>
  <c r="AJ246" i="7"/>
  <c r="AH246" i="7"/>
  <c r="AI246" i="7" s="1"/>
  <c r="AK246" i="7"/>
  <c r="G281" i="6"/>
  <c r="I284" i="7" s="1"/>
  <c r="Z281" i="6"/>
  <c r="AE284" i="7" s="1"/>
  <c r="F281" i="6"/>
  <c r="H284" i="7" s="1"/>
  <c r="AG281" i="6"/>
  <c r="D281" i="6"/>
  <c r="F284" i="7" s="1"/>
  <c r="E281" i="6"/>
  <c r="G284" i="7" s="1"/>
  <c r="H281" i="6"/>
  <c r="J284" i="7" s="1"/>
  <c r="AS184" i="5"/>
  <c r="AT184" i="5" s="1"/>
  <c r="AU184" i="5" s="1"/>
  <c r="AC184" i="5" s="1"/>
  <c r="X184" i="5" s="1"/>
  <c r="BE184" i="5"/>
  <c r="BF184" i="5" s="1"/>
  <c r="BG184" i="5" s="1"/>
  <c r="T211" i="6"/>
  <c r="AG211" i="6"/>
  <c r="Z211" i="6"/>
  <c r="AE214" i="7" s="1"/>
  <c r="F211" i="6"/>
  <c r="H214" i="7" s="1"/>
  <c r="D211" i="6"/>
  <c r="F214" i="7" s="1"/>
  <c r="H211" i="6"/>
  <c r="J214" i="7" s="1"/>
  <c r="E211" i="6"/>
  <c r="G214" i="7" s="1"/>
  <c r="I224" i="6"/>
  <c r="K227" i="7" s="1"/>
  <c r="A227" i="7"/>
  <c r="H224" i="6"/>
  <c r="J227" i="7" s="1"/>
  <c r="AH227" i="7" s="1"/>
  <c r="AI227" i="7" s="1"/>
  <c r="AG224" i="6"/>
  <c r="E224" i="6"/>
  <c r="G227" i="7" s="1"/>
  <c r="F224" i="6"/>
  <c r="H227" i="7" s="1"/>
  <c r="D224" i="6"/>
  <c r="F227" i="7" s="1"/>
  <c r="Z224" i="6"/>
  <c r="AE227" i="7" s="1"/>
  <c r="BA296" i="5"/>
  <c r="BE144" i="5"/>
  <c r="BF144" i="5" s="1"/>
  <c r="BG144" i="5" s="1"/>
  <c r="AS144" i="5"/>
  <c r="AT144" i="5" s="1"/>
  <c r="AU144" i="5" s="1"/>
  <c r="AC144" i="5" s="1"/>
  <c r="X144" i="5" s="1"/>
  <c r="I198" i="6"/>
  <c r="K201" i="7" s="1"/>
  <c r="F198" i="6"/>
  <c r="H201" i="7" s="1"/>
  <c r="AG198" i="6"/>
  <c r="Z198" i="6"/>
  <c r="AE201" i="7" s="1"/>
  <c r="E198" i="6"/>
  <c r="G201" i="7" s="1"/>
  <c r="D198" i="6"/>
  <c r="F201" i="7" s="1"/>
  <c r="H198" i="6"/>
  <c r="J201" i="7" s="1"/>
  <c r="T203" i="6"/>
  <c r="E203" i="6"/>
  <c r="G206" i="7" s="1"/>
  <c r="D203" i="6"/>
  <c r="F206" i="7" s="1"/>
  <c r="F203" i="6"/>
  <c r="H206" i="7" s="1"/>
  <c r="H203" i="6"/>
  <c r="J206" i="7" s="1"/>
  <c r="Z203" i="6"/>
  <c r="AE206" i="7" s="1"/>
  <c r="AG203" i="6"/>
  <c r="BG223" i="7"/>
  <c r="AF223" i="7"/>
  <c r="T225" i="6"/>
  <c r="E225" i="6"/>
  <c r="G228" i="7" s="1"/>
  <c r="Z225" i="6"/>
  <c r="AE228" i="7" s="1"/>
  <c r="F225" i="6"/>
  <c r="H228" i="7" s="1"/>
  <c r="D225" i="6"/>
  <c r="F228" i="7" s="1"/>
  <c r="AG225" i="6"/>
  <c r="H225" i="6"/>
  <c r="J228" i="7" s="1"/>
  <c r="V231" i="6"/>
  <c r="AA234" i="7" s="1"/>
  <c r="AL234" i="7" s="1"/>
  <c r="Y234" i="7"/>
  <c r="I28" i="6"/>
  <c r="K31" i="7" s="1"/>
  <c r="F28" i="6"/>
  <c r="H31" i="7" s="1"/>
  <c r="H28" i="6"/>
  <c r="J31" i="7" s="1"/>
  <c r="AG28" i="6"/>
  <c r="Z28" i="6"/>
  <c r="AE31" i="7" s="1"/>
  <c r="E28" i="6"/>
  <c r="G31" i="7" s="1"/>
  <c r="D28" i="6"/>
  <c r="F31" i="7" s="1"/>
  <c r="AY224" i="5"/>
  <c r="AZ224" i="5" s="1"/>
  <c r="BA224" i="5" s="1"/>
  <c r="BE224" i="5"/>
  <c r="BF224" i="5" s="1"/>
  <c r="BG224" i="5" s="1"/>
  <c r="BE280" i="5"/>
  <c r="BF280" i="5" s="1"/>
  <c r="BG280" i="5" s="1"/>
  <c r="AS280" i="5"/>
  <c r="AT280" i="5" s="1"/>
  <c r="AU280" i="5" s="1"/>
  <c r="AC280" i="5" s="1"/>
  <c r="V282" i="6"/>
  <c r="AA285" i="7" s="1"/>
  <c r="AL285" i="7" s="1"/>
  <c r="Y285" i="7"/>
  <c r="AS53" i="5"/>
  <c r="AT53" i="5" s="1"/>
  <c r="AU53" i="5" s="1"/>
  <c r="AC53" i="5" s="1"/>
  <c r="BE53" i="5"/>
  <c r="BF53" i="5" s="1"/>
  <c r="BG53" i="5" s="1"/>
  <c r="AS74" i="5"/>
  <c r="AT74" i="5" s="1"/>
  <c r="AU74" i="5" s="1"/>
  <c r="AC74" i="5" s="1"/>
  <c r="AS179" i="5"/>
  <c r="AT179" i="5" s="1"/>
  <c r="AU179" i="5" s="1"/>
  <c r="AC179" i="5" s="1"/>
  <c r="X179" i="5" s="1"/>
  <c r="BE179" i="5"/>
  <c r="BF179" i="5" s="1"/>
  <c r="BG179" i="5" s="1"/>
  <c r="S38" i="6"/>
  <c r="X41" i="7" s="1"/>
  <c r="V41" i="7"/>
  <c r="BE255" i="5"/>
  <c r="BF255" i="5" s="1"/>
  <c r="BG255" i="5" s="1"/>
  <c r="AS255" i="5"/>
  <c r="AT255" i="5" s="1"/>
  <c r="AU255" i="5" s="1"/>
  <c r="AC255" i="5" s="1"/>
  <c r="X255" i="5" s="1"/>
  <c r="BE296" i="5"/>
  <c r="BF296" i="5" s="1"/>
  <c r="BG296" i="5" s="1"/>
  <c r="AS296" i="5"/>
  <c r="AT296" i="5" s="1"/>
  <c r="AU296" i="5" s="1"/>
  <c r="AC296" i="5" s="1"/>
  <c r="D71" i="6"/>
  <c r="F74" i="7" s="1"/>
  <c r="AG71" i="6"/>
  <c r="H71" i="6"/>
  <c r="J74" i="7" s="1"/>
  <c r="AH74" i="7" s="1"/>
  <c r="AI74" i="7" s="1"/>
  <c r="Z71" i="6"/>
  <c r="AE74" i="7" s="1"/>
  <c r="F71" i="6"/>
  <c r="H74" i="7" s="1"/>
  <c r="E71" i="6"/>
  <c r="G74" i="7" s="1"/>
  <c r="BK104" i="7"/>
  <c r="BN104" i="7"/>
  <c r="BF104" i="7"/>
  <c r="AE101" i="6" s="1"/>
  <c r="BL104" i="7"/>
  <c r="AH101" i="6" s="1"/>
  <c r="BO104" i="7"/>
  <c r="BP104" i="7" s="1"/>
  <c r="BE104" i="7"/>
  <c r="AD101" i="6" s="1"/>
  <c r="BG104" i="7"/>
  <c r="AF101" i="6" s="1"/>
  <c r="BM104" i="7"/>
  <c r="AI101" i="6" s="1"/>
  <c r="BD131" i="7"/>
  <c r="BC131" i="7"/>
  <c r="BJ131" i="7"/>
  <c r="BE32" i="5"/>
  <c r="BF32" i="5" s="1"/>
  <c r="BG32" i="5" s="1"/>
  <c r="AS32" i="5"/>
  <c r="AT32" i="5" s="1"/>
  <c r="AU32" i="5" s="1"/>
  <c r="AC32" i="5" s="1"/>
  <c r="X32" i="5" s="1"/>
  <c r="AS207" i="5"/>
  <c r="AT207" i="5" s="1"/>
  <c r="AU207" i="5" s="1"/>
  <c r="AC207" i="5" s="1"/>
  <c r="X207" i="5" s="1"/>
  <c r="AG105" i="6"/>
  <c r="F105" i="6"/>
  <c r="H108" i="7" s="1"/>
  <c r="G105" i="6"/>
  <c r="I108" i="7" s="1"/>
  <c r="Z105" i="6"/>
  <c r="AE108" i="7" s="1"/>
  <c r="D105" i="6"/>
  <c r="F108" i="7" s="1"/>
  <c r="E105" i="6"/>
  <c r="G108" i="7" s="1"/>
  <c r="H105" i="6"/>
  <c r="J108" i="7" s="1"/>
  <c r="T136" i="6"/>
  <c r="AG136" i="6"/>
  <c r="H136" i="6"/>
  <c r="J139" i="7" s="1"/>
  <c r="E136" i="6"/>
  <c r="G139" i="7" s="1"/>
  <c r="Z136" i="6"/>
  <c r="AE139" i="7" s="1"/>
  <c r="D136" i="6"/>
  <c r="F139" i="7" s="1"/>
  <c r="F136" i="6"/>
  <c r="H139" i="7" s="1"/>
  <c r="I152" i="6"/>
  <c r="K155" i="7" s="1"/>
  <c r="Z152" i="6"/>
  <c r="AE155" i="7" s="1"/>
  <c r="E152" i="6"/>
  <c r="G155" i="7" s="1"/>
  <c r="F152" i="6"/>
  <c r="H155" i="7" s="1"/>
  <c r="H152" i="6"/>
  <c r="J155" i="7" s="1"/>
  <c r="D152" i="6"/>
  <c r="F155" i="7" s="1"/>
  <c r="AG152" i="6"/>
  <c r="I29" i="6"/>
  <c r="K32" i="7" s="1"/>
  <c r="E29" i="6"/>
  <c r="G32" i="7" s="1"/>
  <c r="F29" i="6"/>
  <c r="H32" i="7" s="1"/>
  <c r="Z29" i="6"/>
  <c r="AE32" i="7" s="1"/>
  <c r="H29" i="6"/>
  <c r="J32" i="7" s="1"/>
  <c r="AH32" i="7" s="1"/>
  <c r="AI32" i="7" s="1"/>
  <c r="AG29" i="6"/>
  <c r="D29" i="6"/>
  <c r="F32" i="7" s="1"/>
  <c r="BE222" i="5"/>
  <c r="BF222" i="5" s="1"/>
  <c r="BG222" i="5" s="1"/>
  <c r="X70" i="5"/>
  <c r="S219" i="5"/>
  <c r="G75" i="6"/>
  <c r="I78" i="7" s="1"/>
  <c r="AJ78" i="7" s="1"/>
  <c r="T119" i="6"/>
  <c r="G181" i="6"/>
  <c r="I184" i="7" s="1"/>
  <c r="AK184" i="7" s="1"/>
  <c r="X25" i="5"/>
  <c r="X27" i="5"/>
  <c r="AK285" i="7"/>
  <c r="S192" i="5"/>
  <c r="U111" i="5"/>
  <c r="S250" i="5"/>
  <c r="T285" i="5"/>
  <c r="U256" i="5"/>
  <c r="X143" i="5"/>
  <c r="A78" i="7"/>
  <c r="AJ88" i="7"/>
  <c r="A148" i="7"/>
  <c r="G216" i="6"/>
  <c r="I219" i="7" s="1"/>
  <c r="AJ219" i="7" s="1"/>
  <c r="I115" i="6"/>
  <c r="K118" i="7" s="1"/>
  <c r="T181" i="6"/>
  <c r="V181" i="6" s="1"/>
  <c r="AA184" i="7" s="1"/>
  <c r="AL184" i="7" s="1"/>
  <c r="Q223" i="6"/>
  <c r="V226" i="7" s="1"/>
  <c r="A260" i="7"/>
  <c r="I120" i="6"/>
  <c r="K123" i="7" s="1"/>
  <c r="I240" i="6"/>
  <c r="K243" i="7" s="1"/>
  <c r="Q281" i="6"/>
  <c r="S281" i="6" s="1"/>
  <c r="X284" i="7" s="1"/>
  <c r="I289" i="6"/>
  <c r="K292" i="7" s="1"/>
  <c r="I232" i="6"/>
  <c r="K235" i="7" s="1"/>
  <c r="AK283" i="7"/>
  <c r="X195" i="5"/>
  <c r="AJ233" i="7"/>
  <c r="AK298" i="7"/>
  <c r="BE191" i="5"/>
  <c r="BF191" i="5" s="1"/>
  <c r="BG191" i="5" s="1"/>
  <c r="BG95" i="5"/>
  <c r="BE104" i="5"/>
  <c r="BF104" i="5" s="1"/>
  <c r="BG104" i="5" s="1"/>
  <c r="BG126" i="5"/>
  <c r="BE217" i="5"/>
  <c r="BF217" i="5" s="1"/>
  <c r="BG217" i="5" s="1"/>
  <c r="BG234" i="5"/>
  <c r="BG274" i="5"/>
  <c r="BM246" i="7"/>
  <c r="BG246" i="7"/>
  <c r="BN246" i="7"/>
  <c r="BL223" i="7"/>
  <c r="AD307" i="5"/>
  <c r="AD224" i="5"/>
  <c r="V64" i="6"/>
  <c r="AA67" i="7" s="1"/>
  <c r="AL67" i="7" s="1"/>
  <c r="Y67" i="7"/>
  <c r="BE258" i="5"/>
  <c r="BF258" i="5" s="1"/>
  <c r="BG258" i="5" s="1"/>
  <c r="AS258" i="5"/>
  <c r="AT258" i="5" s="1"/>
  <c r="AU258" i="5" s="1"/>
  <c r="AC258" i="5" s="1"/>
  <c r="X258" i="5" s="1"/>
  <c r="S37" i="6"/>
  <c r="X40" i="7" s="1"/>
  <c r="V40" i="7"/>
  <c r="BF178" i="7"/>
  <c r="BL178" i="7"/>
  <c r="BM178" i="7"/>
  <c r="BK178" i="7"/>
  <c r="BN178" i="7"/>
  <c r="BE178" i="7"/>
  <c r="BO178" i="7"/>
  <c r="BP178" i="7" s="1"/>
  <c r="BG178" i="7"/>
  <c r="S249" i="6"/>
  <c r="X252" i="7" s="1"/>
  <c r="V252" i="7"/>
  <c r="AS240" i="5"/>
  <c r="AT240" i="5" s="1"/>
  <c r="AU240" i="5" s="1"/>
  <c r="AC240" i="5" s="1"/>
  <c r="BE240" i="5"/>
  <c r="BF240" i="5" s="1"/>
  <c r="BG240" i="5" s="1"/>
  <c r="AS133" i="5"/>
  <c r="AT133" i="5" s="1"/>
  <c r="AU133" i="5" s="1"/>
  <c r="AC133" i="5" s="1"/>
  <c r="X133" i="5" s="1"/>
  <c r="BE133" i="5"/>
  <c r="BF133" i="5" s="1"/>
  <c r="BG133" i="5" s="1"/>
  <c r="AS206" i="5"/>
  <c r="AT206" i="5" s="1"/>
  <c r="AU206" i="5" s="1"/>
  <c r="AC206" i="5" s="1"/>
  <c r="X206" i="5" s="1"/>
  <c r="BE206" i="5"/>
  <c r="BF206" i="5" s="1"/>
  <c r="BG206" i="5" s="1"/>
  <c r="BE211" i="7"/>
  <c r="BM211" i="7"/>
  <c r="BG211" i="7"/>
  <c r="BN211" i="7"/>
  <c r="BG109" i="5"/>
  <c r="BE208" i="5"/>
  <c r="BF208" i="5" s="1"/>
  <c r="BG208" i="5" s="1"/>
  <c r="AS208" i="5"/>
  <c r="AT208" i="5" s="1"/>
  <c r="AU208" i="5" s="1"/>
  <c r="AC208" i="5" s="1"/>
  <c r="BE200" i="5"/>
  <c r="BF200" i="5" s="1"/>
  <c r="BG200" i="5" s="1"/>
  <c r="AS200" i="5"/>
  <c r="AT200" i="5" s="1"/>
  <c r="AU200" i="5" s="1"/>
  <c r="AC200" i="5" s="1"/>
  <c r="X200" i="5" s="1"/>
  <c r="AS126" i="5"/>
  <c r="AT126" i="5" s="1"/>
  <c r="BE115" i="5"/>
  <c r="BF115" i="5" s="1"/>
  <c r="BG115" i="5" s="1"/>
  <c r="AS115" i="5"/>
  <c r="AT115" i="5" s="1"/>
  <c r="AU115" i="5" s="1"/>
  <c r="AC115" i="5" s="1"/>
  <c r="X115" i="5" s="1"/>
  <c r="AS129" i="5"/>
  <c r="AT129" i="5" s="1"/>
  <c r="AU129" i="5" s="1"/>
  <c r="AC129" i="5" s="1"/>
  <c r="X129" i="5" s="1"/>
  <c r="BE129" i="5"/>
  <c r="BF129" i="5" s="1"/>
  <c r="BG129" i="5" s="1"/>
  <c r="AH87" i="7"/>
  <c r="AI87" i="7" s="1"/>
  <c r="G42" i="6"/>
  <c r="I45" i="7" s="1"/>
  <c r="E42" i="6"/>
  <c r="G45" i="7" s="1"/>
  <c r="D42" i="6"/>
  <c r="F45" i="7" s="1"/>
  <c r="F42" i="6"/>
  <c r="H45" i="7" s="1"/>
  <c r="Z42" i="6"/>
  <c r="AE45" i="7" s="1"/>
  <c r="AG42" i="6"/>
  <c r="H42" i="6"/>
  <c r="J45" i="7" s="1"/>
  <c r="A150" i="7"/>
  <c r="Q147" i="6"/>
  <c r="D147" i="6"/>
  <c r="F150" i="7" s="1"/>
  <c r="F147" i="6"/>
  <c r="H150" i="7" s="1"/>
  <c r="H147" i="6"/>
  <c r="J150" i="7" s="1"/>
  <c r="E147" i="6"/>
  <c r="G150" i="7" s="1"/>
  <c r="AG147" i="6"/>
  <c r="Z147" i="6"/>
  <c r="AE150" i="7" s="1"/>
  <c r="S247" i="6"/>
  <c r="X250" i="7" s="1"/>
  <c r="V250" i="7"/>
  <c r="AY99" i="5"/>
  <c r="AZ99" i="5" s="1"/>
  <c r="BA99" i="5" s="1"/>
  <c r="BE99" i="5"/>
  <c r="BF99" i="5" s="1"/>
  <c r="BG99" i="5" s="1"/>
  <c r="Z63" i="6"/>
  <c r="AE66" i="7" s="1"/>
  <c r="AG63" i="6"/>
  <c r="F63" i="6"/>
  <c r="H66" i="7" s="1"/>
  <c r="H63" i="6"/>
  <c r="J66" i="7" s="1"/>
  <c r="E63" i="6"/>
  <c r="G66" i="7" s="1"/>
  <c r="D63" i="6"/>
  <c r="F66" i="7" s="1"/>
  <c r="I194" i="6"/>
  <c r="K197" i="7" s="1"/>
  <c r="H194" i="6"/>
  <c r="J197" i="7" s="1"/>
  <c r="Z194" i="6"/>
  <c r="AE197" i="7" s="1"/>
  <c r="AG194" i="6"/>
  <c r="D194" i="6"/>
  <c r="F197" i="7" s="1"/>
  <c r="E194" i="6"/>
  <c r="G197" i="7" s="1"/>
  <c r="F194" i="6"/>
  <c r="H197" i="7" s="1"/>
  <c r="S199" i="6"/>
  <c r="X202" i="7" s="1"/>
  <c r="V202" i="7"/>
  <c r="AY100" i="5"/>
  <c r="AZ100" i="5" s="1"/>
  <c r="BA100" i="5" s="1"/>
  <c r="BE100" i="5"/>
  <c r="BF100" i="5" s="1"/>
  <c r="BG100" i="5" s="1"/>
  <c r="BA310" i="5"/>
  <c r="AS157" i="5"/>
  <c r="AT157" i="5" s="1"/>
  <c r="AU157" i="5" s="1"/>
  <c r="AC157" i="5" s="1"/>
  <c r="X157" i="5" s="1"/>
  <c r="BE157" i="5"/>
  <c r="BF157" i="5" s="1"/>
  <c r="BG157" i="5" s="1"/>
  <c r="BE299" i="5"/>
  <c r="BF299" i="5" s="1"/>
  <c r="BG299" i="5" s="1"/>
  <c r="AS299" i="5"/>
  <c r="AT299" i="5" s="1"/>
  <c r="AU299" i="5" s="1"/>
  <c r="AC299" i="5" s="1"/>
  <c r="X299" i="5" s="1"/>
  <c r="AS231" i="5"/>
  <c r="AT231" i="5" s="1"/>
  <c r="AU231" i="5" s="1"/>
  <c r="AC231" i="5" s="1"/>
  <c r="X231" i="5" s="1"/>
  <c r="BE231" i="5"/>
  <c r="BF231" i="5" s="1"/>
  <c r="BG231" i="5" s="1"/>
  <c r="AS209" i="5"/>
  <c r="AT209" i="5" s="1"/>
  <c r="AU209" i="5" s="1"/>
  <c r="AC209" i="5" s="1"/>
  <c r="BE209" i="5"/>
  <c r="BF209" i="5" s="1"/>
  <c r="BG209" i="5" s="1"/>
  <c r="AS73" i="5"/>
  <c r="AT73" i="5" s="1"/>
  <c r="AU73" i="5" s="1"/>
  <c r="AC73" i="5" s="1"/>
  <c r="X73" i="5" s="1"/>
  <c r="BE73" i="5"/>
  <c r="BF73" i="5" s="1"/>
  <c r="BG73" i="5" s="1"/>
  <c r="AS265" i="5"/>
  <c r="AT265" i="5" s="1"/>
  <c r="AU265" i="5" s="1"/>
  <c r="AC265" i="5" s="1"/>
  <c r="X265" i="5" s="1"/>
  <c r="BE265" i="5"/>
  <c r="BF265" i="5" s="1"/>
  <c r="BG265" i="5" s="1"/>
  <c r="BE277" i="5"/>
  <c r="BF277" i="5" s="1"/>
  <c r="BG277" i="5" s="1"/>
  <c r="AS277" i="5"/>
  <c r="AT277" i="5" s="1"/>
  <c r="AU277" i="5" s="1"/>
  <c r="AC277" i="5" s="1"/>
  <c r="X277" i="5" s="1"/>
  <c r="A169" i="7"/>
  <c r="F166" i="6"/>
  <c r="H169" i="7" s="1"/>
  <c r="Z166" i="6"/>
  <c r="AE169" i="7" s="1"/>
  <c r="AG166" i="6"/>
  <c r="E166" i="6"/>
  <c r="G169" i="7" s="1"/>
  <c r="H166" i="6"/>
  <c r="J169" i="7" s="1"/>
  <c r="D166" i="6"/>
  <c r="F169" i="7" s="1"/>
  <c r="I166" i="6"/>
  <c r="K169" i="7" s="1"/>
  <c r="Q271" i="6"/>
  <c r="T271" i="6"/>
  <c r="AG271" i="6"/>
  <c r="I271" i="6"/>
  <c r="K274" i="7" s="1"/>
  <c r="H271" i="6"/>
  <c r="J274" i="7" s="1"/>
  <c r="E271" i="6"/>
  <c r="G274" i="7" s="1"/>
  <c r="F271" i="6"/>
  <c r="H274" i="7" s="1"/>
  <c r="D271" i="6"/>
  <c r="F274" i="7" s="1"/>
  <c r="Z271" i="6"/>
  <c r="AE274" i="7" s="1"/>
  <c r="G299" i="6"/>
  <c r="I302" i="7" s="1"/>
  <c r="AG299" i="6"/>
  <c r="I299" i="6"/>
  <c r="K302" i="7" s="1"/>
  <c r="E299" i="6"/>
  <c r="G302" i="7" s="1"/>
  <c r="Z299" i="6"/>
  <c r="AE302" i="7" s="1"/>
  <c r="BO302" i="7" s="1"/>
  <c r="BP302" i="7" s="1"/>
  <c r="D299" i="6"/>
  <c r="F302" i="7" s="1"/>
  <c r="H299" i="6"/>
  <c r="J302" i="7" s="1"/>
  <c r="F299" i="6"/>
  <c r="H302" i="7" s="1"/>
  <c r="AJ310" i="7"/>
  <c r="AH310" i="7"/>
  <c r="AI310" i="7" s="1"/>
  <c r="BE46" i="5"/>
  <c r="BF46" i="5" s="1"/>
  <c r="BG46" i="5" s="1"/>
  <c r="AS46" i="5"/>
  <c r="AT46" i="5" s="1"/>
  <c r="AU46" i="5" s="1"/>
  <c r="AC46" i="5" s="1"/>
  <c r="AS37" i="5"/>
  <c r="AT37" i="5" s="1"/>
  <c r="AU37" i="5" s="1"/>
  <c r="AC37" i="5" s="1"/>
  <c r="X37" i="5" s="1"/>
  <c r="BE37" i="5"/>
  <c r="BF37" i="5" s="1"/>
  <c r="BG37" i="5" s="1"/>
  <c r="BE163" i="5"/>
  <c r="BF163" i="5" s="1"/>
  <c r="BG163" i="5" s="1"/>
  <c r="AS163" i="5"/>
  <c r="AT163" i="5" s="1"/>
  <c r="AU163" i="5" s="1"/>
  <c r="AC163" i="5" s="1"/>
  <c r="BF246" i="7"/>
  <c r="AH249" i="7"/>
  <c r="AI249" i="7" s="1"/>
  <c r="R249" i="7"/>
  <c r="AS241" i="5"/>
  <c r="AT241" i="5" s="1"/>
  <c r="AU241" i="5" s="1"/>
  <c r="AC241" i="5" s="1"/>
  <c r="BE248" i="5"/>
  <c r="BF248" i="5" s="1"/>
  <c r="BG248" i="5" s="1"/>
  <c r="AS248" i="5"/>
  <c r="AT248" i="5" s="1"/>
  <c r="AU248" i="5" s="1"/>
  <c r="AC248" i="5" s="1"/>
  <c r="X248" i="5" s="1"/>
  <c r="AS293" i="5"/>
  <c r="AT293" i="5" s="1"/>
  <c r="AU293" i="5" s="1"/>
  <c r="AC293" i="5" s="1"/>
  <c r="AS185" i="5"/>
  <c r="AT185" i="5" s="1"/>
  <c r="AU185" i="5" s="1"/>
  <c r="AC185" i="5" s="1"/>
  <c r="X185" i="5" s="1"/>
  <c r="BE185" i="5"/>
  <c r="BF185" i="5" s="1"/>
  <c r="BG185" i="5" s="1"/>
  <c r="AS30" i="5"/>
  <c r="AT30" i="5" s="1"/>
  <c r="AU30" i="5" s="1"/>
  <c r="AC30" i="5" s="1"/>
  <c r="X30" i="5" s="1"/>
  <c r="BE30" i="5"/>
  <c r="BF30" i="5" s="1"/>
  <c r="BG30" i="5" s="1"/>
  <c r="BE212" i="5"/>
  <c r="BF212" i="5" s="1"/>
  <c r="BG212" i="5" s="1"/>
  <c r="AS212" i="5"/>
  <c r="AT212" i="5" s="1"/>
  <c r="AU212" i="5" s="1"/>
  <c r="AC212" i="5" s="1"/>
  <c r="X212" i="5" s="1"/>
  <c r="D192" i="6"/>
  <c r="F195" i="7" s="1"/>
  <c r="F192" i="6"/>
  <c r="H195" i="7" s="1"/>
  <c r="Z192" i="6"/>
  <c r="AE195" i="7" s="1"/>
  <c r="E192" i="6"/>
  <c r="G195" i="7" s="1"/>
  <c r="H192" i="6"/>
  <c r="J195" i="7" s="1"/>
  <c r="AH195" i="7" s="1"/>
  <c r="AI195" i="7" s="1"/>
  <c r="AG192" i="6"/>
  <c r="BG205" i="5"/>
  <c r="BN223" i="7"/>
  <c r="Q234" i="7"/>
  <c r="R234" i="7" s="1"/>
  <c r="AG234" i="7"/>
  <c r="AF234" i="7"/>
  <c r="BA112" i="5"/>
  <c r="BG130" i="5"/>
  <c r="BA258" i="5"/>
  <c r="AS201" i="5"/>
  <c r="AT201" i="5" s="1"/>
  <c r="AU201" i="5" s="1"/>
  <c r="AC201" i="5" s="1"/>
  <c r="BE201" i="5"/>
  <c r="BF201" i="5" s="1"/>
  <c r="BG201" i="5" s="1"/>
  <c r="BE269" i="5"/>
  <c r="BF269" i="5" s="1"/>
  <c r="BG269" i="5" s="1"/>
  <c r="AS269" i="5"/>
  <c r="AT269" i="5" s="1"/>
  <c r="AU269" i="5" s="1"/>
  <c r="AC269" i="5" s="1"/>
  <c r="X269" i="5" s="1"/>
  <c r="AS295" i="5"/>
  <c r="AT295" i="5" s="1"/>
  <c r="AU295" i="5" s="1"/>
  <c r="AC295" i="5" s="1"/>
  <c r="X295" i="5" s="1"/>
  <c r="BE295" i="5"/>
  <c r="BF295" i="5" s="1"/>
  <c r="BG295" i="5" s="1"/>
  <c r="AS137" i="5"/>
  <c r="AT137" i="5" s="1"/>
  <c r="AU137" i="5" s="1"/>
  <c r="AC137" i="5" s="1"/>
  <c r="BE137" i="5"/>
  <c r="BF137" i="5" s="1"/>
  <c r="BG137" i="5" s="1"/>
  <c r="BG207" i="7"/>
  <c r="G65" i="6"/>
  <c r="I68" i="7" s="1"/>
  <c r="H65" i="6"/>
  <c r="J68" i="7" s="1"/>
  <c r="D65" i="6"/>
  <c r="F68" i="7" s="1"/>
  <c r="F65" i="6"/>
  <c r="H68" i="7" s="1"/>
  <c r="E65" i="6"/>
  <c r="G68" i="7" s="1"/>
  <c r="Z65" i="6"/>
  <c r="AE68" i="7" s="1"/>
  <c r="AG65" i="6"/>
  <c r="T274" i="6"/>
  <c r="G274" i="6"/>
  <c r="I277" i="7" s="1"/>
  <c r="Z274" i="6"/>
  <c r="AE277" i="7" s="1"/>
  <c r="BF277" i="7" s="1"/>
  <c r="D274" i="6"/>
  <c r="F277" i="7" s="1"/>
  <c r="I274" i="6"/>
  <c r="K277" i="7" s="1"/>
  <c r="E274" i="6"/>
  <c r="G277" i="7" s="1"/>
  <c r="F274" i="6"/>
  <c r="H277" i="7" s="1"/>
  <c r="H274" i="6"/>
  <c r="J277" i="7" s="1"/>
  <c r="AG274" i="6"/>
  <c r="AG285" i="7"/>
  <c r="Q285" i="7"/>
  <c r="R285" i="7" s="1"/>
  <c r="AF285" i="7"/>
  <c r="G303" i="6"/>
  <c r="I306" i="7" s="1"/>
  <c r="Z303" i="6"/>
  <c r="AE306" i="7" s="1"/>
  <c r="BO306" i="7" s="1"/>
  <c r="BP306" i="7" s="1"/>
  <c r="I303" i="6"/>
  <c r="K306" i="7" s="1"/>
  <c r="F303" i="6"/>
  <c r="H306" i="7" s="1"/>
  <c r="H303" i="6"/>
  <c r="J306" i="7" s="1"/>
  <c r="AG303" i="6"/>
  <c r="E303" i="6"/>
  <c r="G306" i="7" s="1"/>
  <c r="D303" i="6"/>
  <c r="F306" i="7" s="1"/>
  <c r="AJ314" i="7"/>
  <c r="AH314" i="7"/>
  <c r="AI314" i="7" s="1"/>
  <c r="BE43" i="5"/>
  <c r="BF43" i="5" s="1"/>
  <c r="BG43" i="5" s="1"/>
  <c r="AS43" i="5"/>
  <c r="AT43" i="5" s="1"/>
  <c r="AU43" i="5" s="1"/>
  <c r="AC43" i="5" s="1"/>
  <c r="X43" i="5" s="1"/>
  <c r="AS183" i="5"/>
  <c r="AT183" i="5" s="1"/>
  <c r="AU183" i="5" s="1"/>
  <c r="AC183" i="5" s="1"/>
  <c r="BE183" i="5"/>
  <c r="BF183" i="5" s="1"/>
  <c r="BG183" i="5" s="1"/>
  <c r="T284" i="6"/>
  <c r="I284" i="6"/>
  <c r="K287" i="7" s="1"/>
  <c r="G284" i="6"/>
  <c r="I287" i="7" s="1"/>
  <c r="H284" i="6"/>
  <c r="J287" i="7" s="1"/>
  <c r="Z284" i="6"/>
  <c r="AE287" i="7" s="1"/>
  <c r="BL287" i="7" s="1"/>
  <c r="E284" i="6"/>
  <c r="G287" i="7" s="1"/>
  <c r="F284" i="6"/>
  <c r="H287" i="7" s="1"/>
  <c r="AG284" i="6"/>
  <c r="D284" i="6"/>
  <c r="F287" i="7" s="1"/>
  <c r="BE139" i="5"/>
  <c r="BF139" i="5" s="1"/>
  <c r="BG139" i="5" s="1"/>
  <c r="AS139" i="5"/>
  <c r="AT139" i="5" s="1"/>
  <c r="AU139" i="5" s="1"/>
  <c r="AC139" i="5" s="1"/>
  <c r="X139" i="5" s="1"/>
  <c r="A171" i="7"/>
  <c r="I168" i="6"/>
  <c r="K171" i="7" s="1"/>
  <c r="G168" i="6"/>
  <c r="I171" i="7" s="1"/>
  <c r="H168" i="6"/>
  <c r="J171" i="7" s="1"/>
  <c r="AG168" i="6"/>
  <c r="Z168" i="6"/>
  <c r="AE171" i="7" s="1"/>
  <c r="E168" i="6"/>
  <c r="G171" i="7" s="1"/>
  <c r="F168" i="6"/>
  <c r="H171" i="7" s="1"/>
  <c r="D168" i="6"/>
  <c r="F171" i="7" s="1"/>
  <c r="AS191" i="5"/>
  <c r="AT191" i="5" s="1"/>
  <c r="AU191" i="5" s="1"/>
  <c r="AC191" i="5" s="1"/>
  <c r="AU56" i="5"/>
  <c r="AC56" i="5" s="1"/>
  <c r="X56" i="5" s="1"/>
  <c r="AG143" i="7"/>
  <c r="Q143" i="7"/>
  <c r="R143" i="7" s="1"/>
  <c r="AF143" i="7"/>
  <c r="I146" i="6"/>
  <c r="K149" i="7" s="1"/>
  <c r="A149" i="7"/>
  <c r="Z146" i="6"/>
  <c r="AE149" i="7" s="1"/>
  <c r="G146" i="6"/>
  <c r="I149" i="7" s="1"/>
  <c r="E146" i="6"/>
  <c r="G149" i="7" s="1"/>
  <c r="F146" i="6"/>
  <c r="H149" i="7" s="1"/>
  <c r="AG146" i="6"/>
  <c r="D146" i="6"/>
  <c r="F149" i="7" s="1"/>
  <c r="H146" i="6"/>
  <c r="J149" i="7" s="1"/>
  <c r="R253" i="7"/>
  <c r="T204" i="5"/>
  <c r="T86" i="5"/>
  <c r="T75" i="5"/>
  <c r="T28" i="5"/>
  <c r="U283" i="5"/>
  <c r="S153" i="5"/>
  <c r="T70" i="5"/>
  <c r="U166" i="5"/>
  <c r="T198" i="5"/>
  <c r="S220" i="5"/>
  <c r="U217" i="5"/>
  <c r="U59" i="5"/>
  <c r="T121" i="5"/>
  <c r="S118" i="5"/>
  <c r="U99" i="5"/>
  <c r="U118" i="5"/>
  <c r="S107" i="5"/>
  <c r="S102" i="5"/>
  <c r="T243" i="5"/>
  <c r="U299" i="5"/>
  <c r="T54" i="5"/>
  <c r="S32" i="5"/>
  <c r="S139" i="5"/>
  <c r="U42" i="5"/>
  <c r="U32" i="5"/>
  <c r="T307" i="5"/>
  <c r="S160" i="5"/>
  <c r="S25" i="5"/>
  <c r="U186" i="5"/>
  <c r="S218" i="5"/>
  <c r="S282" i="5"/>
  <c r="T80" i="5"/>
  <c r="T153" i="5"/>
  <c r="U304" i="5"/>
  <c r="S249" i="5"/>
  <c r="T96" i="5"/>
  <c r="X112" i="5"/>
  <c r="T282" i="5"/>
  <c r="S121" i="5"/>
  <c r="U41" i="5"/>
  <c r="S57" i="5"/>
  <c r="S28" i="5"/>
  <c r="T306" i="5"/>
  <c r="S91" i="5"/>
  <c r="U294" i="5"/>
  <c r="U219" i="5"/>
  <c r="S275" i="5"/>
  <c r="U169" i="5"/>
  <c r="J12" i="1"/>
  <c r="P16" i="5" s="1"/>
  <c r="I12" i="1" s="1"/>
  <c r="T134" i="5"/>
  <c r="U155" i="5"/>
  <c r="U188" i="5"/>
  <c r="U233" i="5"/>
  <c r="U113" i="5"/>
  <c r="X297" i="5"/>
  <c r="T38" i="5"/>
  <c r="S163" i="5"/>
  <c r="X26" i="5"/>
  <c r="S200" i="5"/>
  <c r="T66" i="5"/>
  <c r="S43" i="5"/>
  <c r="T252" i="5"/>
  <c r="S281" i="5"/>
  <c r="T169" i="5"/>
  <c r="J9" i="1"/>
  <c r="P13" i="5" s="1"/>
  <c r="I9" i="1" s="1"/>
  <c r="S166" i="5"/>
  <c r="T194" i="5"/>
  <c r="T262" i="5"/>
  <c r="T235" i="5"/>
  <c r="S76" i="5"/>
  <c r="U24" i="5"/>
  <c r="T233" i="5"/>
  <c r="T105" i="5"/>
  <c r="S268" i="5"/>
  <c r="S169" i="5"/>
  <c r="U139" i="5"/>
  <c r="X54" i="5"/>
  <c r="S283" i="5"/>
  <c r="S140" i="5"/>
  <c r="T267" i="5"/>
  <c r="S133" i="5"/>
  <c r="X252" i="5"/>
  <c r="S130" i="5"/>
  <c r="S198" i="5"/>
  <c r="U235" i="5"/>
  <c r="T182" i="5"/>
  <c r="S233" i="5"/>
  <c r="U105" i="5"/>
  <c r="T124" i="5"/>
  <c r="S165" i="5"/>
  <c r="T297" i="5"/>
  <c r="T155" i="5"/>
  <c r="X267" i="5"/>
  <c r="U56" i="5"/>
  <c r="T56" i="5"/>
  <c r="T72" i="5"/>
  <c r="S72" i="5"/>
  <c r="S104" i="5"/>
  <c r="T104" i="5"/>
  <c r="X136" i="5"/>
  <c r="U136" i="5"/>
  <c r="T184" i="5"/>
  <c r="U184" i="5"/>
  <c r="S184" i="5"/>
  <c r="T232" i="5"/>
  <c r="S232" i="5"/>
  <c r="T248" i="5"/>
  <c r="S248" i="5"/>
  <c r="S264" i="5"/>
  <c r="U264" i="5"/>
  <c r="T264" i="5"/>
  <c r="X280" i="5"/>
  <c r="S280" i="5"/>
  <c r="T280" i="5"/>
  <c r="S296" i="5"/>
  <c r="S178" i="5"/>
  <c r="U178" i="5"/>
  <c r="X178" i="5"/>
  <c r="S210" i="5"/>
  <c r="T210" i="5"/>
  <c r="S242" i="5"/>
  <c r="T242" i="5"/>
  <c r="U274" i="5"/>
  <c r="U290" i="5"/>
  <c r="S290" i="5"/>
  <c r="X290" i="5"/>
  <c r="S53" i="5"/>
  <c r="X53" i="5"/>
  <c r="T53" i="5"/>
  <c r="T85" i="5"/>
  <c r="S85" i="5"/>
  <c r="U85" i="5"/>
  <c r="T117" i="5"/>
  <c r="U117" i="5"/>
  <c r="T197" i="5"/>
  <c r="S197" i="5"/>
  <c r="U197" i="5"/>
  <c r="T213" i="5"/>
  <c r="S229" i="5"/>
  <c r="U245" i="5"/>
  <c r="T245" i="5"/>
  <c r="S293" i="5"/>
  <c r="X23" i="5"/>
  <c r="T23" i="5"/>
  <c r="X87" i="5"/>
  <c r="T87" i="5"/>
  <c r="U135" i="5"/>
  <c r="S135" i="5"/>
  <c r="S167" i="5"/>
  <c r="S183" i="5"/>
  <c r="U183" i="5"/>
  <c r="S215" i="5"/>
  <c r="X215" i="5"/>
  <c r="U311" i="5"/>
  <c r="S311" i="5"/>
  <c r="U53" i="5"/>
  <c r="U119" i="5"/>
  <c r="T226" i="5"/>
  <c r="T215" i="5"/>
  <c r="S56" i="5"/>
  <c r="T34" i="5"/>
  <c r="U168" i="5"/>
  <c r="U200" i="5"/>
  <c r="T293" i="5"/>
  <c r="T229" i="5"/>
  <c r="T136" i="5"/>
  <c r="U296" i="5"/>
  <c r="S151" i="5"/>
  <c r="T40" i="5"/>
  <c r="S84" i="5"/>
  <c r="U248" i="5"/>
  <c r="U46" i="5"/>
  <c r="T71" i="5"/>
  <c r="S162" i="5"/>
  <c r="U51" i="5"/>
  <c r="X130" i="5"/>
  <c r="S168" i="5"/>
  <c r="T78" i="5"/>
  <c r="U146" i="5"/>
  <c r="T290" i="5"/>
  <c r="U195" i="5"/>
  <c r="T309" i="5"/>
  <c r="S136" i="5"/>
  <c r="T296" i="5"/>
  <c r="T113" i="5"/>
  <c r="S113" i="5"/>
  <c r="X83" i="5"/>
  <c r="U261" i="5"/>
  <c r="T88" i="5"/>
  <c r="U88" i="5"/>
  <c r="S120" i="5"/>
  <c r="U120" i="5"/>
  <c r="T152" i="5"/>
  <c r="S152" i="5"/>
  <c r="U152" i="5"/>
  <c r="U216" i="5"/>
  <c r="T216" i="5"/>
  <c r="S50" i="5"/>
  <c r="T50" i="5"/>
  <c r="U98" i="5"/>
  <c r="T98" i="5"/>
  <c r="S114" i="5"/>
  <c r="X114" i="5"/>
  <c r="T114" i="5"/>
  <c r="U194" i="5"/>
  <c r="S226" i="5"/>
  <c r="S258" i="5"/>
  <c r="U258" i="5"/>
  <c r="T310" i="5"/>
  <c r="U310" i="5"/>
  <c r="S37" i="5"/>
  <c r="T37" i="5"/>
  <c r="U69" i="5"/>
  <c r="T69" i="5"/>
  <c r="S101" i="5"/>
  <c r="U101" i="5"/>
  <c r="T133" i="5"/>
  <c r="U149" i="5"/>
  <c r="S149" i="5"/>
  <c r="T181" i="5"/>
  <c r="U181" i="5"/>
  <c r="S39" i="5"/>
  <c r="S55" i="5"/>
  <c r="T55" i="5"/>
  <c r="T231" i="5"/>
  <c r="X247" i="5"/>
  <c r="U247" i="5"/>
  <c r="S279" i="5"/>
  <c r="X279" i="5"/>
  <c r="S295" i="5"/>
  <c r="U295" i="5"/>
  <c r="S117" i="5"/>
  <c r="U55" i="5"/>
  <c r="U23" i="5"/>
  <c r="S40" i="5"/>
  <c r="T199" i="5"/>
  <c r="S103" i="5"/>
  <c r="S66" i="5"/>
  <c r="S231" i="5"/>
  <c r="S245" i="5"/>
  <c r="U130" i="5"/>
  <c r="U210" i="5"/>
  <c r="T274" i="5"/>
  <c r="S309" i="5"/>
  <c r="T261" i="5"/>
  <c r="T277" i="5"/>
  <c r="U280" i="5"/>
  <c r="S88" i="5"/>
  <c r="T165" i="5"/>
  <c r="T178" i="5"/>
  <c r="T36" i="5"/>
  <c r="U132" i="5"/>
  <c r="S132" i="5"/>
  <c r="U148" i="5"/>
  <c r="T148" i="5"/>
  <c r="U196" i="5"/>
  <c r="T212" i="5"/>
  <c r="U228" i="5"/>
  <c r="U260" i="5"/>
  <c r="S260" i="5"/>
  <c r="T62" i="5"/>
  <c r="T110" i="5"/>
  <c r="T174" i="5"/>
  <c r="U174" i="5"/>
  <c r="X270" i="5"/>
  <c r="T270" i="5"/>
  <c r="U33" i="5"/>
  <c r="S33" i="5"/>
  <c r="X65" i="5"/>
  <c r="S65" i="5"/>
  <c r="U65" i="5"/>
  <c r="U81" i="5"/>
  <c r="T81" i="5"/>
  <c r="S81" i="5"/>
  <c r="S97" i="5"/>
  <c r="U97" i="5"/>
  <c r="T129" i="5"/>
  <c r="U145" i="5"/>
  <c r="S161" i="5"/>
  <c r="U161" i="5"/>
  <c r="T161" i="5"/>
  <c r="U177" i="5"/>
  <c r="S177" i="5"/>
  <c r="X193" i="5"/>
  <c r="T193" i="5"/>
  <c r="S193" i="5"/>
  <c r="T209" i="5"/>
  <c r="S209" i="5"/>
  <c r="X225" i="5"/>
  <c r="T225" i="5"/>
  <c r="S225" i="5"/>
  <c r="U241" i="5"/>
  <c r="T257" i="5"/>
  <c r="S257" i="5"/>
  <c r="T273" i="5"/>
  <c r="U273" i="5"/>
  <c r="S273" i="5"/>
  <c r="X273" i="5"/>
  <c r="X289" i="5"/>
  <c r="S289" i="5"/>
  <c r="T289" i="5"/>
  <c r="U305" i="5"/>
  <c r="T305" i="5"/>
  <c r="S305" i="5"/>
  <c r="J8" i="1"/>
  <c r="P12" i="5" s="1"/>
  <c r="I8" i="1" s="1"/>
  <c r="Q12" i="5"/>
  <c r="U12" i="5" s="1"/>
  <c r="J14" i="1"/>
  <c r="P18" i="5" s="1"/>
  <c r="I14" i="1" s="1"/>
  <c r="Q18" i="5"/>
  <c r="U18" i="5" s="1"/>
  <c r="T31" i="5"/>
  <c r="U31" i="5"/>
  <c r="S31" i="5"/>
  <c r="S67" i="5"/>
  <c r="U67" i="5"/>
  <c r="S99" i="5"/>
  <c r="X99" i="5"/>
  <c r="T115" i="5"/>
  <c r="U115" i="5"/>
  <c r="U131" i="5"/>
  <c r="S131" i="5"/>
  <c r="T147" i="5"/>
  <c r="U147" i="5"/>
  <c r="X147" i="5"/>
  <c r="S179" i="5"/>
  <c r="T211" i="5"/>
  <c r="S211" i="5"/>
  <c r="X227" i="5"/>
  <c r="U227" i="5"/>
  <c r="S227" i="5"/>
  <c r="T227" i="5"/>
  <c r="S259" i="5"/>
  <c r="T259" i="5"/>
  <c r="U291" i="5"/>
  <c r="X307" i="5"/>
  <c r="U307" i="5"/>
  <c r="U60" i="5"/>
  <c r="S60" i="5"/>
  <c r="X108" i="5"/>
  <c r="U108" i="5"/>
  <c r="T156" i="5"/>
  <c r="S156" i="5"/>
  <c r="S236" i="5"/>
  <c r="T236" i="5"/>
  <c r="S284" i="5"/>
  <c r="U284" i="5"/>
  <c r="U300" i="5"/>
  <c r="S150" i="5"/>
  <c r="U230" i="5"/>
  <c r="T230" i="5"/>
  <c r="T278" i="5"/>
  <c r="S16" i="5"/>
  <c r="U16" i="5"/>
  <c r="T16" i="5"/>
  <c r="T24" i="5"/>
  <c r="U73" i="5"/>
  <c r="S73" i="5"/>
  <c r="S89" i="5"/>
  <c r="U89" i="5"/>
  <c r="X137" i="5"/>
  <c r="S137" i="5"/>
  <c r="S185" i="5"/>
  <c r="U201" i="5"/>
  <c r="X201" i="5"/>
  <c r="S201" i="5"/>
  <c r="U265" i="5"/>
  <c r="U26" i="5"/>
  <c r="T26" i="5"/>
  <c r="T123" i="5"/>
  <c r="S123" i="5"/>
  <c r="U171" i="5"/>
  <c r="X187" i="5"/>
  <c r="U187" i="5"/>
  <c r="S203" i="5"/>
  <c r="T203" i="5"/>
  <c r="T251" i="5"/>
  <c r="U251" i="5"/>
  <c r="S251" i="5"/>
  <c r="S59" i="5"/>
  <c r="S204" i="5"/>
  <c r="T172" i="5"/>
  <c r="U75" i="5"/>
  <c r="U278" i="5"/>
  <c r="S214" i="5"/>
  <c r="U107" i="5"/>
  <c r="T57" i="5"/>
  <c r="U28" i="5"/>
  <c r="S187" i="5"/>
  <c r="T91" i="5"/>
  <c r="U44" i="5"/>
  <c r="U86" i="5"/>
  <c r="S294" i="5"/>
  <c r="T283" i="5"/>
  <c r="S54" i="5"/>
  <c r="T281" i="5"/>
  <c r="S267" i="5"/>
  <c r="S44" i="5"/>
  <c r="T185" i="5"/>
  <c r="U38" i="5"/>
  <c r="U70" i="5"/>
  <c r="T246" i="5"/>
  <c r="S235" i="5"/>
  <c r="U13" i="5"/>
  <c r="S155" i="5"/>
  <c r="S171" i="5"/>
  <c r="S252" i="5"/>
  <c r="X124" i="5"/>
  <c r="S217" i="5"/>
  <c r="U249" i="5"/>
  <c r="U123" i="5"/>
  <c r="X284" i="5"/>
  <c r="U43" i="5"/>
  <c r="S265" i="5"/>
  <c r="T299" i="5"/>
  <c r="U297" i="5"/>
  <c r="V53" i="6"/>
  <c r="AA56" i="7" s="1"/>
  <c r="AL56" i="7" s="1"/>
  <c r="Y56" i="7"/>
  <c r="AJ53" i="7"/>
  <c r="AK53" i="7"/>
  <c r="AH53" i="7"/>
  <c r="AI53" i="7" s="1"/>
  <c r="V62" i="6"/>
  <c r="AA65" i="7" s="1"/>
  <c r="AL65" i="7" s="1"/>
  <c r="Y65" i="7"/>
  <c r="V73" i="6"/>
  <c r="AA76" i="7" s="1"/>
  <c r="AL76" i="7" s="1"/>
  <c r="Y76" i="7"/>
  <c r="V60" i="6"/>
  <c r="AA63" i="7" s="1"/>
  <c r="AL63" i="7" s="1"/>
  <c r="Y63" i="7"/>
  <c r="S79" i="6"/>
  <c r="X82" i="7" s="1"/>
  <c r="V82" i="7"/>
  <c r="BF63" i="7"/>
  <c r="AE60" i="6" s="1"/>
  <c r="BK63" i="7"/>
  <c r="BO63" i="7"/>
  <c r="BP63" i="7" s="1"/>
  <c r="BE63" i="7"/>
  <c r="AD60" i="6" s="1"/>
  <c r="BM63" i="7"/>
  <c r="AI60" i="6" s="1"/>
  <c r="BG63" i="7"/>
  <c r="AF60" i="6" s="1"/>
  <c r="BN63" i="7"/>
  <c r="BL63" i="7"/>
  <c r="AH60" i="6" s="1"/>
  <c r="S85" i="6"/>
  <c r="X88" i="7" s="1"/>
  <c r="V88" i="7"/>
  <c r="V103" i="6"/>
  <c r="AA106" i="7" s="1"/>
  <c r="AL106" i="7" s="1"/>
  <c r="Y106" i="7"/>
  <c r="AJ85" i="7"/>
  <c r="AK85" i="7"/>
  <c r="AJ143" i="7"/>
  <c r="AK143" i="7"/>
  <c r="AH143" i="7"/>
  <c r="AI143" i="7" s="1"/>
  <c r="V148" i="6"/>
  <c r="AA151" i="7" s="1"/>
  <c r="AL151" i="7" s="1"/>
  <c r="Y151" i="7"/>
  <c r="V164" i="6"/>
  <c r="AA167" i="7" s="1"/>
  <c r="AL167" i="7" s="1"/>
  <c r="Y167" i="7"/>
  <c r="V190" i="6"/>
  <c r="AA193" i="7" s="1"/>
  <c r="AL193" i="7" s="1"/>
  <c r="Y193" i="7"/>
  <c r="AJ209" i="7"/>
  <c r="AK209" i="7"/>
  <c r="AH209" i="7"/>
  <c r="AI209" i="7" s="1"/>
  <c r="AJ225" i="7"/>
  <c r="AK225" i="7"/>
  <c r="AH225" i="7"/>
  <c r="AI225" i="7" s="1"/>
  <c r="S235" i="6"/>
  <c r="X238" i="7" s="1"/>
  <c r="V238" i="7"/>
  <c r="AJ165" i="7"/>
  <c r="AK165" i="7"/>
  <c r="R165" i="7"/>
  <c r="AH165" i="7"/>
  <c r="AI165" i="7" s="1"/>
  <c r="AK121" i="7"/>
  <c r="AJ121" i="7"/>
  <c r="AH121" i="7"/>
  <c r="AI121" i="7" s="1"/>
  <c r="V156" i="6"/>
  <c r="AA159" i="7" s="1"/>
  <c r="AL159" i="7" s="1"/>
  <c r="Y159" i="7"/>
  <c r="S207" i="6"/>
  <c r="X210" i="7" s="1"/>
  <c r="V210" i="7"/>
  <c r="S215" i="6"/>
  <c r="X218" i="7" s="1"/>
  <c r="V218" i="7"/>
  <c r="BL268" i="7"/>
  <c r="BG268" i="7"/>
  <c r="BO268" i="7"/>
  <c r="BP268" i="7" s="1"/>
  <c r="BN268" i="7"/>
  <c r="BF268" i="7"/>
  <c r="BK268" i="7"/>
  <c r="BE268" i="7"/>
  <c r="BM268" i="7"/>
  <c r="S196" i="5"/>
  <c r="S126" i="5"/>
  <c r="T228" i="5"/>
  <c r="S61" i="5"/>
  <c r="T244" i="5"/>
  <c r="T84" i="5"/>
  <c r="U222" i="5"/>
  <c r="T196" i="5"/>
  <c r="T135" i="5"/>
  <c r="T103" i="5"/>
  <c r="S87" i="5"/>
  <c r="S119" i="5"/>
  <c r="T141" i="5"/>
  <c r="U68" i="5"/>
  <c r="T132" i="5"/>
  <c r="S306" i="5"/>
  <c r="U156" i="5"/>
  <c r="T268" i="5"/>
  <c r="J10" i="1"/>
  <c r="P14" i="5" s="1"/>
  <c r="I10" i="1" s="1"/>
  <c r="U92" i="5"/>
  <c r="U84" i="5"/>
  <c r="S263" i="5"/>
  <c r="T183" i="5"/>
  <c r="U100" i="5"/>
  <c r="T260" i="5"/>
  <c r="U39" i="5"/>
  <c r="U215" i="5"/>
  <c r="U205" i="5"/>
  <c r="T164" i="5"/>
  <c r="S38" i="5"/>
  <c r="S30" i="5"/>
  <c r="S70" i="5"/>
  <c r="U110" i="5"/>
  <c r="S134" i="5"/>
  <c r="U150" i="5"/>
  <c r="S174" i="5"/>
  <c r="T238" i="5"/>
  <c r="S246" i="5"/>
  <c r="S254" i="5"/>
  <c r="T125" i="5"/>
  <c r="U109" i="5"/>
  <c r="S94" i="5"/>
  <c r="T76" i="5"/>
  <c r="S206" i="5"/>
  <c r="U309" i="5"/>
  <c r="U221" i="5"/>
  <c r="T284" i="5"/>
  <c r="U293" i="5"/>
  <c r="X220" i="5"/>
  <c r="X117" i="5"/>
  <c r="U93" i="5"/>
  <c r="T188" i="5"/>
  <c r="U212" i="5"/>
  <c r="T220" i="5"/>
  <c r="T300" i="5"/>
  <c r="T116" i="5"/>
  <c r="T221" i="5"/>
  <c r="T45" i="5"/>
  <c r="T149" i="5"/>
  <c r="U277" i="5"/>
  <c r="S181" i="5"/>
  <c r="U151" i="5"/>
  <c r="U276" i="5"/>
  <c r="X116" i="5"/>
  <c r="U124" i="5"/>
  <c r="T276" i="5"/>
  <c r="U165" i="5"/>
  <c r="U237" i="5"/>
  <c r="S301" i="5"/>
  <c r="T308" i="5"/>
  <c r="U37" i="5"/>
  <c r="U182" i="5"/>
  <c r="S213" i="5"/>
  <c r="U279" i="5"/>
  <c r="X46" i="5"/>
  <c r="X111" i="5"/>
  <c r="S20" i="5"/>
  <c r="S270" i="5"/>
  <c r="S53" i="6"/>
  <c r="X56" i="7" s="1"/>
  <c r="V56" i="7"/>
  <c r="S61" i="6"/>
  <c r="X64" i="7" s="1"/>
  <c r="V64" i="7"/>
  <c r="S52" i="6"/>
  <c r="X55" i="7" s="1"/>
  <c r="V55" i="7"/>
  <c r="V57" i="6"/>
  <c r="AA60" i="7" s="1"/>
  <c r="AL60" i="7" s="1"/>
  <c r="Y60" i="7"/>
  <c r="V45" i="6"/>
  <c r="AA48" i="7" s="1"/>
  <c r="AL48" i="7" s="1"/>
  <c r="Y48" i="7"/>
  <c r="S50" i="6"/>
  <c r="X53" i="7" s="1"/>
  <c r="V53" i="7"/>
  <c r="BO65" i="7"/>
  <c r="BP65" i="7" s="1"/>
  <c r="BF65" i="7"/>
  <c r="AE62" i="6" s="1"/>
  <c r="BM65" i="7"/>
  <c r="AI62" i="6" s="1"/>
  <c r="BE65" i="7"/>
  <c r="AD62" i="6" s="1"/>
  <c r="BG65" i="7"/>
  <c r="AF62" i="6" s="1"/>
  <c r="BL65" i="7"/>
  <c r="AH62" i="6" s="1"/>
  <c r="BN65" i="7"/>
  <c r="BK65" i="7"/>
  <c r="S73" i="6"/>
  <c r="X76" i="7" s="1"/>
  <c r="V76" i="7"/>
  <c r="BO43" i="7"/>
  <c r="BP43" i="7" s="1"/>
  <c r="BM43" i="7"/>
  <c r="AI40" i="6" s="1"/>
  <c r="BE43" i="7"/>
  <c r="AD40" i="6" s="1"/>
  <c r="BK43" i="7"/>
  <c r="BN43" i="7"/>
  <c r="BL43" i="7"/>
  <c r="AH40" i="6" s="1"/>
  <c r="BF43" i="7"/>
  <c r="AE40" i="6" s="1"/>
  <c r="BG43" i="7"/>
  <c r="AF40" i="6" s="1"/>
  <c r="V54" i="6"/>
  <c r="AA57" i="7" s="1"/>
  <c r="AL57" i="7" s="1"/>
  <c r="Y57" i="7"/>
  <c r="V56" i="6"/>
  <c r="AA59" i="7" s="1"/>
  <c r="AL59" i="7" s="1"/>
  <c r="Y59" i="7"/>
  <c r="AJ73" i="7"/>
  <c r="AK73" i="7"/>
  <c r="AH73" i="7"/>
  <c r="AI73" i="7" s="1"/>
  <c r="V79" i="6"/>
  <c r="AA82" i="7" s="1"/>
  <c r="AL82" i="7" s="1"/>
  <c r="Y82" i="7"/>
  <c r="AJ61" i="7"/>
  <c r="AK61" i="7"/>
  <c r="AH61" i="7"/>
  <c r="AI61" i="7" s="1"/>
  <c r="R61" i="7"/>
  <c r="S60" i="6"/>
  <c r="X63" i="7" s="1"/>
  <c r="AO63" i="7" s="1"/>
  <c r="AQ63" i="7" s="1"/>
  <c r="V63" i="7"/>
  <c r="S63" i="6"/>
  <c r="X66" i="7" s="1"/>
  <c r="V66" i="7"/>
  <c r="BG71" i="7"/>
  <c r="AF68" i="6" s="1"/>
  <c r="BO71" i="7"/>
  <c r="BP71" i="7" s="1"/>
  <c r="BN71" i="7"/>
  <c r="BL71" i="7"/>
  <c r="AH68" i="6" s="1"/>
  <c r="BF71" i="7"/>
  <c r="AE68" i="6" s="1"/>
  <c r="BK71" i="7"/>
  <c r="BE71" i="7"/>
  <c r="AD68" i="6" s="1"/>
  <c r="BM71" i="7"/>
  <c r="AI68" i="6" s="1"/>
  <c r="S84" i="6"/>
  <c r="X87" i="7" s="1"/>
  <c r="V87" i="7"/>
  <c r="V88" i="6"/>
  <c r="AA91" i="7" s="1"/>
  <c r="AL91" i="7" s="1"/>
  <c r="Y91" i="7"/>
  <c r="AJ74" i="7"/>
  <c r="AK74" i="7"/>
  <c r="BN84" i="7"/>
  <c r="BO84" i="7"/>
  <c r="BP84" i="7" s="1"/>
  <c r="BM84" i="7"/>
  <c r="AI81" i="6" s="1"/>
  <c r="BF84" i="7"/>
  <c r="AE81" i="6" s="1"/>
  <c r="BL84" i="7"/>
  <c r="AH81" i="6" s="1"/>
  <c r="BG84" i="7"/>
  <c r="AF81" i="6" s="1"/>
  <c r="BK84" i="7"/>
  <c r="BE84" i="7"/>
  <c r="AD81" i="6" s="1"/>
  <c r="AJ97" i="7"/>
  <c r="AK97" i="7"/>
  <c r="AJ101" i="7"/>
  <c r="AK101" i="7"/>
  <c r="AH101" i="7"/>
  <c r="AI101" i="7" s="1"/>
  <c r="AJ113" i="7"/>
  <c r="AK113" i="7"/>
  <c r="AH113" i="7"/>
  <c r="AI113" i="7" s="1"/>
  <c r="R113" i="7"/>
  <c r="S91" i="6"/>
  <c r="X94" i="7" s="1"/>
  <c r="V94" i="7"/>
  <c r="V95" i="6"/>
  <c r="AA98" i="7" s="1"/>
  <c r="AL98" i="7" s="1"/>
  <c r="Y98" i="7"/>
  <c r="S103" i="6"/>
  <c r="X106" i="7" s="1"/>
  <c r="V106" i="7"/>
  <c r="AK114" i="7"/>
  <c r="AJ114" i="7"/>
  <c r="R114" i="7"/>
  <c r="AH114" i="7"/>
  <c r="AI114" i="7" s="1"/>
  <c r="AJ147" i="7"/>
  <c r="AK147" i="7"/>
  <c r="AH147" i="7"/>
  <c r="AI147" i="7" s="1"/>
  <c r="S123" i="6"/>
  <c r="X126" i="7" s="1"/>
  <c r="V126" i="7"/>
  <c r="S144" i="6"/>
  <c r="X147" i="7" s="1"/>
  <c r="V147" i="7"/>
  <c r="BO116" i="7"/>
  <c r="BP116" i="7" s="1"/>
  <c r="BL116" i="7"/>
  <c r="BG116" i="7"/>
  <c r="BE116" i="7"/>
  <c r="BF116" i="7"/>
  <c r="BK116" i="7"/>
  <c r="BN116" i="7"/>
  <c r="BM116" i="7"/>
  <c r="S119" i="6"/>
  <c r="X122" i="7" s="1"/>
  <c r="V122" i="7"/>
  <c r="BO127" i="7"/>
  <c r="BP127" i="7" s="1"/>
  <c r="BL127" i="7"/>
  <c r="BK127" i="7"/>
  <c r="BF127" i="7"/>
  <c r="BM127" i="7"/>
  <c r="BN127" i="7"/>
  <c r="BG127" i="7"/>
  <c r="BE127" i="7"/>
  <c r="V142" i="6"/>
  <c r="AA145" i="7" s="1"/>
  <c r="AL145" i="7" s="1"/>
  <c r="Y145" i="7"/>
  <c r="BO134" i="7"/>
  <c r="BP134" i="7" s="1"/>
  <c r="BL134" i="7"/>
  <c r="BK134" i="7"/>
  <c r="BM134" i="7"/>
  <c r="BN134" i="7"/>
  <c r="BE134" i="7"/>
  <c r="BG134" i="7"/>
  <c r="BF134" i="7"/>
  <c r="S136" i="6"/>
  <c r="X139" i="7" s="1"/>
  <c r="V139" i="7"/>
  <c r="S140" i="6"/>
  <c r="X143" i="7" s="1"/>
  <c r="V143" i="7"/>
  <c r="AJ167" i="7"/>
  <c r="AK167" i="7"/>
  <c r="AH167" i="7"/>
  <c r="AI167" i="7" s="1"/>
  <c r="S148" i="6"/>
  <c r="X151" i="7" s="1"/>
  <c r="V151" i="7"/>
  <c r="S164" i="6"/>
  <c r="X167" i="7" s="1"/>
  <c r="V167" i="7"/>
  <c r="AJ181" i="7"/>
  <c r="AK181" i="7"/>
  <c r="AH181" i="7"/>
  <c r="AI181" i="7" s="1"/>
  <c r="V178" i="6"/>
  <c r="AA181" i="7" s="1"/>
  <c r="AL181" i="7" s="1"/>
  <c r="Y181" i="7"/>
  <c r="S190" i="6"/>
  <c r="X193" i="7" s="1"/>
  <c r="V193" i="7"/>
  <c r="AJ203" i="7"/>
  <c r="AK203" i="7"/>
  <c r="S202" i="6"/>
  <c r="X205" i="7" s="1"/>
  <c r="V205" i="7"/>
  <c r="V204" i="6"/>
  <c r="AA207" i="7" s="1"/>
  <c r="AL207" i="7" s="1"/>
  <c r="Y207" i="7"/>
  <c r="AJ211" i="7"/>
  <c r="AK211" i="7"/>
  <c r="R211" i="7"/>
  <c r="AH211" i="7"/>
  <c r="AI211" i="7" s="1"/>
  <c r="S210" i="6"/>
  <c r="X213" i="7" s="1"/>
  <c r="V213" i="7"/>
  <c r="S218" i="6"/>
  <c r="X221" i="7" s="1"/>
  <c r="V221" i="7"/>
  <c r="V220" i="6"/>
  <c r="AA223" i="7" s="1"/>
  <c r="AL223" i="7" s="1"/>
  <c r="Y223" i="7"/>
  <c r="AJ227" i="7"/>
  <c r="AK227" i="7"/>
  <c r="S233" i="6"/>
  <c r="X236" i="7" s="1"/>
  <c r="AO236" i="7" s="1"/>
  <c r="V236" i="7"/>
  <c r="S162" i="6"/>
  <c r="X165" i="7" s="1"/>
  <c r="V165" i="7"/>
  <c r="V179" i="6"/>
  <c r="AA182" i="7" s="1"/>
  <c r="AL182" i="7" s="1"/>
  <c r="Y182" i="7"/>
  <c r="V196" i="6"/>
  <c r="AA199" i="7" s="1"/>
  <c r="AL199" i="7" s="1"/>
  <c r="Y199" i="7"/>
  <c r="S118" i="6"/>
  <c r="X121" i="7" s="1"/>
  <c r="V121" i="7"/>
  <c r="BN121" i="7"/>
  <c r="BG121" i="7"/>
  <c r="BE121" i="7"/>
  <c r="BM121" i="7"/>
  <c r="BF121" i="7"/>
  <c r="BO121" i="7"/>
  <c r="BP121" i="7" s="1"/>
  <c r="BL121" i="7"/>
  <c r="BK121" i="7"/>
  <c r="AJ141" i="7"/>
  <c r="AK141" i="7"/>
  <c r="AH141" i="7"/>
  <c r="AI141" i="7" s="1"/>
  <c r="V173" i="6"/>
  <c r="AA176" i="7" s="1"/>
  <c r="AL176" i="7" s="1"/>
  <c r="Y176" i="7"/>
  <c r="V186" i="6"/>
  <c r="AA189" i="7" s="1"/>
  <c r="AL189" i="7" s="1"/>
  <c r="Y189" i="7"/>
  <c r="BM190" i="7"/>
  <c r="BK190" i="7"/>
  <c r="BO190" i="7"/>
  <c r="BP190" i="7" s="1"/>
  <c r="BF190" i="7"/>
  <c r="BN190" i="7"/>
  <c r="BG190" i="7"/>
  <c r="BE190" i="7"/>
  <c r="BL190" i="7"/>
  <c r="S156" i="6"/>
  <c r="X159" i="7" s="1"/>
  <c r="V159" i="7"/>
  <c r="AK210" i="7"/>
  <c r="AJ210" i="7"/>
  <c r="AH210" i="7"/>
  <c r="AI210" i="7" s="1"/>
  <c r="AJ250" i="7"/>
  <c r="AK250" i="7"/>
  <c r="AH250" i="7"/>
  <c r="AI250" i="7" s="1"/>
  <c r="AJ258" i="7"/>
  <c r="AK258" i="7"/>
  <c r="AJ270" i="7"/>
  <c r="AK270" i="7"/>
  <c r="S280" i="6"/>
  <c r="X283" i="7" s="1"/>
  <c r="V283" i="7"/>
  <c r="S236" i="6"/>
  <c r="X239" i="7" s="1"/>
  <c r="AO239" i="7" s="1"/>
  <c r="V239" i="7"/>
  <c r="V250" i="6"/>
  <c r="AA253" i="7" s="1"/>
  <c r="AL253" i="7" s="1"/>
  <c r="Y253" i="7"/>
  <c r="V258" i="6"/>
  <c r="AA261" i="7" s="1"/>
  <c r="AL261" i="7" s="1"/>
  <c r="Y261" i="7"/>
  <c r="V272" i="6"/>
  <c r="AA275" i="7" s="1"/>
  <c r="AL275" i="7" s="1"/>
  <c r="Y275" i="7"/>
  <c r="S213" i="6"/>
  <c r="X216" i="7" s="1"/>
  <c r="V216" i="7"/>
  <c r="V230" i="6"/>
  <c r="AA233" i="7" s="1"/>
  <c r="AL233" i="7" s="1"/>
  <c r="Y233" i="7"/>
  <c r="BG283" i="7"/>
  <c r="BK283" i="7"/>
  <c r="BM283" i="7"/>
  <c r="BL283" i="7"/>
  <c r="BF283" i="7"/>
  <c r="BE283" i="7"/>
  <c r="BN283" i="7"/>
  <c r="BO283" i="7"/>
  <c r="BP283" i="7" s="1"/>
  <c r="U58" i="5"/>
  <c r="T74" i="5"/>
  <c r="T90" i="5"/>
  <c r="S90" i="5"/>
  <c r="T106" i="5"/>
  <c r="S138" i="5"/>
  <c r="S240" i="6"/>
  <c r="X243" i="7" s="1"/>
  <c r="V243" i="7"/>
  <c r="AJ168" i="7"/>
  <c r="AK168" i="7"/>
  <c r="R168" i="7"/>
  <c r="AH168" i="7"/>
  <c r="AI168" i="7" s="1"/>
  <c r="BF303" i="7"/>
  <c r="BM303" i="7"/>
  <c r="BE303" i="7"/>
  <c r="BN303" i="7"/>
  <c r="BG303" i="7"/>
  <c r="BL303" i="7"/>
  <c r="BK303" i="7"/>
  <c r="BO303" i="7"/>
  <c r="BP303" i="7" s="1"/>
  <c r="S304" i="6"/>
  <c r="X307" i="7" s="1"/>
  <c r="V307" i="7"/>
  <c r="S28" i="6"/>
  <c r="X31" i="7" s="1"/>
  <c r="V31" i="7"/>
  <c r="S277" i="6"/>
  <c r="X280" i="7" s="1"/>
  <c r="AO280" i="7" s="1"/>
  <c r="AQ280" i="7" s="1"/>
  <c r="V280" i="7"/>
  <c r="V25" i="6"/>
  <c r="AA28" i="7" s="1"/>
  <c r="AL28" i="7" s="1"/>
  <c r="Y28" i="7"/>
  <c r="S184" i="6"/>
  <c r="X187" i="7" s="1"/>
  <c r="V187" i="7"/>
  <c r="AJ303" i="7"/>
  <c r="AK303" i="7"/>
  <c r="AH303" i="7"/>
  <c r="AI303" i="7" s="1"/>
  <c r="S310" i="6"/>
  <c r="X313" i="7" s="1"/>
  <c r="AO313" i="7" s="1"/>
  <c r="V313" i="7"/>
  <c r="BE66" i="5"/>
  <c r="BF66" i="5" s="1"/>
  <c r="BG66" i="5" s="1"/>
  <c r="AS66" i="5"/>
  <c r="AT66" i="5" s="1"/>
  <c r="AU66" i="5" s="1"/>
  <c r="AC66" i="5" s="1"/>
  <c r="X66" i="5" s="1"/>
  <c r="BG56" i="5"/>
  <c r="AG65" i="5"/>
  <c r="AI65" i="5" s="1"/>
  <c r="AJ65" i="5" s="1"/>
  <c r="AE65" i="5"/>
  <c r="AF65" i="5"/>
  <c r="AD114" i="5"/>
  <c r="AG114" i="5"/>
  <c r="AI114" i="5" s="1"/>
  <c r="AJ114" i="5" s="1"/>
  <c r="AF114" i="5"/>
  <c r="AE114" i="5"/>
  <c r="BG146" i="5"/>
  <c r="AD171" i="5"/>
  <c r="AD193" i="5"/>
  <c r="AF193" i="5"/>
  <c r="AG193" i="5"/>
  <c r="AI193" i="5" s="1"/>
  <c r="AJ193" i="5" s="1"/>
  <c r="AE193" i="5"/>
  <c r="BG257" i="5"/>
  <c r="AS254" i="5"/>
  <c r="AT254" i="5" s="1"/>
  <c r="AU254" i="5" s="1"/>
  <c r="AC254" i="5" s="1"/>
  <c r="X254" i="5" s="1"/>
  <c r="BE254" i="5"/>
  <c r="BF254" i="5" s="1"/>
  <c r="BG254" i="5" s="1"/>
  <c r="BE266" i="5"/>
  <c r="BF266" i="5" s="1"/>
  <c r="BG266" i="5" s="1"/>
  <c r="AS266" i="5"/>
  <c r="AT266" i="5" s="1"/>
  <c r="AU266" i="5" s="1"/>
  <c r="AC266" i="5" s="1"/>
  <c r="BE288" i="5"/>
  <c r="BF288" i="5" s="1"/>
  <c r="BG288" i="5" s="1"/>
  <c r="AS288" i="5"/>
  <c r="AT288" i="5" s="1"/>
  <c r="AU288" i="5" s="1"/>
  <c r="AC288" i="5" s="1"/>
  <c r="BE192" i="5"/>
  <c r="BF192" i="5" s="1"/>
  <c r="BG192" i="5" s="1"/>
  <c r="AS192" i="5"/>
  <c r="AT192" i="5" s="1"/>
  <c r="AU192" i="5" s="1"/>
  <c r="AC192" i="5" s="1"/>
  <c r="BE286" i="5"/>
  <c r="BF286" i="5" s="1"/>
  <c r="BG286" i="5" s="1"/>
  <c r="AS286" i="5"/>
  <c r="AT286" i="5" s="1"/>
  <c r="AU286" i="5" s="1"/>
  <c r="AC286" i="5" s="1"/>
  <c r="AS47" i="5"/>
  <c r="AT47" i="5" s="1"/>
  <c r="AU47" i="5" s="1"/>
  <c r="AC47" i="5" s="1"/>
  <c r="X47" i="5" s="1"/>
  <c r="BE47" i="5"/>
  <c r="BF47" i="5" s="1"/>
  <c r="BG47" i="5" s="1"/>
  <c r="BD28" i="7"/>
  <c r="BC28" i="7"/>
  <c r="BB28" i="7"/>
  <c r="BJ28" i="7"/>
  <c r="AF101" i="5"/>
  <c r="AE101" i="5"/>
  <c r="AG101" i="5"/>
  <c r="AI101" i="5" s="1"/>
  <c r="AJ101" i="5" s="1"/>
  <c r="AD101" i="5"/>
  <c r="U14" i="5"/>
  <c r="S14" i="5"/>
  <c r="V61" i="6"/>
  <c r="AA64" i="7" s="1"/>
  <c r="AL64" i="7" s="1"/>
  <c r="Y64" i="7"/>
  <c r="V42" i="6"/>
  <c r="AA45" i="7" s="1"/>
  <c r="AL45" i="7" s="1"/>
  <c r="Y45" i="7"/>
  <c r="BK48" i="7"/>
  <c r="BL48" i="7"/>
  <c r="AH45" i="6" s="1"/>
  <c r="BM48" i="7"/>
  <c r="AI45" i="6" s="1"/>
  <c r="BE48" i="7"/>
  <c r="AD45" i="6" s="1"/>
  <c r="BO48" i="7"/>
  <c r="BP48" i="7" s="1"/>
  <c r="BF48" i="7"/>
  <c r="AE45" i="6" s="1"/>
  <c r="BG48" i="7"/>
  <c r="AF45" i="6" s="1"/>
  <c r="BN48" i="7"/>
  <c r="V58" i="6"/>
  <c r="AA61" i="7" s="1"/>
  <c r="AL61" i="7" s="1"/>
  <c r="Y61" i="7"/>
  <c r="AK93" i="7"/>
  <c r="AJ93" i="7"/>
  <c r="S93" i="6"/>
  <c r="X96" i="7" s="1"/>
  <c r="V96" i="7"/>
  <c r="S174" i="6"/>
  <c r="X177" i="7" s="1"/>
  <c r="V177" i="7"/>
  <c r="V202" i="6"/>
  <c r="AA205" i="7" s="1"/>
  <c r="AL205" i="7" s="1"/>
  <c r="Y205" i="7"/>
  <c r="AJ217" i="7"/>
  <c r="AK217" i="7"/>
  <c r="V218" i="6"/>
  <c r="AA221" i="7" s="1"/>
  <c r="AL221" i="7" s="1"/>
  <c r="Y221" i="7"/>
  <c r="V162" i="6"/>
  <c r="AA165" i="7" s="1"/>
  <c r="AL165" i="7" s="1"/>
  <c r="Y165" i="7"/>
  <c r="V138" i="6"/>
  <c r="AA141" i="7" s="1"/>
  <c r="AL141" i="7" s="1"/>
  <c r="Y141" i="7"/>
  <c r="S161" i="6"/>
  <c r="X164" i="7" s="1"/>
  <c r="V164" i="7"/>
  <c r="BF189" i="7"/>
  <c r="BO189" i="7"/>
  <c r="BP189" i="7" s="1"/>
  <c r="BN189" i="7"/>
  <c r="BM189" i="7"/>
  <c r="BL189" i="7"/>
  <c r="BE189" i="7"/>
  <c r="BG189" i="7"/>
  <c r="BK189" i="7"/>
  <c r="V236" i="6"/>
  <c r="AA239" i="7" s="1"/>
  <c r="AL239" i="7" s="1"/>
  <c r="Y239" i="7"/>
  <c r="S246" i="6"/>
  <c r="X249" i="7" s="1"/>
  <c r="AO249" i="7" s="1"/>
  <c r="V249" i="7"/>
  <c r="S254" i="6"/>
  <c r="X257" i="7" s="1"/>
  <c r="V257" i="7"/>
  <c r="S262" i="6"/>
  <c r="X265" i="7" s="1"/>
  <c r="V265" i="7"/>
  <c r="BN285" i="7"/>
  <c r="BO285" i="7"/>
  <c r="BP285" i="7" s="1"/>
  <c r="BM285" i="7"/>
  <c r="BL285" i="7"/>
  <c r="BE285" i="7"/>
  <c r="BK285" i="7"/>
  <c r="BF285" i="7"/>
  <c r="BG285" i="7"/>
  <c r="U158" i="5"/>
  <c r="U190" i="5"/>
  <c r="X286" i="5"/>
  <c r="AJ195" i="7"/>
  <c r="AK195" i="7"/>
  <c r="S295" i="6"/>
  <c r="X298" i="7" s="1"/>
  <c r="V298" i="7"/>
  <c r="S307" i="6"/>
  <c r="X310" i="7" s="1"/>
  <c r="AO310" i="7" s="1"/>
  <c r="V310" i="7"/>
  <c r="S311" i="6"/>
  <c r="X314" i="7" s="1"/>
  <c r="AO314" i="7" s="1"/>
  <c r="V314" i="7"/>
  <c r="V165" i="6"/>
  <c r="AA168" i="7" s="1"/>
  <c r="AL168" i="7" s="1"/>
  <c r="Y168" i="7"/>
  <c r="BO299" i="7"/>
  <c r="BP299" i="7" s="1"/>
  <c r="BE299" i="7"/>
  <c r="BF299" i="7"/>
  <c r="BK299" i="7"/>
  <c r="BM299" i="7"/>
  <c r="BN299" i="7"/>
  <c r="BG299" i="7"/>
  <c r="BL299" i="7"/>
  <c r="V303" i="7"/>
  <c r="S300" i="6"/>
  <c r="X303" i="7" s="1"/>
  <c r="V304" i="6"/>
  <c r="AA307" i="7" s="1"/>
  <c r="AL307" i="7" s="1"/>
  <c r="Y307" i="7"/>
  <c r="V277" i="6"/>
  <c r="AA280" i="7" s="1"/>
  <c r="AL280" i="7" s="1"/>
  <c r="Y280" i="7"/>
  <c r="V184" i="6"/>
  <c r="AA187" i="7" s="1"/>
  <c r="AL187" i="7" s="1"/>
  <c r="Y187" i="7"/>
  <c r="AJ307" i="7"/>
  <c r="AK307" i="7"/>
  <c r="AH307" i="7"/>
  <c r="AI307" i="7" s="1"/>
  <c r="V310" i="6"/>
  <c r="AA313" i="7" s="1"/>
  <c r="AL313" i="7" s="1"/>
  <c r="Y313" i="7"/>
  <c r="BE85" i="5"/>
  <c r="BF85" i="5" s="1"/>
  <c r="BG85" i="5" s="1"/>
  <c r="AS85" i="5"/>
  <c r="AT85" i="5" s="1"/>
  <c r="AU85" i="5" s="1"/>
  <c r="AC85" i="5" s="1"/>
  <c r="AG95" i="5"/>
  <c r="AI95" i="5" s="1"/>
  <c r="AJ95" i="5" s="1"/>
  <c r="AE95" i="5"/>
  <c r="AF95" i="5"/>
  <c r="AD95" i="5"/>
  <c r="AE146" i="5"/>
  <c r="AF245" i="5"/>
  <c r="AG245" i="5"/>
  <c r="AI245" i="5" s="1"/>
  <c r="AJ245" i="5" s="1"/>
  <c r="AD245" i="5"/>
  <c r="AE245" i="5"/>
  <c r="AD253" i="5"/>
  <c r="AG253" i="5"/>
  <c r="AI253" i="5" s="1"/>
  <c r="AJ253" i="5" s="1"/>
  <c r="AE253" i="5"/>
  <c r="AF253" i="5"/>
  <c r="AD281" i="5"/>
  <c r="AS142" i="5"/>
  <c r="AT142" i="5" s="1"/>
  <c r="AU142" i="5" s="1"/>
  <c r="AC142" i="5" s="1"/>
  <c r="BE142" i="5"/>
  <c r="BF142" i="5" s="1"/>
  <c r="BG142" i="5" s="1"/>
  <c r="AS48" i="5"/>
  <c r="AT48" i="5" s="1"/>
  <c r="AU48" i="5" s="1"/>
  <c r="AC48" i="5" s="1"/>
  <c r="BE48" i="5"/>
  <c r="BF48" i="5" s="1"/>
  <c r="BG48" i="5" s="1"/>
  <c r="AS189" i="5"/>
  <c r="AT189" i="5" s="1"/>
  <c r="AU189" i="5" s="1"/>
  <c r="AC189" i="5" s="1"/>
  <c r="BE189" i="5"/>
  <c r="BF189" i="5" s="1"/>
  <c r="BG189" i="5" s="1"/>
  <c r="U167" i="5"/>
  <c r="S292" i="5"/>
  <c r="S71" i="5"/>
  <c r="S222" i="5"/>
  <c r="T77" i="5"/>
  <c r="S199" i="5"/>
  <c r="T158" i="5"/>
  <c r="U87" i="5"/>
  <c r="S62" i="5"/>
  <c r="T295" i="5"/>
  <c r="T311" i="5"/>
  <c r="T126" i="5"/>
  <c r="T68" i="5"/>
  <c r="S142" i="5"/>
  <c r="S308" i="5"/>
  <c r="X92" i="5"/>
  <c r="T263" i="5"/>
  <c r="U231" i="5"/>
  <c r="T140" i="5"/>
  <c r="S78" i="5"/>
  <c r="S205" i="5"/>
  <c r="U157" i="5"/>
  <c r="T60" i="5"/>
  <c r="U189" i="5"/>
  <c r="S29" i="5"/>
  <c r="X29" i="5"/>
  <c r="T39" i="5"/>
  <c r="S110" i="5"/>
  <c r="U134" i="5"/>
  <c r="S190" i="5"/>
  <c r="U198" i="5"/>
  <c r="U270" i="5"/>
  <c r="S148" i="5"/>
  <c r="X86" i="5"/>
  <c r="U286" i="5"/>
  <c r="S230" i="5"/>
  <c r="S109" i="5"/>
  <c r="U76" i="5"/>
  <c r="S36" i="5"/>
  <c r="X230" i="5"/>
  <c r="U206" i="5"/>
  <c r="T247" i="5"/>
  <c r="X101" i="5"/>
  <c r="S93" i="5"/>
  <c r="X204" i="5"/>
  <c r="S212" i="5"/>
  <c r="S77" i="5"/>
  <c r="X221" i="5"/>
  <c r="U253" i="5"/>
  <c r="S261" i="5"/>
  <c r="U269" i="5"/>
  <c r="S285" i="5"/>
  <c r="S277" i="5"/>
  <c r="S108" i="5"/>
  <c r="S247" i="5"/>
  <c r="X237" i="5"/>
  <c r="X301" i="5"/>
  <c r="T100" i="5"/>
  <c r="T279" i="5"/>
  <c r="X244" i="5"/>
  <c r="X253" i="5"/>
  <c r="X214" i="5"/>
  <c r="U213" i="5"/>
  <c r="J16" i="1"/>
  <c r="P20" i="5" s="1"/>
  <c r="I16" i="1" s="1"/>
  <c r="X119" i="5"/>
  <c r="U246" i="5"/>
  <c r="Q15" i="5"/>
  <c r="J11" i="1"/>
  <c r="P15" i="5" s="1"/>
  <c r="I11" i="1" s="1"/>
  <c r="V47" i="6"/>
  <c r="AA50" i="7" s="1"/>
  <c r="AL50" i="7" s="1"/>
  <c r="Y50" i="7"/>
  <c r="S41" i="6"/>
  <c r="X44" i="7" s="1"/>
  <c r="V44" i="7"/>
  <c r="AJ58" i="7"/>
  <c r="AK58" i="7"/>
  <c r="S45" i="6"/>
  <c r="X48" i="7" s="1"/>
  <c r="V48" i="7"/>
  <c r="AJ48" i="7"/>
  <c r="AK48" i="7"/>
  <c r="AH48" i="7"/>
  <c r="AI48" i="7" s="1"/>
  <c r="V50" i="6"/>
  <c r="AA53" i="7" s="1"/>
  <c r="AL53" i="7" s="1"/>
  <c r="Y53" i="7"/>
  <c r="S64" i="6"/>
  <c r="X67" i="7" s="1"/>
  <c r="V67" i="7"/>
  <c r="AK43" i="7"/>
  <c r="AJ43" i="7"/>
  <c r="AH43" i="7"/>
  <c r="AI43" i="7" s="1"/>
  <c r="AJ62" i="7"/>
  <c r="AK62" i="7"/>
  <c r="S69" i="6"/>
  <c r="X72" i="7" s="1"/>
  <c r="V72" i="7"/>
  <c r="S77" i="6"/>
  <c r="X80" i="7" s="1"/>
  <c r="V80" i="7"/>
  <c r="S56" i="6"/>
  <c r="X59" i="7" s="1"/>
  <c r="AO59" i="7" s="1"/>
  <c r="AQ59" i="7" s="1"/>
  <c r="V59" i="7"/>
  <c r="S67" i="6"/>
  <c r="X70" i="7" s="1"/>
  <c r="V70" i="7"/>
  <c r="AK71" i="7"/>
  <c r="AJ71" i="7"/>
  <c r="AH71" i="7"/>
  <c r="AI71" i="7" s="1"/>
  <c r="BN91" i="7"/>
  <c r="BM91" i="7"/>
  <c r="AI88" i="6" s="1"/>
  <c r="BF91" i="7"/>
  <c r="AE88" i="6" s="1"/>
  <c r="BG91" i="7"/>
  <c r="AF88" i="6" s="1"/>
  <c r="BO91" i="7"/>
  <c r="BP91" i="7" s="1"/>
  <c r="BL91" i="7"/>
  <c r="AH88" i="6" s="1"/>
  <c r="BE91" i="7"/>
  <c r="AD88" i="6" s="1"/>
  <c r="BK91" i="7"/>
  <c r="S81" i="6"/>
  <c r="X84" i="7" s="1"/>
  <c r="AO84" i="7" s="1"/>
  <c r="V84" i="7"/>
  <c r="V85" i="6"/>
  <c r="AA88" i="7" s="1"/>
  <c r="AL88" i="7" s="1"/>
  <c r="Y88" i="7"/>
  <c r="BN75" i="7"/>
  <c r="BM75" i="7"/>
  <c r="AI72" i="6" s="1"/>
  <c r="BF75" i="7"/>
  <c r="AE72" i="6" s="1"/>
  <c r="BK75" i="7"/>
  <c r="BO75" i="7"/>
  <c r="BP75" i="7" s="1"/>
  <c r="BE75" i="7"/>
  <c r="AD72" i="6" s="1"/>
  <c r="BL75" i="7"/>
  <c r="AH72" i="6" s="1"/>
  <c r="BG75" i="7"/>
  <c r="AF72" i="6" s="1"/>
  <c r="AJ107" i="7"/>
  <c r="AK107" i="7"/>
  <c r="V121" i="6"/>
  <c r="AA124" i="7" s="1"/>
  <c r="AL124" i="7" s="1"/>
  <c r="Y124" i="7"/>
  <c r="V137" i="6"/>
  <c r="AA140" i="7" s="1"/>
  <c r="AL140" i="7" s="1"/>
  <c r="Y140" i="7"/>
  <c r="AK98" i="7"/>
  <c r="AJ98" i="7"/>
  <c r="R98" i="7"/>
  <c r="AH98" i="7"/>
  <c r="AI98" i="7" s="1"/>
  <c r="AK104" i="7"/>
  <c r="AJ104" i="7"/>
  <c r="AH104" i="7"/>
  <c r="AI104" i="7" s="1"/>
  <c r="V111" i="6"/>
  <c r="AA114" i="7" s="1"/>
  <c r="AL114" i="7" s="1"/>
  <c r="Y114" i="7"/>
  <c r="V125" i="6"/>
  <c r="AA128" i="7" s="1"/>
  <c r="AL128" i="7" s="1"/>
  <c r="Y128" i="7"/>
  <c r="V154" i="6"/>
  <c r="AA157" i="7" s="1"/>
  <c r="AL157" i="7" s="1"/>
  <c r="Y157" i="7"/>
  <c r="V93" i="6"/>
  <c r="AA96" i="7" s="1"/>
  <c r="AL96" i="7" s="1"/>
  <c r="Y96" i="7"/>
  <c r="V101" i="6"/>
  <c r="AA104" i="7" s="1"/>
  <c r="AL104" i="7" s="1"/>
  <c r="Y104" i="7"/>
  <c r="V105" i="6"/>
  <c r="AA108" i="7" s="1"/>
  <c r="AL108" i="7" s="1"/>
  <c r="Y108" i="7"/>
  <c r="V113" i="6"/>
  <c r="AA116" i="7" s="1"/>
  <c r="AL116" i="7" s="1"/>
  <c r="Y116" i="7"/>
  <c r="V117" i="6"/>
  <c r="AA120" i="7" s="1"/>
  <c r="AL120" i="7" s="1"/>
  <c r="Y120" i="7"/>
  <c r="S168" i="6"/>
  <c r="X171" i="7" s="1"/>
  <c r="V171" i="7"/>
  <c r="AJ134" i="7"/>
  <c r="AK134" i="7"/>
  <c r="AH134" i="7"/>
  <c r="AI134" i="7" s="1"/>
  <c r="V131" i="6"/>
  <c r="AA134" i="7" s="1"/>
  <c r="AL134" i="7" s="1"/>
  <c r="Y134" i="7"/>
  <c r="S145" i="6"/>
  <c r="X148" i="7" s="1"/>
  <c r="V148" i="7"/>
  <c r="AK160" i="7"/>
  <c r="AJ160" i="7"/>
  <c r="AH160" i="7"/>
  <c r="AI160" i="7" s="1"/>
  <c r="V174" i="6"/>
  <c r="AA177" i="7" s="1"/>
  <c r="AL177" i="7" s="1"/>
  <c r="Y177" i="7"/>
  <c r="AJ151" i="7"/>
  <c r="AK151" i="7"/>
  <c r="AH151" i="7"/>
  <c r="AI151" i="7" s="1"/>
  <c r="S157" i="6"/>
  <c r="X160" i="7" s="1"/>
  <c r="V160" i="7"/>
  <c r="S172" i="6"/>
  <c r="X175" i="7" s="1"/>
  <c r="V175" i="7"/>
  <c r="BE181" i="7"/>
  <c r="BN181" i="7"/>
  <c r="BO181" i="7"/>
  <c r="BP181" i="7" s="1"/>
  <c r="BG181" i="7"/>
  <c r="BK181" i="7"/>
  <c r="BF181" i="7"/>
  <c r="BL181" i="7"/>
  <c r="BM181" i="7"/>
  <c r="BN193" i="7"/>
  <c r="BG193" i="7"/>
  <c r="BF193" i="7"/>
  <c r="BM193" i="7"/>
  <c r="BL193" i="7"/>
  <c r="BO193" i="7"/>
  <c r="BP193" i="7" s="1"/>
  <c r="BK193" i="7"/>
  <c r="BE193" i="7"/>
  <c r="AJ207" i="7"/>
  <c r="AK207" i="7"/>
  <c r="AH207" i="7"/>
  <c r="AI207" i="7" s="1"/>
  <c r="S206" i="6"/>
  <c r="X209" i="7" s="1"/>
  <c r="V209" i="7"/>
  <c r="V208" i="6"/>
  <c r="AA211" i="7" s="1"/>
  <c r="AL211" i="7" s="1"/>
  <c r="Y211" i="7"/>
  <c r="AJ223" i="7"/>
  <c r="AK223" i="7"/>
  <c r="AH223" i="7"/>
  <c r="AI223" i="7" s="1"/>
  <c r="S222" i="6"/>
  <c r="X225" i="7" s="1"/>
  <c r="V225" i="7"/>
  <c r="S179" i="6"/>
  <c r="X182" i="7" s="1"/>
  <c r="AO182" i="7" s="1"/>
  <c r="AQ182" i="7" s="1"/>
  <c r="V182" i="7"/>
  <c r="AJ199" i="7"/>
  <c r="AK199" i="7"/>
  <c r="AH199" i="7"/>
  <c r="AI199" i="7" s="1"/>
  <c r="V197" i="6"/>
  <c r="AA200" i="7" s="1"/>
  <c r="AL200" i="7" s="1"/>
  <c r="Y200" i="7"/>
  <c r="S115" i="6"/>
  <c r="X118" i="7" s="1"/>
  <c r="V118" i="7"/>
  <c r="V118" i="6"/>
  <c r="AA121" i="7" s="1"/>
  <c r="AL121" i="7" s="1"/>
  <c r="Y121" i="7"/>
  <c r="S138" i="6"/>
  <c r="X141" i="7" s="1"/>
  <c r="V141" i="7"/>
  <c r="S163" i="6"/>
  <c r="X166" i="7" s="1"/>
  <c r="V166" i="7"/>
  <c r="BF176" i="7"/>
  <c r="BE176" i="7"/>
  <c r="BG176" i="7"/>
  <c r="BO176" i="7"/>
  <c r="BP176" i="7" s="1"/>
  <c r="BM176" i="7"/>
  <c r="BN176" i="7"/>
  <c r="BL176" i="7"/>
  <c r="BK176" i="7"/>
  <c r="AJ189" i="7"/>
  <c r="AK189" i="7"/>
  <c r="R189" i="7"/>
  <c r="AH189" i="7"/>
  <c r="AI189" i="7" s="1"/>
  <c r="V187" i="6"/>
  <c r="AA190" i="7" s="1"/>
  <c r="AL190" i="7" s="1"/>
  <c r="Y190" i="7"/>
  <c r="BG234" i="7"/>
  <c r="BK234" i="7"/>
  <c r="BO234" i="7"/>
  <c r="BP234" i="7" s="1"/>
  <c r="BN234" i="7"/>
  <c r="BF234" i="7"/>
  <c r="BL234" i="7"/>
  <c r="BE234" i="7"/>
  <c r="BM234" i="7"/>
  <c r="AJ159" i="7"/>
  <c r="AK159" i="7"/>
  <c r="AH159" i="7"/>
  <c r="AI159" i="7" s="1"/>
  <c r="AJ252" i="7"/>
  <c r="AK252" i="7"/>
  <c r="AH252" i="7"/>
  <c r="AI252" i="7" s="1"/>
  <c r="AJ268" i="7"/>
  <c r="AK268" i="7"/>
  <c r="AH268" i="7"/>
  <c r="AI268" i="7" s="1"/>
  <c r="V246" i="6"/>
  <c r="AA249" i="7" s="1"/>
  <c r="AL249" i="7" s="1"/>
  <c r="Y249" i="7"/>
  <c r="V254" i="6"/>
  <c r="AA257" i="7" s="1"/>
  <c r="AL257" i="7" s="1"/>
  <c r="Y257" i="7"/>
  <c r="S260" i="6"/>
  <c r="X263" i="7" s="1"/>
  <c r="AO263" i="7" s="1"/>
  <c r="V263" i="7"/>
  <c r="V262" i="6"/>
  <c r="AA265" i="7" s="1"/>
  <c r="AL265" i="7" s="1"/>
  <c r="Y265" i="7"/>
  <c r="S268" i="6"/>
  <c r="X271" i="7" s="1"/>
  <c r="AO271" i="7" s="1"/>
  <c r="V271" i="7"/>
  <c r="BF216" i="7"/>
  <c r="BG216" i="7"/>
  <c r="BM216" i="7"/>
  <c r="BN216" i="7"/>
  <c r="BL216" i="7"/>
  <c r="BO216" i="7"/>
  <c r="BP216" i="7" s="1"/>
  <c r="BK216" i="7"/>
  <c r="BE216" i="7"/>
  <c r="BF233" i="7"/>
  <c r="BE233" i="7"/>
  <c r="BM233" i="7"/>
  <c r="BN233" i="7"/>
  <c r="BG233" i="7"/>
  <c r="BL233" i="7"/>
  <c r="BO233" i="7"/>
  <c r="BP233" i="7" s="1"/>
  <c r="BK233" i="7"/>
  <c r="S34" i="5"/>
  <c r="S82" i="5"/>
  <c r="U82" i="5"/>
  <c r="U162" i="5"/>
  <c r="X162" i="5"/>
  <c r="V295" i="6"/>
  <c r="AA298" i="7" s="1"/>
  <c r="AL298" i="7" s="1"/>
  <c r="Y298" i="7"/>
  <c r="V307" i="6"/>
  <c r="AA310" i="7" s="1"/>
  <c r="AL310" i="7" s="1"/>
  <c r="Y310" i="7"/>
  <c r="V311" i="6"/>
  <c r="AA314" i="7" s="1"/>
  <c r="AL314" i="7" s="1"/>
  <c r="Y314" i="7"/>
  <c r="BE105" i="5"/>
  <c r="BF105" i="5" s="1"/>
  <c r="BG105" i="5" s="1"/>
  <c r="AS105" i="5"/>
  <c r="AT105" i="5" s="1"/>
  <c r="AU105" i="5" s="1"/>
  <c r="AC105" i="5" s="1"/>
  <c r="S296" i="6"/>
  <c r="X299" i="7" s="1"/>
  <c r="V299" i="7"/>
  <c r="V300" i="6"/>
  <c r="AA303" i="7" s="1"/>
  <c r="AL303" i="7" s="1"/>
  <c r="Y303" i="7"/>
  <c r="V285" i="6"/>
  <c r="AA288" i="7" s="1"/>
  <c r="AL288" i="7" s="1"/>
  <c r="Y288" i="7"/>
  <c r="S293" i="6"/>
  <c r="X296" i="7" s="1"/>
  <c r="V296" i="7"/>
  <c r="S297" i="6"/>
  <c r="X300" i="7" s="1"/>
  <c r="V300" i="7"/>
  <c r="S301" i="6"/>
  <c r="X304" i="7" s="1"/>
  <c r="V304" i="7"/>
  <c r="BM28" i="7"/>
  <c r="AI25" i="6" s="1"/>
  <c r="BG28" i="7"/>
  <c r="AF25" i="6" s="1"/>
  <c r="BN28" i="7"/>
  <c r="BL28" i="7"/>
  <c r="AH25" i="6" s="1"/>
  <c r="BK28" i="7"/>
  <c r="BE28" i="7"/>
  <c r="AD25" i="6" s="1"/>
  <c r="BF28" i="7"/>
  <c r="AE25" i="6" s="1"/>
  <c r="BO28" i="7"/>
  <c r="BP28" i="7" s="1"/>
  <c r="BM187" i="7"/>
  <c r="BK187" i="7"/>
  <c r="BN187" i="7"/>
  <c r="BO187" i="7"/>
  <c r="BP187" i="7" s="1"/>
  <c r="BG187" i="7"/>
  <c r="BE187" i="7"/>
  <c r="BF187" i="7"/>
  <c r="BL187" i="7"/>
  <c r="AS132" i="5"/>
  <c r="AT132" i="5" s="1"/>
  <c r="AU132" i="5" s="1"/>
  <c r="AC132" i="5" s="1"/>
  <c r="BE132" i="5"/>
  <c r="BF132" i="5" s="1"/>
  <c r="BG132" i="5" s="1"/>
  <c r="AE29" i="5"/>
  <c r="AD29" i="5"/>
  <c r="AG29" i="5"/>
  <c r="AI29" i="5" s="1"/>
  <c r="AJ29" i="5" s="1"/>
  <c r="AF29" i="5"/>
  <c r="BG42" i="5"/>
  <c r="BG52" i="5"/>
  <c r="BG74" i="5"/>
  <c r="AF186" i="5"/>
  <c r="AE186" i="5"/>
  <c r="AG186" i="5"/>
  <c r="AI186" i="5" s="1"/>
  <c r="AJ186" i="5" s="1"/>
  <c r="AD186" i="5"/>
  <c r="BG193" i="5"/>
  <c r="BG199" i="5"/>
  <c r="BG230" i="5"/>
  <c r="BG245" i="5"/>
  <c r="BE82" i="5"/>
  <c r="BF82" i="5" s="1"/>
  <c r="BG82" i="5" s="1"/>
  <c r="AS82" i="5"/>
  <c r="AT82" i="5" s="1"/>
  <c r="AU82" i="5" s="1"/>
  <c r="AC82" i="5" s="1"/>
  <c r="AS34" i="5"/>
  <c r="AT34" i="5" s="1"/>
  <c r="AU34" i="5" s="1"/>
  <c r="AC34" i="5" s="1"/>
  <c r="X34" i="5" s="1"/>
  <c r="BE34" i="5"/>
  <c r="BF34" i="5" s="1"/>
  <c r="BG34" i="5" s="1"/>
  <c r="AS106" i="5"/>
  <c r="AT106" i="5" s="1"/>
  <c r="AU106" i="5" s="1"/>
  <c r="AC106" i="5" s="1"/>
  <c r="BE106" i="5"/>
  <c r="BF106" i="5" s="1"/>
  <c r="BG106" i="5" s="1"/>
  <c r="BE311" i="5"/>
  <c r="BF311" i="5" s="1"/>
  <c r="BG311" i="5" s="1"/>
  <c r="AS311" i="5"/>
  <c r="AT311" i="5" s="1"/>
  <c r="AU311" i="5" s="1"/>
  <c r="AC311" i="5" s="1"/>
  <c r="AS152" i="5"/>
  <c r="AT152" i="5" s="1"/>
  <c r="AU152" i="5" s="1"/>
  <c r="AC152" i="5" s="1"/>
  <c r="BE152" i="5"/>
  <c r="BF152" i="5" s="1"/>
  <c r="BG152" i="5" s="1"/>
  <c r="BE264" i="5"/>
  <c r="BF264" i="5" s="1"/>
  <c r="BG264" i="5" s="1"/>
  <c r="AS264" i="5"/>
  <c r="AT264" i="5" s="1"/>
  <c r="AU264" i="5" s="1"/>
  <c r="AC264" i="5" s="1"/>
  <c r="R252" i="7"/>
  <c r="R307" i="7"/>
  <c r="AG23" i="5"/>
  <c r="AI23" i="5" s="1"/>
  <c r="AJ23" i="5" s="1"/>
  <c r="AD23" i="5"/>
  <c r="AE23" i="5"/>
  <c r="AF23" i="5"/>
  <c r="BF55" i="7"/>
  <c r="AE52" i="6" s="1"/>
  <c r="BK55" i="7"/>
  <c r="BO55" i="7"/>
  <c r="BP55" i="7" s="1"/>
  <c r="BL55" i="7"/>
  <c r="AH52" i="6" s="1"/>
  <c r="BE55" i="7"/>
  <c r="AD52" i="6" s="1"/>
  <c r="BG55" i="7"/>
  <c r="AF52" i="6" s="1"/>
  <c r="BN55" i="7"/>
  <c r="BM55" i="7"/>
  <c r="AI52" i="6" s="1"/>
  <c r="BL70" i="7"/>
  <c r="AH67" i="6" s="1"/>
  <c r="BK70" i="7"/>
  <c r="BO70" i="7"/>
  <c r="BP70" i="7" s="1"/>
  <c r="BF70" i="7"/>
  <c r="AE67" i="6" s="1"/>
  <c r="BM70" i="7"/>
  <c r="AI67" i="6" s="1"/>
  <c r="BE70" i="7"/>
  <c r="AD67" i="6" s="1"/>
  <c r="BN70" i="7"/>
  <c r="BG70" i="7"/>
  <c r="AF67" i="6" s="1"/>
  <c r="S40" i="6"/>
  <c r="X43" i="7" s="1"/>
  <c r="V43" i="7"/>
  <c r="AJ70" i="7"/>
  <c r="AK70" i="7"/>
  <c r="AH70" i="7"/>
  <c r="AI70" i="7" s="1"/>
  <c r="V84" i="6"/>
  <c r="AA87" i="7" s="1"/>
  <c r="AL87" i="7" s="1"/>
  <c r="Y87" i="7"/>
  <c r="S72" i="6"/>
  <c r="X75" i="7" s="1"/>
  <c r="V75" i="7"/>
  <c r="V83" i="6"/>
  <c r="AA86" i="7" s="1"/>
  <c r="AL86" i="7" s="1"/>
  <c r="Y86" i="7"/>
  <c r="V91" i="6"/>
  <c r="AA94" i="7" s="1"/>
  <c r="AL94" i="7" s="1"/>
  <c r="Y94" i="7"/>
  <c r="AK96" i="7"/>
  <c r="AJ96" i="7"/>
  <c r="AH96" i="7"/>
  <c r="AI96" i="7" s="1"/>
  <c r="S111" i="6"/>
  <c r="X114" i="7" s="1"/>
  <c r="V114" i="7"/>
  <c r="S154" i="6"/>
  <c r="X157" i="7" s="1"/>
  <c r="V157" i="7"/>
  <c r="V144" i="6"/>
  <c r="AA147" i="7" s="1"/>
  <c r="AL147" i="7" s="1"/>
  <c r="Y147" i="7"/>
  <c r="S101" i="6"/>
  <c r="X104" i="7" s="1"/>
  <c r="V104" i="7"/>
  <c r="S113" i="6"/>
  <c r="X116" i="7" s="1"/>
  <c r="V116" i="7"/>
  <c r="AJ177" i="7"/>
  <c r="AK177" i="7"/>
  <c r="AH177" i="7"/>
  <c r="AI177" i="7" s="1"/>
  <c r="S131" i="6"/>
  <c r="X134" i="7" s="1"/>
  <c r="V134" i="7"/>
  <c r="V140" i="6"/>
  <c r="AA143" i="7" s="1"/>
  <c r="AL143" i="7" s="1"/>
  <c r="Y143" i="7"/>
  <c r="S208" i="6"/>
  <c r="X211" i="7" s="1"/>
  <c r="V211" i="7"/>
  <c r="AJ154" i="7"/>
  <c r="AK154" i="7"/>
  <c r="AJ172" i="7"/>
  <c r="AK172" i="7"/>
  <c r="BO199" i="7"/>
  <c r="BP199" i="7" s="1"/>
  <c r="BK199" i="7"/>
  <c r="BN199" i="7"/>
  <c r="BG199" i="7"/>
  <c r="BE199" i="7"/>
  <c r="BL199" i="7"/>
  <c r="BM199" i="7"/>
  <c r="BF199" i="7"/>
  <c r="BK141" i="7"/>
  <c r="BM141" i="7"/>
  <c r="BN141" i="7"/>
  <c r="BL141" i="7"/>
  <c r="BG141" i="7"/>
  <c r="BE141" i="7"/>
  <c r="BO141" i="7"/>
  <c r="BP141" i="7" s="1"/>
  <c r="BF141" i="7"/>
  <c r="S153" i="6"/>
  <c r="X156" i="7" s="1"/>
  <c r="V156" i="7"/>
  <c r="S187" i="6"/>
  <c r="X190" i="7" s="1"/>
  <c r="V190" i="7"/>
  <c r="BG252" i="7"/>
  <c r="BK252" i="7"/>
  <c r="BE252" i="7"/>
  <c r="BM252" i="7"/>
  <c r="BF252" i="7"/>
  <c r="BO252" i="7"/>
  <c r="BP252" i="7" s="1"/>
  <c r="BL252" i="7"/>
  <c r="BN252" i="7"/>
  <c r="S282" i="6"/>
  <c r="X285" i="7" s="1"/>
  <c r="V285" i="7"/>
  <c r="S228" i="5"/>
  <c r="T180" i="5"/>
  <c r="U180" i="5"/>
  <c r="U36" i="5"/>
  <c r="X183" i="5"/>
  <c r="X95" i="5"/>
  <c r="X245" i="5"/>
  <c r="U263" i="5"/>
  <c r="U164" i="5"/>
  <c r="T205" i="5"/>
  <c r="S157" i="5"/>
  <c r="U199" i="5"/>
  <c r="X94" i="5"/>
  <c r="U30" i="5"/>
  <c r="U238" i="5"/>
  <c r="T254" i="5"/>
  <c r="U52" i="5"/>
  <c r="T286" i="5"/>
  <c r="T206" i="5"/>
  <c r="T173" i="5"/>
  <c r="S276" i="5"/>
  <c r="S173" i="5"/>
  <c r="U285" i="5"/>
  <c r="U116" i="5"/>
  <c r="S52" i="5"/>
  <c r="X135" i="5"/>
  <c r="U20" i="5"/>
  <c r="X103" i="5"/>
  <c r="S57" i="6"/>
  <c r="X60" i="7" s="1"/>
  <c r="V60" i="7"/>
  <c r="V39" i="6"/>
  <c r="AA42" i="7" s="1"/>
  <c r="AL42" i="7" s="1"/>
  <c r="Y42" i="7"/>
  <c r="BO53" i="7"/>
  <c r="BP53" i="7" s="1"/>
  <c r="BF53" i="7"/>
  <c r="AE50" i="6" s="1"/>
  <c r="BG53" i="7"/>
  <c r="AF50" i="6" s="1"/>
  <c r="BN53" i="7"/>
  <c r="BK53" i="7"/>
  <c r="BE53" i="7"/>
  <c r="AD50" i="6" s="1"/>
  <c r="BL53" i="7"/>
  <c r="AH50" i="6" s="1"/>
  <c r="BM53" i="7"/>
  <c r="AI50" i="6" s="1"/>
  <c r="AJ65" i="7"/>
  <c r="AK65" i="7"/>
  <c r="AH65" i="7"/>
  <c r="AI65" i="7" s="1"/>
  <c r="BO67" i="7"/>
  <c r="BP67" i="7" s="1"/>
  <c r="BM67" i="7"/>
  <c r="AI64" i="6" s="1"/>
  <c r="BE67" i="7"/>
  <c r="AD64" i="6" s="1"/>
  <c r="BK67" i="7"/>
  <c r="BN67" i="7"/>
  <c r="BL67" i="7"/>
  <c r="AH64" i="6" s="1"/>
  <c r="BF67" i="7"/>
  <c r="AE64" i="6" s="1"/>
  <c r="BG67" i="7"/>
  <c r="AF64" i="6" s="1"/>
  <c r="V70" i="6"/>
  <c r="AA73" i="7" s="1"/>
  <c r="AL73" i="7" s="1"/>
  <c r="Y73" i="7"/>
  <c r="V40" i="6"/>
  <c r="AA43" i="7" s="1"/>
  <c r="AL43" i="7" s="1"/>
  <c r="Y43" i="7"/>
  <c r="V69" i="6"/>
  <c r="AA72" i="7" s="1"/>
  <c r="AL72" i="7" s="1"/>
  <c r="Y72" i="7"/>
  <c r="V77" i="6"/>
  <c r="AA80" i="7" s="1"/>
  <c r="AL80" i="7" s="1"/>
  <c r="Y80" i="7"/>
  <c r="BO59" i="7"/>
  <c r="BP59" i="7" s="1"/>
  <c r="BN59" i="7"/>
  <c r="BM59" i="7"/>
  <c r="AI56" i="6" s="1"/>
  <c r="BF59" i="7"/>
  <c r="AE56" i="6" s="1"/>
  <c r="BK59" i="7"/>
  <c r="BE59" i="7"/>
  <c r="AD56" i="6" s="1"/>
  <c r="BL59" i="7"/>
  <c r="AH56" i="6" s="1"/>
  <c r="BG59" i="7"/>
  <c r="AF56" i="6" s="1"/>
  <c r="BF61" i="7"/>
  <c r="AE58" i="6" s="1"/>
  <c r="BN61" i="7"/>
  <c r="BO61" i="7"/>
  <c r="BP61" i="7" s="1"/>
  <c r="BM61" i="7"/>
  <c r="AI58" i="6" s="1"/>
  <c r="BL61" i="7"/>
  <c r="AH58" i="6" s="1"/>
  <c r="BK61" i="7"/>
  <c r="BG61" i="7"/>
  <c r="AF58" i="6" s="1"/>
  <c r="BE61" i="7"/>
  <c r="AD58" i="6" s="1"/>
  <c r="V67" i="6"/>
  <c r="AA70" i="7" s="1"/>
  <c r="AL70" i="7" s="1"/>
  <c r="Y70" i="7"/>
  <c r="S68" i="6"/>
  <c r="X71" i="7" s="1"/>
  <c r="V71" i="7"/>
  <c r="BF87" i="7"/>
  <c r="AE84" i="6" s="1"/>
  <c r="BK87" i="7"/>
  <c r="BO87" i="7"/>
  <c r="BP87" i="7" s="1"/>
  <c r="BM87" i="7"/>
  <c r="AI84" i="6" s="1"/>
  <c r="BL87" i="7"/>
  <c r="AH84" i="6" s="1"/>
  <c r="BG87" i="7"/>
  <c r="AF84" i="6" s="1"/>
  <c r="BN87" i="7"/>
  <c r="BE87" i="7"/>
  <c r="AD84" i="6" s="1"/>
  <c r="S88" i="6"/>
  <c r="X91" i="7" s="1"/>
  <c r="V91" i="7"/>
  <c r="V81" i="6"/>
  <c r="AA84" i="7" s="1"/>
  <c r="AL84" i="7" s="1"/>
  <c r="Y84" i="7"/>
  <c r="BL88" i="7"/>
  <c r="AH85" i="6" s="1"/>
  <c r="BF88" i="7"/>
  <c r="AE85" i="6" s="1"/>
  <c r="BK88" i="7"/>
  <c r="BM88" i="7"/>
  <c r="AI85" i="6" s="1"/>
  <c r="BE88" i="7"/>
  <c r="AD85" i="6" s="1"/>
  <c r="BG88" i="7"/>
  <c r="AF85" i="6" s="1"/>
  <c r="BN88" i="7"/>
  <c r="BO88" i="7"/>
  <c r="BP88" i="7" s="1"/>
  <c r="V72" i="6"/>
  <c r="AA75" i="7" s="1"/>
  <c r="AL75" i="7" s="1"/>
  <c r="Y75" i="7"/>
  <c r="BM101" i="7"/>
  <c r="AI98" i="6" s="1"/>
  <c r="BN101" i="7"/>
  <c r="BF101" i="7"/>
  <c r="AE98" i="6" s="1"/>
  <c r="BG101" i="7"/>
  <c r="AF98" i="6" s="1"/>
  <c r="BO101" i="7"/>
  <c r="BP101" i="7" s="1"/>
  <c r="BL101" i="7"/>
  <c r="AH98" i="6" s="1"/>
  <c r="BE101" i="7"/>
  <c r="AD98" i="6" s="1"/>
  <c r="BK101" i="7"/>
  <c r="BK113" i="7"/>
  <c r="BF113" i="7"/>
  <c r="AE110" i="6" s="1"/>
  <c r="BN113" i="7"/>
  <c r="BM113" i="7"/>
  <c r="AI110" i="6" s="1"/>
  <c r="BL113" i="7"/>
  <c r="AH110" i="6" s="1"/>
  <c r="BE113" i="7"/>
  <c r="AD110" i="6" s="1"/>
  <c r="BO113" i="7"/>
  <c r="BP113" i="7" s="1"/>
  <c r="BG113" i="7"/>
  <c r="AF110" i="6" s="1"/>
  <c r="S99" i="6"/>
  <c r="X102" i="7" s="1"/>
  <c r="V102" i="7"/>
  <c r="S95" i="6"/>
  <c r="X98" i="7" s="1"/>
  <c r="V98" i="7"/>
  <c r="AK106" i="7"/>
  <c r="AJ106" i="7"/>
  <c r="AH106" i="7"/>
  <c r="AI106" i="7" s="1"/>
  <c r="S124" i="6"/>
  <c r="X127" i="7" s="1"/>
  <c r="V127" i="7"/>
  <c r="V135" i="6"/>
  <c r="AA138" i="7" s="1"/>
  <c r="AL138" i="7" s="1"/>
  <c r="Y138" i="7"/>
  <c r="S142" i="6"/>
  <c r="X145" i="7" s="1"/>
  <c r="V145" i="7"/>
  <c r="BO143" i="7"/>
  <c r="BP143" i="7" s="1"/>
  <c r="BG143" i="7"/>
  <c r="BF143" i="7"/>
  <c r="BK143" i="7"/>
  <c r="BL143" i="7"/>
  <c r="BM143" i="7"/>
  <c r="BN143" i="7"/>
  <c r="BE143" i="7"/>
  <c r="AJ162" i="7"/>
  <c r="AK162" i="7"/>
  <c r="AH162" i="7"/>
  <c r="AI162" i="7" s="1"/>
  <c r="AJ170" i="7"/>
  <c r="AK170" i="7"/>
  <c r="AJ178" i="7"/>
  <c r="AK178" i="7"/>
  <c r="AH178" i="7"/>
  <c r="AI178" i="7" s="1"/>
  <c r="BF151" i="7"/>
  <c r="BO151" i="7"/>
  <c r="BP151" i="7" s="1"/>
  <c r="BM151" i="7"/>
  <c r="BL151" i="7"/>
  <c r="BN151" i="7"/>
  <c r="BE151" i="7"/>
  <c r="BK151" i="7"/>
  <c r="BG151" i="7"/>
  <c r="BE160" i="7"/>
  <c r="BL160" i="7"/>
  <c r="BM160" i="7"/>
  <c r="BN160" i="7"/>
  <c r="BK160" i="7"/>
  <c r="BO160" i="7"/>
  <c r="BP160" i="7" s="1"/>
  <c r="BG160" i="7"/>
  <c r="BF160" i="7"/>
  <c r="S173" i="6"/>
  <c r="X176" i="7" s="1"/>
  <c r="V176" i="7"/>
  <c r="S178" i="6"/>
  <c r="X181" i="7" s="1"/>
  <c r="V181" i="7"/>
  <c r="AJ193" i="7"/>
  <c r="AK193" i="7"/>
  <c r="AH193" i="7"/>
  <c r="AI193" i="7" s="1"/>
  <c r="V191" i="6"/>
  <c r="AA194" i="7" s="1"/>
  <c r="AL194" i="7" s="1"/>
  <c r="Y194" i="7"/>
  <c r="BO202" i="7"/>
  <c r="BP202" i="7" s="1"/>
  <c r="BE202" i="7"/>
  <c r="BL202" i="7"/>
  <c r="BM202" i="7"/>
  <c r="BF202" i="7"/>
  <c r="BN202" i="7"/>
  <c r="BK202" i="7"/>
  <c r="BG202" i="7"/>
  <c r="AJ205" i="7"/>
  <c r="AK205" i="7"/>
  <c r="AH205" i="7"/>
  <c r="AI205" i="7" s="1"/>
  <c r="S204" i="6"/>
  <c r="X207" i="7" s="1"/>
  <c r="V207" i="7"/>
  <c r="V206" i="6"/>
  <c r="AA209" i="7" s="1"/>
  <c r="AL209" i="7" s="1"/>
  <c r="Y209" i="7"/>
  <c r="AJ221" i="7"/>
  <c r="AK221" i="7"/>
  <c r="AH221" i="7"/>
  <c r="AI221" i="7" s="1"/>
  <c r="S220" i="6"/>
  <c r="X223" i="7" s="1"/>
  <c r="V223" i="7"/>
  <c r="V222" i="6"/>
  <c r="AA225" i="7" s="1"/>
  <c r="AL225" i="7" s="1"/>
  <c r="Y225" i="7"/>
  <c r="AK229" i="7"/>
  <c r="AJ229" i="7"/>
  <c r="S231" i="6"/>
  <c r="X234" i="7" s="1"/>
  <c r="V234" i="7"/>
  <c r="BG165" i="7"/>
  <c r="BL165" i="7"/>
  <c r="BM165" i="7"/>
  <c r="BO165" i="7"/>
  <c r="BP165" i="7" s="1"/>
  <c r="BF165" i="7"/>
  <c r="BN165" i="7"/>
  <c r="BK165" i="7"/>
  <c r="BE165" i="7"/>
  <c r="V171" i="6"/>
  <c r="AA174" i="7" s="1"/>
  <c r="AL174" i="7" s="1"/>
  <c r="Y174" i="7"/>
  <c r="BF182" i="7"/>
  <c r="BM182" i="7"/>
  <c r="BK182" i="7"/>
  <c r="BG182" i="7"/>
  <c r="BE182" i="7"/>
  <c r="BN182" i="7"/>
  <c r="BO182" i="7"/>
  <c r="BP182" i="7" s="1"/>
  <c r="BL182" i="7"/>
  <c r="S196" i="6"/>
  <c r="X199" i="7" s="1"/>
  <c r="V199" i="7"/>
  <c r="AJ176" i="7"/>
  <c r="AK176" i="7"/>
  <c r="AH176" i="7"/>
  <c r="AI176" i="7" s="1"/>
  <c r="S186" i="6"/>
  <c r="X189" i="7" s="1"/>
  <c r="V189" i="7"/>
  <c r="S194" i="6"/>
  <c r="X197" i="7" s="1"/>
  <c r="V197" i="7"/>
  <c r="BO236" i="7"/>
  <c r="BP236" i="7" s="1"/>
  <c r="BL236" i="7"/>
  <c r="BM236" i="7"/>
  <c r="BK236" i="7"/>
  <c r="BE236" i="7"/>
  <c r="BN236" i="7"/>
  <c r="BG236" i="7"/>
  <c r="BF236" i="7"/>
  <c r="BG159" i="7"/>
  <c r="BO159" i="7"/>
  <c r="BP159" i="7" s="1"/>
  <c r="BK159" i="7"/>
  <c r="BF159" i="7"/>
  <c r="BM159" i="7"/>
  <c r="BN159" i="7"/>
  <c r="BE159" i="7"/>
  <c r="BL159" i="7"/>
  <c r="BL210" i="7"/>
  <c r="BO210" i="7"/>
  <c r="BP210" i="7" s="1"/>
  <c r="BK210" i="7"/>
  <c r="BG210" i="7"/>
  <c r="BF210" i="7"/>
  <c r="BN210" i="7"/>
  <c r="BE210" i="7"/>
  <c r="BM210" i="7"/>
  <c r="BN250" i="7"/>
  <c r="BO250" i="7"/>
  <c r="BP250" i="7" s="1"/>
  <c r="BM250" i="7"/>
  <c r="BG250" i="7"/>
  <c r="BL250" i="7"/>
  <c r="BK250" i="7"/>
  <c r="BE250" i="7"/>
  <c r="BF250" i="7"/>
  <c r="S278" i="6"/>
  <c r="X281" i="7" s="1"/>
  <c r="V281" i="7"/>
  <c r="S286" i="6"/>
  <c r="X289" i="7" s="1"/>
  <c r="V289" i="7"/>
  <c r="BF239" i="7"/>
  <c r="BG239" i="7"/>
  <c r="BM239" i="7"/>
  <c r="BO239" i="7"/>
  <c r="BP239" i="7" s="1"/>
  <c r="BE239" i="7"/>
  <c r="BK239" i="7"/>
  <c r="BL239" i="7"/>
  <c r="BN239" i="7"/>
  <c r="S250" i="6"/>
  <c r="X253" i="7" s="1"/>
  <c r="V253" i="7"/>
  <c r="V252" i="6"/>
  <c r="AA255" i="7" s="1"/>
  <c r="AL255" i="7" s="1"/>
  <c r="Y255" i="7"/>
  <c r="S258" i="6"/>
  <c r="X261" i="7" s="1"/>
  <c r="V261" i="7"/>
  <c r="V260" i="6"/>
  <c r="AA263" i="7" s="1"/>
  <c r="AL263" i="7" s="1"/>
  <c r="Y263" i="7"/>
  <c r="V268" i="6"/>
  <c r="AA271" i="7" s="1"/>
  <c r="AL271" i="7" s="1"/>
  <c r="Y271" i="7"/>
  <c r="S120" i="6"/>
  <c r="X123" i="7" s="1"/>
  <c r="V123" i="7"/>
  <c r="AK204" i="7"/>
  <c r="AJ204" i="7"/>
  <c r="AK208" i="7"/>
  <c r="AJ208" i="7"/>
  <c r="AK216" i="7"/>
  <c r="AJ216" i="7"/>
  <c r="AH216" i="7"/>
  <c r="AI216" i="7" s="1"/>
  <c r="S230" i="6"/>
  <c r="X233" i="7" s="1"/>
  <c r="V233" i="7"/>
  <c r="BG281" i="7"/>
  <c r="BM281" i="7"/>
  <c r="BF281" i="7"/>
  <c r="BO281" i="7"/>
  <c r="BP281" i="7" s="1"/>
  <c r="BE281" i="7"/>
  <c r="BK281" i="7"/>
  <c r="BL281" i="7"/>
  <c r="BN281" i="7"/>
  <c r="BG289" i="7"/>
  <c r="BO289" i="7"/>
  <c r="BP289" i="7" s="1"/>
  <c r="BK289" i="7"/>
  <c r="BF289" i="7"/>
  <c r="BE289" i="7"/>
  <c r="BM289" i="7"/>
  <c r="BL289" i="7"/>
  <c r="BN289" i="7"/>
  <c r="Q22" i="5"/>
  <c r="J18" i="1"/>
  <c r="P22" i="5" s="1"/>
  <c r="I18" i="1" s="1"/>
  <c r="U262" i="5"/>
  <c r="X262" i="5"/>
  <c r="V281" i="6"/>
  <c r="AA284" i="7" s="1"/>
  <c r="AL284" i="7" s="1"/>
  <c r="Y284" i="7"/>
  <c r="BM298" i="7"/>
  <c r="BN298" i="7"/>
  <c r="BK298" i="7"/>
  <c r="BF298" i="7"/>
  <c r="BO298" i="7"/>
  <c r="BP298" i="7" s="1"/>
  <c r="BL298" i="7"/>
  <c r="BG298" i="7"/>
  <c r="BE298" i="7"/>
  <c r="BN310" i="7"/>
  <c r="BM310" i="7"/>
  <c r="BK310" i="7"/>
  <c r="BO310" i="7"/>
  <c r="BP310" i="7" s="1"/>
  <c r="BE310" i="7"/>
  <c r="BF310" i="7"/>
  <c r="BL310" i="7"/>
  <c r="BG310" i="7"/>
  <c r="BK314" i="7"/>
  <c r="BF314" i="7"/>
  <c r="BO314" i="7"/>
  <c r="BP314" i="7" s="1"/>
  <c r="BL314" i="7"/>
  <c r="BN314" i="7"/>
  <c r="BG314" i="7"/>
  <c r="BE314" i="7"/>
  <c r="BM314" i="7"/>
  <c r="AJ28" i="7"/>
  <c r="AK28" i="7"/>
  <c r="AH28" i="7"/>
  <c r="AI28" i="7" s="1"/>
  <c r="AJ32" i="7"/>
  <c r="AK32" i="7"/>
  <c r="X85" i="5"/>
  <c r="S165" i="6"/>
  <c r="X168" i="7" s="1"/>
  <c r="V168" i="7"/>
  <c r="BM168" i="7"/>
  <c r="BO168" i="7"/>
  <c r="BP168" i="7" s="1"/>
  <c r="BF168" i="7"/>
  <c r="BG168" i="7"/>
  <c r="BL168" i="7"/>
  <c r="BE168" i="7"/>
  <c r="BK168" i="7"/>
  <c r="BN168" i="7"/>
  <c r="V296" i="6"/>
  <c r="AA299" i="7" s="1"/>
  <c r="AL299" i="7" s="1"/>
  <c r="Y299" i="7"/>
  <c r="BG307" i="7"/>
  <c r="BL307" i="7"/>
  <c r="BK307" i="7"/>
  <c r="BE307" i="7"/>
  <c r="BF307" i="7"/>
  <c r="BN307" i="7"/>
  <c r="BO307" i="7"/>
  <c r="BP307" i="7" s="1"/>
  <c r="BM307" i="7"/>
  <c r="V312" i="6"/>
  <c r="AA315" i="7" s="1"/>
  <c r="AL315" i="7" s="1"/>
  <c r="Y315" i="7"/>
  <c r="BM280" i="7"/>
  <c r="BE280" i="7"/>
  <c r="BF280" i="7"/>
  <c r="BG280" i="7"/>
  <c r="BO280" i="7"/>
  <c r="BP280" i="7" s="1"/>
  <c r="BN280" i="7"/>
  <c r="BK280" i="7"/>
  <c r="BL280" i="7"/>
  <c r="V305" i="6"/>
  <c r="AA308" i="7" s="1"/>
  <c r="AL308" i="7" s="1"/>
  <c r="Y308" i="7"/>
  <c r="S25" i="6"/>
  <c r="X28" i="7" s="1"/>
  <c r="V28" i="7"/>
  <c r="BE219" i="5"/>
  <c r="BF219" i="5" s="1"/>
  <c r="BG219" i="5" s="1"/>
  <c r="AS219" i="5"/>
  <c r="AT219" i="5" s="1"/>
  <c r="AU219" i="5" s="1"/>
  <c r="AC219" i="5" s="1"/>
  <c r="X219" i="5" s="1"/>
  <c r="AJ187" i="7"/>
  <c r="AK187" i="7"/>
  <c r="AH187" i="7"/>
  <c r="AI187" i="7" s="1"/>
  <c r="AJ299" i="7"/>
  <c r="AK299" i="7"/>
  <c r="AH299" i="7"/>
  <c r="AI299" i="7" s="1"/>
  <c r="S306" i="6"/>
  <c r="X309" i="7" s="1"/>
  <c r="V309" i="7"/>
  <c r="BN313" i="7"/>
  <c r="BM313" i="7"/>
  <c r="BG313" i="7"/>
  <c r="BL313" i="7"/>
  <c r="BO313" i="7"/>
  <c r="BP313" i="7" s="1"/>
  <c r="BE313" i="7"/>
  <c r="BF313" i="7"/>
  <c r="BK313" i="7"/>
  <c r="BE68" i="5"/>
  <c r="BF68" i="5" s="1"/>
  <c r="BG68" i="5" s="1"/>
  <c r="AS68" i="5"/>
  <c r="AT68" i="5" s="1"/>
  <c r="AU68" i="5" s="1"/>
  <c r="AC68" i="5" s="1"/>
  <c r="AD87" i="5"/>
  <c r="AE87" i="5"/>
  <c r="AG87" i="5"/>
  <c r="AI87" i="5" s="1"/>
  <c r="AJ87" i="5" s="1"/>
  <c r="AF87" i="5"/>
  <c r="AF126" i="5"/>
  <c r="BG166" i="5"/>
  <c r="AF274" i="5"/>
  <c r="AY35" i="5"/>
  <c r="AZ35" i="5" s="1"/>
  <c r="BA35" i="5" s="1"/>
  <c r="BE35" i="5"/>
  <c r="BF35" i="5" s="1"/>
  <c r="BG35" i="5" s="1"/>
  <c r="BE243" i="5"/>
  <c r="BF243" i="5" s="1"/>
  <c r="BG243" i="5" s="1"/>
  <c r="AS243" i="5"/>
  <c r="AT243" i="5" s="1"/>
  <c r="AU243" i="5" s="1"/>
  <c r="AC243" i="5" s="1"/>
  <c r="X243" i="5" s="1"/>
  <c r="BE308" i="5"/>
  <c r="BF308" i="5" s="1"/>
  <c r="BG308" i="5" s="1"/>
  <c r="AS308" i="5"/>
  <c r="AT308" i="5" s="1"/>
  <c r="AU308" i="5" s="1"/>
  <c r="AC308" i="5" s="1"/>
  <c r="AS239" i="5"/>
  <c r="AT239" i="5" s="1"/>
  <c r="AU239" i="5" s="1"/>
  <c r="AC239" i="5" s="1"/>
  <c r="BE239" i="5"/>
  <c r="BF239" i="5" s="1"/>
  <c r="BG239" i="5" s="1"/>
  <c r="S21" i="5"/>
  <c r="U21" i="5"/>
  <c r="T21" i="5"/>
  <c r="B13" i="12"/>
  <c r="C14" i="12" l="1"/>
  <c r="AH254" i="7"/>
  <c r="AI254" i="7" s="1"/>
  <c r="AH156" i="7"/>
  <c r="AI156" i="7" s="1"/>
  <c r="AH153" i="7"/>
  <c r="AI153" i="7" s="1"/>
  <c r="AH266" i="7"/>
  <c r="AI266" i="7" s="1"/>
  <c r="BK102" i="7"/>
  <c r="AH174" i="7"/>
  <c r="AI174" i="7" s="1"/>
  <c r="X42" i="5"/>
  <c r="AE42" i="5"/>
  <c r="X180" i="5"/>
  <c r="AD180" i="5"/>
  <c r="AE180" i="5"/>
  <c r="X199" i="5"/>
  <c r="AE199" i="5"/>
  <c r="AE62" i="5"/>
  <c r="AF62" i="5"/>
  <c r="AD62" i="5"/>
  <c r="AG62" i="5"/>
  <c r="AI62" i="5" s="1"/>
  <c r="AJ62" i="5" s="1"/>
  <c r="X62" i="5"/>
  <c r="AE151" i="5"/>
  <c r="X151" i="5"/>
  <c r="AF151" i="5"/>
  <c r="AD151" i="5"/>
  <c r="AG151" i="5"/>
  <c r="AI151" i="5" s="1"/>
  <c r="AJ151" i="5" s="1"/>
  <c r="AE234" i="5"/>
  <c r="X234" i="5"/>
  <c r="AF234" i="5"/>
  <c r="AD234" i="5"/>
  <c r="AG234" i="5"/>
  <c r="AI234" i="5" s="1"/>
  <c r="AJ234" i="5" s="1"/>
  <c r="AE274" i="5"/>
  <c r="AD146" i="5"/>
  <c r="AG99" i="5"/>
  <c r="AI99" i="5" s="1"/>
  <c r="AJ99" i="5" s="1"/>
  <c r="AG25" i="5"/>
  <c r="AI25" i="5" s="1"/>
  <c r="AJ25" i="5" s="1"/>
  <c r="BE235" i="5"/>
  <c r="BF235" i="5" s="1"/>
  <c r="BG235" i="5" s="1"/>
  <c r="AF187" i="5"/>
  <c r="AG274" i="5"/>
  <c r="AI274" i="5" s="1"/>
  <c r="AJ274" i="5" s="1"/>
  <c r="AF146" i="5"/>
  <c r="AD187" i="5"/>
  <c r="AF25" i="5"/>
  <c r="AE225" i="5"/>
  <c r="BE237" i="5"/>
  <c r="BF237" i="5" s="1"/>
  <c r="BG237" i="5" s="1"/>
  <c r="BA272" i="5"/>
  <c r="BE173" i="5"/>
  <c r="BF173" i="5" s="1"/>
  <c r="BG173" i="5" s="1"/>
  <c r="AY279" i="5"/>
  <c r="AZ279" i="5" s="1"/>
  <c r="BA279" i="5" s="1"/>
  <c r="BE279" i="5"/>
  <c r="BF279" i="5" s="1"/>
  <c r="BG279" i="5" s="1"/>
  <c r="BA57" i="5"/>
  <c r="AS173" i="5"/>
  <c r="AT173" i="5" s="1"/>
  <c r="AU173" i="5" s="1"/>
  <c r="AC173" i="5" s="1"/>
  <c r="BE159" i="5"/>
  <c r="BF159" i="5" s="1"/>
  <c r="BG159" i="5" s="1"/>
  <c r="BE153" i="5"/>
  <c r="BF153" i="5" s="1"/>
  <c r="BG153" i="5" s="1"/>
  <c r="BA291" i="5"/>
  <c r="BA155" i="5"/>
  <c r="BE134" i="5"/>
  <c r="BF134" i="5" s="1"/>
  <c r="BG134" i="5" s="1"/>
  <c r="AE136" i="5"/>
  <c r="AF136" i="5"/>
  <c r="AG136" i="5"/>
  <c r="AI136" i="5" s="1"/>
  <c r="AJ136" i="5" s="1"/>
  <c r="AD136" i="5"/>
  <c r="AS49" i="5"/>
  <c r="AT49" i="5" s="1"/>
  <c r="AU49" i="5" s="1"/>
  <c r="AC49" i="5" s="1"/>
  <c r="AD274" i="5"/>
  <c r="X146" i="5"/>
  <c r="BE169" i="5"/>
  <c r="BF169" i="5" s="1"/>
  <c r="BG169" i="5" s="1"/>
  <c r="BE214" i="5"/>
  <c r="BF214" i="5" s="1"/>
  <c r="BG214" i="5" s="1"/>
  <c r="BE202" i="5"/>
  <c r="BF202" i="5" s="1"/>
  <c r="BG202" i="5" s="1"/>
  <c r="AF301" i="5"/>
  <c r="AG301" i="5"/>
  <c r="AI301" i="5" s="1"/>
  <c r="AJ301" i="5" s="1"/>
  <c r="AF90" i="5"/>
  <c r="AD90" i="5"/>
  <c r="AG90" i="5"/>
  <c r="AI90" i="5" s="1"/>
  <c r="AJ90" i="5" s="1"/>
  <c r="AE90" i="5"/>
  <c r="AY25" i="5"/>
  <c r="AZ25" i="5" s="1"/>
  <c r="BA25" i="5" s="1"/>
  <c r="BE25" i="5"/>
  <c r="BF25" i="5" s="1"/>
  <c r="BG25" i="5" s="1"/>
  <c r="AG271" i="5"/>
  <c r="AI271" i="5" s="1"/>
  <c r="AJ271" i="5" s="1"/>
  <c r="AF271" i="5"/>
  <c r="AE271" i="5"/>
  <c r="AD271" i="5"/>
  <c r="AG227" i="5"/>
  <c r="AI227" i="5" s="1"/>
  <c r="AJ227" i="5" s="1"/>
  <c r="AE227" i="5"/>
  <c r="AH306" i="7"/>
  <c r="AI306" i="7" s="1"/>
  <c r="BO85" i="7"/>
  <c r="BP85" i="7" s="1"/>
  <c r="AH29" i="7"/>
  <c r="AI29" i="7" s="1"/>
  <c r="BB145" i="7"/>
  <c r="BL215" i="7"/>
  <c r="BB157" i="7"/>
  <c r="BJ157" i="7"/>
  <c r="BJ145" i="7"/>
  <c r="BC145" i="7"/>
  <c r="S74" i="6"/>
  <c r="X77" i="7" s="1"/>
  <c r="V302" i="7"/>
  <c r="BC182" i="7"/>
  <c r="V201" i="7"/>
  <c r="Y195" i="7"/>
  <c r="V204" i="7"/>
  <c r="V31" i="6"/>
  <c r="AA34" i="7" s="1"/>
  <c r="AL34" i="7" s="1"/>
  <c r="V83" i="7"/>
  <c r="AK274" i="7"/>
  <c r="V183" i="7"/>
  <c r="S193" i="6"/>
  <c r="X196" i="7" s="1"/>
  <c r="AJ125" i="7"/>
  <c r="Y153" i="7"/>
  <c r="BF218" i="7"/>
  <c r="BC221" i="7"/>
  <c r="AK112" i="7"/>
  <c r="V134" i="6"/>
  <c r="AA137" i="7" s="1"/>
  <c r="AL137" i="7" s="1"/>
  <c r="V174" i="7"/>
  <c r="S117" i="6"/>
  <c r="X120" i="7" s="1"/>
  <c r="AO72" i="7"/>
  <c r="AQ72" i="7" s="1"/>
  <c r="S65" i="6"/>
  <c r="X68" i="7" s="1"/>
  <c r="V58" i="7"/>
  <c r="BG240" i="7"/>
  <c r="V30" i="6"/>
  <c r="AA33" i="7" s="1"/>
  <c r="AL33" i="7" s="1"/>
  <c r="S47" i="6"/>
  <c r="X50" i="7" s="1"/>
  <c r="AO50" i="7" s="1"/>
  <c r="BF45" i="7"/>
  <c r="AE42" i="6" s="1"/>
  <c r="AK150" i="7"/>
  <c r="S219" i="6"/>
  <c r="X222" i="7" s="1"/>
  <c r="AO222" i="7" s="1"/>
  <c r="V46" i="6"/>
  <c r="AA49" i="7" s="1"/>
  <c r="AL49" i="7" s="1"/>
  <c r="Y68" i="7"/>
  <c r="BC211" i="7"/>
  <c r="BM166" i="7"/>
  <c r="AJ230" i="7"/>
  <c r="Y100" i="7"/>
  <c r="BB211" i="7"/>
  <c r="BN240" i="7"/>
  <c r="BL240" i="7"/>
  <c r="S302" i="6"/>
  <c r="X305" i="7" s="1"/>
  <c r="V188" i="6"/>
  <c r="AA191" i="7" s="1"/>
  <c r="AL191" i="7" s="1"/>
  <c r="BJ221" i="7"/>
  <c r="AJ315" i="7"/>
  <c r="AJ156" i="7"/>
  <c r="Y171" i="7"/>
  <c r="BK240" i="7"/>
  <c r="BE240" i="7"/>
  <c r="AK264" i="7"/>
  <c r="AK51" i="7"/>
  <c r="S42" i="6"/>
  <c r="X45" i="7" s="1"/>
  <c r="AH39" i="7"/>
  <c r="AI39" i="7" s="1"/>
  <c r="BJ182" i="7"/>
  <c r="Y32" i="7"/>
  <c r="V144" i="7"/>
  <c r="BB221" i="7"/>
  <c r="BO240" i="7"/>
  <c r="BP240" i="7" s="1"/>
  <c r="AJ39" i="7"/>
  <c r="BD182" i="7"/>
  <c r="AK300" i="7"/>
  <c r="AO300" i="7" s="1"/>
  <c r="AQ300" i="7" s="1"/>
  <c r="V129" i="6"/>
  <c r="AA132" i="7" s="1"/>
  <c r="AL132" i="7" s="1"/>
  <c r="AN132" i="7" s="1"/>
  <c r="S89" i="6"/>
  <c r="X92" i="7" s="1"/>
  <c r="AJ47" i="7"/>
  <c r="S197" i="6"/>
  <c r="X200" i="7" s="1"/>
  <c r="V266" i="7"/>
  <c r="AJ238" i="7"/>
  <c r="BF97" i="7"/>
  <c r="AE94" i="6" s="1"/>
  <c r="BN144" i="7"/>
  <c r="BN200" i="7"/>
  <c r="BM185" i="7"/>
  <c r="AH138" i="7"/>
  <c r="AI138" i="7" s="1"/>
  <c r="AJ197" i="7"/>
  <c r="Y242" i="7"/>
  <c r="AK153" i="7"/>
  <c r="V95" i="7"/>
  <c r="AQ271" i="7"/>
  <c r="V138" i="7"/>
  <c r="V74" i="6"/>
  <c r="AA77" i="7" s="1"/>
  <c r="AL77" i="7" s="1"/>
  <c r="Y183" i="7"/>
  <c r="AK138" i="7"/>
  <c r="AN138" i="7" s="1"/>
  <c r="AP138" i="7" s="1"/>
  <c r="AK175" i="7"/>
  <c r="AO175" i="7" s="1"/>
  <c r="AQ175" i="7" s="1"/>
  <c r="AG110" i="7"/>
  <c r="BJ110" i="7" s="1"/>
  <c r="V125" i="7"/>
  <c r="AO60" i="7"/>
  <c r="AQ60" i="7" s="1"/>
  <c r="BF240" i="7"/>
  <c r="S90" i="6"/>
  <c r="X93" i="7" s="1"/>
  <c r="AO93" i="7" s="1"/>
  <c r="AQ93" i="7" s="1"/>
  <c r="BK248" i="7"/>
  <c r="AG112" i="7"/>
  <c r="BC112" i="7" s="1"/>
  <c r="AH238" i="7"/>
  <c r="AI238" i="7" s="1"/>
  <c r="AF110" i="7"/>
  <c r="AK201" i="7"/>
  <c r="AO201" i="7" s="1"/>
  <c r="AQ201" i="7" s="1"/>
  <c r="V200" i="6"/>
  <c r="AA203" i="7" s="1"/>
  <c r="AL203" i="7" s="1"/>
  <c r="V109" i="6"/>
  <c r="AA112" i="7" s="1"/>
  <c r="AL112" i="7" s="1"/>
  <c r="AH315" i="7"/>
  <c r="AI315" i="7" s="1"/>
  <c r="BN218" i="7"/>
  <c r="AK254" i="7"/>
  <c r="V215" i="7"/>
  <c r="AK49" i="7"/>
  <c r="AO49" i="7" s="1"/>
  <c r="AQ49" i="7" s="1"/>
  <c r="AH150" i="7"/>
  <c r="AI150" i="7" s="1"/>
  <c r="BK93" i="7"/>
  <c r="BN180" i="7"/>
  <c r="BK218" i="7"/>
  <c r="BD211" i="7"/>
  <c r="V161" i="6"/>
  <c r="AA164" i="7" s="1"/>
  <c r="AL164" i="7" s="1"/>
  <c r="V275" i="6"/>
  <c r="AA278" i="7" s="1"/>
  <c r="AL278" i="7" s="1"/>
  <c r="AN278" i="7" s="1"/>
  <c r="AP278" i="7" s="1"/>
  <c r="AK95" i="7"/>
  <c r="AN95" i="7" s="1"/>
  <c r="AP95" i="7" s="1"/>
  <c r="AH125" i="7"/>
  <c r="AI125" i="7" s="1"/>
  <c r="AK77" i="7"/>
  <c r="V49" i="7"/>
  <c r="BG218" i="7"/>
  <c r="BC289" i="7"/>
  <c r="V302" i="6"/>
  <c r="AA305" i="7" s="1"/>
  <c r="AL305" i="7" s="1"/>
  <c r="AQ263" i="7"/>
  <c r="Y172" i="7"/>
  <c r="AJ142" i="7"/>
  <c r="S107" i="6"/>
  <c r="X110" i="7" s="1"/>
  <c r="V124" i="7"/>
  <c r="S205" i="6"/>
  <c r="X208" i="7" s="1"/>
  <c r="AO208" i="7" s="1"/>
  <c r="AQ208" i="7" s="1"/>
  <c r="BK256" i="7"/>
  <c r="AG295" i="7"/>
  <c r="BB295" i="7" s="1"/>
  <c r="BD72" i="7"/>
  <c r="BN166" i="7"/>
  <c r="V52" i="7"/>
  <c r="BO180" i="7"/>
  <c r="BP180" i="7" s="1"/>
  <c r="AJ220" i="7"/>
  <c r="AJ212" i="7"/>
  <c r="AK213" i="7"/>
  <c r="AN213" i="7" s="1"/>
  <c r="AP213" i="7" s="1"/>
  <c r="S134" i="6"/>
  <c r="X137" i="7" s="1"/>
  <c r="AK146" i="7"/>
  <c r="BG196" i="7"/>
  <c r="S105" i="6"/>
  <c r="X108" i="7" s="1"/>
  <c r="AJ226" i="7"/>
  <c r="V133" i="6"/>
  <c r="AA136" i="7" s="1"/>
  <c r="AL136" i="7" s="1"/>
  <c r="BJ177" i="7"/>
  <c r="BL34" i="7"/>
  <c r="AH31" i="6" s="1"/>
  <c r="BF264" i="7"/>
  <c r="BL300" i="7"/>
  <c r="AH77" i="7"/>
  <c r="AI77" i="7" s="1"/>
  <c r="Q164" i="7"/>
  <c r="R164" i="7" s="1"/>
  <c r="V90" i="6"/>
  <c r="AA93" i="7" s="1"/>
  <c r="AL93" i="7" s="1"/>
  <c r="S238" i="6"/>
  <c r="X241" i="7" s="1"/>
  <c r="Y230" i="7"/>
  <c r="V155" i="7"/>
  <c r="AJ50" i="7"/>
  <c r="AJ130" i="7"/>
  <c r="BK278" i="7"/>
  <c r="V78" i="6"/>
  <c r="AA81" i="7" s="1"/>
  <c r="AL81" i="7" s="1"/>
  <c r="Q295" i="7"/>
  <c r="R295" i="7" s="1"/>
  <c r="BM235" i="7"/>
  <c r="BJ72" i="7"/>
  <c r="AG278" i="7"/>
  <c r="BB278" i="7" s="1"/>
  <c r="BD289" i="7"/>
  <c r="BG93" i="7"/>
  <c r="AF90" i="6" s="1"/>
  <c r="BF54" i="7"/>
  <c r="AE51" i="6" s="1"/>
  <c r="AH130" i="7"/>
  <c r="AI130" i="7" s="1"/>
  <c r="BN295" i="7"/>
  <c r="BG180" i="7"/>
  <c r="BN278" i="7"/>
  <c r="V284" i="7"/>
  <c r="Y142" i="7"/>
  <c r="BL231" i="7"/>
  <c r="V189" i="6"/>
  <c r="AA192" i="7" s="1"/>
  <c r="AL192" i="7" s="1"/>
  <c r="AO82" i="7"/>
  <c r="AQ82" i="7" s="1"/>
  <c r="V39" i="7"/>
  <c r="BB72" i="7"/>
  <c r="AF278" i="7"/>
  <c r="BC189" i="7"/>
  <c r="BJ40" i="7"/>
  <c r="BJ289" i="7"/>
  <c r="BE137" i="7"/>
  <c r="BL135" i="7"/>
  <c r="BD98" i="7"/>
  <c r="BO92" i="7"/>
  <c r="BP92" i="7" s="1"/>
  <c r="BL142" i="7"/>
  <c r="BG278" i="7"/>
  <c r="BJ189" i="7"/>
  <c r="BB40" i="7"/>
  <c r="BC98" i="7"/>
  <c r="V279" i="7"/>
  <c r="S283" i="6"/>
  <c r="X286" i="7" s="1"/>
  <c r="Y231" i="7"/>
  <c r="BE52" i="7"/>
  <c r="AD49" i="6" s="1"/>
  <c r="AH248" i="7"/>
  <c r="AI248" i="7" s="1"/>
  <c r="AK218" i="7"/>
  <c r="AO218" i="7" s="1"/>
  <c r="AQ218" i="7" s="1"/>
  <c r="BK276" i="7"/>
  <c r="V33" i="6"/>
  <c r="AA36" i="7" s="1"/>
  <c r="AL36" i="7" s="1"/>
  <c r="AK248" i="7"/>
  <c r="S30" i="6"/>
  <c r="X33" i="7" s="1"/>
  <c r="BO142" i="7"/>
  <c r="BP142" i="7" s="1"/>
  <c r="BC253" i="7"/>
  <c r="V44" i="6"/>
  <c r="AA47" i="7" s="1"/>
  <c r="AL47" i="7" s="1"/>
  <c r="AN47" i="7" s="1"/>
  <c r="AP47" i="7" s="1"/>
  <c r="AH142" i="7"/>
  <c r="AI142" i="7" s="1"/>
  <c r="BK57" i="7"/>
  <c r="BO276" i="7"/>
  <c r="BP276" i="7" s="1"/>
  <c r="Y273" i="7"/>
  <c r="BO109" i="7"/>
  <c r="BP109" i="7" s="1"/>
  <c r="BN276" i="7"/>
  <c r="AH201" i="7"/>
  <c r="AI201" i="7" s="1"/>
  <c r="Y39" i="7"/>
  <c r="V57" i="7"/>
  <c r="AH69" i="7"/>
  <c r="AI69" i="7" s="1"/>
  <c r="BN206" i="7"/>
  <c r="BL302" i="7"/>
  <c r="Y247" i="7"/>
  <c r="BL222" i="7"/>
  <c r="BO137" i="7"/>
  <c r="BP137" i="7" s="1"/>
  <c r="V287" i="6"/>
  <c r="AA290" i="7" s="1"/>
  <c r="AL290" i="7" s="1"/>
  <c r="V185" i="6"/>
  <c r="AA188" i="7" s="1"/>
  <c r="AL188" i="7" s="1"/>
  <c r="BG244" i="7"/>
  <c r="S200" i="6"/>
  <c r="X203" i="7" s="1"/>
  <c r="BN196" i="7"/>
  <c r="BL278" i="7"/>
  <c r="BF278" i="7"/>
  <c r="V267" i="7"/>
  <c r="V82" i="6"/>
  <c r="AA85" i="7" s="1"/>
  <c r="AL85" i="7" s="1"/>
  <c r="AN85" i="7" s="1"/>
  <c r="AP85" i="7" s="1"/>
  <c r="BK68" i="7"/>
  <c r="AF180" i="7"/>
  <c r="BF180" i="7"/>
  <c r="BM180" i="7"/>
  <c r="BD177" i="7"/>
  <c r="AH49" i="7"/>
  <c r="AI49" i="7" s="1"/>
  <c r="R110" i="7"/>
  <c r="AJ148" i="7"/>
  <c r="BE196" i="7"/>
  <c r="Y306" i="7"/>
  <c r="V135" i="7"/>
  <c r="BO278" i="7"/>
  <c r="BP278" i="7" s="1"/>
  <c r="BE278" i="7"/>
  <c r="AQ239" i="7"/>
  <c r="AN131" i="7"/>
  <c r="AP131" i="7" s="1"/>
  <c r="AG180" i="7"/>
  <c r="BC180" i="7" s="1"/>
  <c r="BL180" i="7"/>
  <c r="BE180" i="7"/>
  <c r="BC177" i="7"/>
  <c r="BO173" i="7"/>
  <c r="BP173" i="7" s="1"/>
  <c r="BN86" i="7"/>
  <c r="BM29" i="7"/>
  <c r="AI26" i="6" s="1"/>
  <c r="BL232" i="7"/>
  <c r="BF128" i="7"/>
  <c r="BM119" i="7"/>
  <c r="S48" i="6"/>
  <c r="X51" i="7" s="1"/>
  <c r="BM278" i="7"/>
  <c r="BK180" i="7"/>
  <c r="BM99" i="7"/>
  <c r="AI96" i="6" s="1"/>
  <c r="BM49" i="7"/>
  <c r="AI46" i="6" s="1"/>
  <c r="BM129" i="7"/>
  <c r="BO241" i="7"/>
  <c r="BP241" i="7" s="1"/>
  <c r="BG142" i="7"/>
  <c r="BL166" i="7"/>
  <c r="BL97" i="7"/>
  <c r="AH94" i="6" s="1"/>
  <c r="Y198" i="7"/>
  <c r="V224" i="6"/>
  <c r="AA227" i="7" s="1"/>
  <c r="AL227" i="7" s="1"/>
  <c r="AN227" i="7" s="1"/>
  <c r="AP227" i="7" s="1"/>
  <c r="AK103" i="7"/>
  <c r="V278" i="7"/>
  <c r="BK166" i="7"/>
  <c r="AK196" i="7"/>
  <c r="AJ99" i="7"/>
  <c r="V26" i="6"/>
  <c r="AA29" i="7" s="1"/>
  <c r="AL29" i="7" s="1"/>
  <c r="BE300" i="7"/>
  <c r="V194" i="6"/>
  <c r="AA197" i="7" s="1"/>
  <c r="AL197" i="7" s="1"/>
  <c r="AN197" i="7" s="1"/>
  <c r="V185" i="7"/>
  <c r="V79" i="7"/>
  <c r="V55" i="6"/>
  <c r="AA58" i="7" s="1"/>
  <c r="AL58" i="7" s="1"/>
  <c r="AN58" i="7" s="1"/>
  <c r="AP58" i="7" s="1"/>
  <c r="Y161" i="7"/>
  <c r="BB298" i="7"/>
  <c r="BF276" i="7"/>
  <c r="BG166" i="7"/>
  <c r="Y110" i="7"/>
  <c r="Y219" i="7"/>
  <c r="S270" i="6"/>
  <c r="X273" i="7" s="1"/>
  <c r="AJ139" i="7"/>
  <c r="Y54" i="7"/>
  <c r="AJ52" i="7"/>
  <c r="V277" i="7"/>
  <c r="S137" i="6"/>
  <c r="X140" i="7" s="1"/>
  <c r="AN140" i="7" s="1"/>
  <c r="Q142" i="7"/>
  <c r="R142" i="7" s="1"/>
  <c r="AH31" i="7"/>
  <c r="AI31" i="7" s="1"/>
  <c r="Q112" i="7"/>
  <c r="R112" i="7" s="1"/>
  <c r="BD216" i="7"/>
  <c r="BN142" i="7"/>
  <c r="BF142" i="7"/>
  <c r="V99" i="7"/>
  <c r="V47" i="7"/>
  <c r="R39" i="7"/>
  <c r="BJ307" i="7"/>
  <c r="Y130" i="7"/>
  <c r="S192" i="6"/>
  <c r="X195" i="7" s="1"/>
  <c r="AO195" i="7" s="1"/>
  <c r="AQ195" i="7" s="1"/>
  <c r="BG86" i="7"/>
  <c r="AF83" i="6" s="1"/>
  <c r="V71" i="6"/>
  <c r="AA74" i="7" s="1"/>
  <c r="AL74" i="7" s="1"/>
  <c r="AN74" i="7" s="1"/>
  <c r="AP74" i="7" s="1"/>
  <c r="BL241" i="7"/>
  <c r="BE85" i="7"/>
  <c r="AD82" i="6" s="1"/>
  <c r="AG142" i="7"/>
  <c r="BJ142" i="7" s="1"/>
  <c r="BM142" i="7"/>
  <c r="BK142" i="7"/>
  <c r="BN254" i="7"/>
  <c r="BD307" i="7"/>
  <c r="Y300" i="7"/>
  <c r="BG276" i="7"/>
  <c r="BE276" i="7"/>
  <c r="V242" i="6"/>
  <c r="AA245" i="7" s="1"/>
  <c r="AL245" i="7" s="1"/>
  <c r="V295" i="7"/>
  <c r="BN85" i="7"/>
  <c r="V32" i="6"/>
  <c r="AA35" i="7" s="1"/>
  <c r="AL35" i="7" s="1"/>
  <c r="AF142" i="7"/>
  <c r="BE142" i="7"/>
  <c r="BE49" i="7"/>
  <c r="AD46" i="6" s="1"/>
  <c r="BD56" i="7"/>
  <c r="BK203" i="7"/>
  <c r="AJ34" i="7"/>
  <c r="BB189" i="7"/>
  <c r="BC40" i="7"/>
  <c r="AH44" i="7"/>
  <c r="AI44" i="7" s="1"/>
  <c r="BJ56" i="7"/>
  <c r="BG137" i="7"/>
  <c r="BM115" i="7"/>
  <c r="BJ98" i="7"/>
  <c r="BM208" i="7"/>
  <c r="BM276" i="7"/>
  <c r="BF166" i="7"/>
  <c r="S150" i="6"/>
  <c r="X153" i="7" s="1"/>
  <c r="BN109" i="7"/>
  <c r="AJ79" i="7"/>
  <c r="V240" i="7"/>
  <c r="Y169" i="7"/>
  <c r="AQ249" i="7"/>
  <c r="Y286" i="7"/>
  <c r="S288" i="6"/>
  <c r="X291" i="7" s="1"/>
  <c r="S158" i="6"/>
  <c r="X161" i="7" s="1"/>
  <c r="AJ105" i="7"/>
  <c r="AO64" i="7"/>
  <c r="AQ64" i="7" s="1"/>
  <c r="AG164" i="7"/>
  <c r="BB164" i="7" s="1"/>
  <c r="AH34" i="7"/>
  <c r="AI34" i="7" s="1"/>
  <c r="AH50" i="7"/>
  <c r="AI50" i="7" s="1"/>
  <c r="BL297" i="7"/>
  <c r="AH95" i="7"/>
  <c r="AI95" i="7" s="1"/>
  <c r="BN237" i="7"/>
  <c r="V136" i="7"/>
  <c r="V85" i="7"/>
  <c r="BE57" i="7"/>
  <c r="AD54" i="6" s="1"/>
  <c r="S203" i="6"/>
  <c r="X206" i="7" s="1"/>
  <c r="BM93" i="7"/>
  <c r="AI90" i="6" s="1"/>
  <c r="BF93" i="7"/>
  <c r="AE90" i="6" s="1"/>
  <c r="V63" i="6"/>
  <c r="AA66" i="7" s="1"/>
  <c r="AL66" i="7" s="1"/>
  <c r="V130" i="7"/>
  <c r="AH52" i="7"/>
  <c r="AI52" i="7" s="1"/>
  <c r="V232" i="6"/>
  <c r="AA235" i="7" s="1"/>
  <c r="AL235" i="7" s="1"/>
  <c r="BE191" i="7"/>
  <c r="S195" i="6"/>
  <c r="X198" i="7" s="1"/>
  <c r="Y173" i="7"/>
  <c r="V298" i="6"/>
  <c r="AA301" i="7" s="1"/>
  <c r="AL301" i="7" s="1"/>
  <c r="S284" i="6"/>
  <c r="X287" i="7" s="1"/>
  <c r="Y129" i="7"/>
  <c r="BE93" i="7"/>
  <c r="AD90" i="6" s="1"/>
  <c r="BO93" i="7"/>
  <c r="BP93" i="7" s="1"/>
  <c r="BG45" i="7"/>
  <c r="AF42" i="6" s="1"/>
  <c r="V288" i="7"/>
  <c r="BO231" i="7"/>
  <c r="BP231" i="7" s="1"/>
  <c r="AJ183" i="7"/>
  <c r="BO232" i="7"/>
  <c r="BP232" i="7" s="1"/>
  <c r="BE288" i="7"/>
  <c r="AK129" i="7"/>
  <c r="AO129" i="7" s="1"/>
  <c r="AQ129" i="7" s="1"/>
  <c r="BB253" i="7"/>
  <c r="AH231" i="7"/>
  <c r="AI231" i="7" s="1"/>
  <c r="BF242" i="7"/>
  <c r="Q47" i="7"/>
  <c r="R47" i="7" s="1"/>
  <c r="BM89" i="7"/>
  <c r="AI86" i="6" s="1"/>
  <c r="BM296" i="7"/>
  <c r="V32" i="7"/>
  <c r="BJ246" i="7"/>
  <c r="BN93" i="7"/>
  <c r="AK86" i="7"/>
  <c r="BF231" i="7"/>
  <c r="AH99" i="7"/>
  <c r="AI99" i="7" s="1"/>
  <c r="BJ253" i="7"/>
  <c r="BL103" i="7"/>
  <c r="AH100" i="6" s="1"/>
  <c r="AH86" i="7"/>
  <c r="AI86" i="7" s="1"/>
  <c r="AK312" i="7"/>
  <c r="BE74" i="7"/>
  <c r="AD71" i="6" s="1"/>
  <c r="AH110" i="7"/>
  <c r="AI110" i="7" s="1"/>
  <c r="BK238" i="7"/>
  <c r="BL224" i="7"/>
  <c r="AK110" i="7"/>
  <c r="AH129" i="7"/>
  <c r="AI129" i="7" s="1"/>
  <c r="BE119" i="7"/>
  <c r="BK119" i="7"/>
  <c r="BL188" i="7"/>
  <c r="BN188" i="7"/>
  <c r="BE105" i="7"/>
  <c r="AD102" i="6" s="1"/>
  <c r="S191" i="6"/>
  <c r="X194" i="7" s="1"/>
  <c r="V194" i="7"/>
  <c r="Y69" i="7"/>
  <c r="V66" i="6"/>
  <c r="AA69" i="7" s="1"/>
  <c r="AL69" i="7" s="1"/>
  <c r="BL77" i="7"/>
  <c r="AH74" i="6" s="1"/>
  <c r="BF77" i="7"/>
  <c r="AE74" i="6" s="1"/>
  <c r="BD106" i="7"/>
  <c r="BC106" i="7"/>
  <c r="Y258" i="7"/>
  <c r="V255" i="6"/>
  <c r="AA258" i="7" s="1"/>
  <c r="AL258" i="7" s="1"/>
  <c r="BN57" i="7"/>
  <c r="BG57" i="7"/>
  <c r="AF54" i="6" s="1"/>
  <c r="BM57" i="7"/>
  <c r="AI54" i="6" s="1"/>
  <c r="BC280" i="7"/>
  <c r="BJ280" i="7"/>
  <c r="BD280" i="7"/>
  <c r="BB280" i="7"/>
  <c r="AJ111" i="7"/>
  <c r="AH111" i="7"/>
  <c r="AI111" i="7" s="1"/>
  <c r="AH54" i="7"/>
  <c r="AI54" i="7" s="1"/>
  <c r="AJ54" i="7"/>
  <c r="AK54" i="7"/>
  <c r="Y215" i="7"/>
  <c r="V212" i="6"/>
  <c r="AA215" i="7" s="1"/>
  <c r="AL215" i="7" s="1"/>
  <c r="AN215" i="7" s="1"/>
  <c r="AJ266" i="7"/>
  <c r="AK266" i="7"/>
  <c r="AO266" i="7" s="1"/>
  <c r="BG36" i="7"/>
  <c r="AF33" i="6" s="1"/>
  <c r="BN36" i="7"/>
  <c r="BL36" i="7"/>
  <c r="AH33" i="6" s="1"/>
  <c r="S97" i="6"/>
  <c r="X100" i="7" s="1"/>
  <c r="AO100" i="7" s="1"/>
  <c r="V100" i="7"/>
  <c r="V193" i="6"/>
  <c r="AA196" i="7" s="1"/>
  <c r="AL196" i="7" s="1"/>
  <c r="Y196" i="7"/>
  <c r="BL129" i="7"/>
  <c r="BO129" i="7"/>
  <c r="BP129" i="7" s="1"/>
  <c r="BG129" i="7"/>
  <c r="BE129" i="7"/>
  <c r="AJ117" i="7"/>
  <c r="AH117" i="7"/>
  <c r="AI117" i="7" s="1"/>
  <c r="AJ118" i="7"/>
  <c r="Y185" i="7"/>
  <c r="S176" i="6"/>
  <c r="X179" i="7" s="1"/>
  <c r="BE36" i="7"/>
  <c r="AD33" i="6" s="1"/>
  <c r="S31" i="6"/>
  <c r="X34" i="7" s="1"/>
  <c r="AO34" i="7" s="1"/>
  <c r="AJ304" i="7"/>
  <c r="Y266" i="7"/>
  <c r="AH100" i="7"/>
  <c r="AI100" i="7" s="1"/>
  <c r="AH118" i="7"/>
  <c r="AI118" i="7" s="1"/>
  <c r="Y117" i="7"/>
  <c r="BN78" i="7"/>
  <c r="BM78" i="7"/>
  <c r="AI75" i="6" s="1"/>
  <c r="BJ106" i="7"/>
  <c r="BM196" i="7"/>
  <c r="BL196" i="7"/>
  <c r="BO196" i="7"/>
  <c r="BP196" i="7" s="1"/>
  <c r="BK196" i="7"/>
  <c r="BE213" i="7"/>
  <c r="BN213" i="7"/>
  <c r="V229" i="7"/>
  <c r="S226" i="6"/>
  <c r="X229" i="7" s="1"/>
  <c r="AO229" i="7" s="1"/>
  <c r="AQ229" i="7" s="1"/>
  <c r="AK128" i="7"/>
  <c r="AO128" i="7" s="1"/>
  <c r="AH128" i="7"/>
  <c r="AI128" i="7" s="1"/>
  <c r="AJ128" i="7"/>
  <c r="Y105" i="7"/>
  <c r="V102" i="6"/>
  <c r="AA105" i="7" s="1"/>
  <c r="AL105" i="7" s="1"/>
  <c r="V289" i="6"/>
  <c r="AA292" i="7" s="1"/>
  <c r="AL292" i="7" s="1"/>
  <c r="Y292" i="7"/>
  <c r="BB275" i="7"/>
  <c r="BC275" i="7"/>
  <c r="V152" i="6"/>
  <c r="AA155" i="7" s="1"/>
  <c r="AL155" i="7" s="1"/>
  <c r="Y155" i="7"/>
  <c r="V306" i="6"/>
  <c r="AA309" i="7" s="1"/>
  <c r="AL309" i="7" s="1"/>
  <c r="Y309" i="7"/>
  <c r="Q279" i="7"/>
  <c r="R279" i="7" s="1"/>
  <c r="BF279" i="7"/>
  <c r="AK311" i="7"/>
  <c r="AN311" i="7" s="1"/>
  <c r="AJ311" i="7"/>
  <c r="V117" i="7"/>
  <c r="S114" i="6"/>
  <c r="X117" i="7" s="1"/>
  <c r="BF295" i="7"/>
  <c r="BO295" i="7"/>
  <c r="BP295" i="7" s="1"/>
  <c r="S83" i="6"/>
  <c r="X86" i="7" s="1"/>
  <c r="V86" i="7"/>
  <c r="BF146" i="7"/>
  <c r="BL146" i="7"/>
  <c r="AJ115" i="7"/>
  <c r="AK115" i="7"/>
  <c r="BO57" i="7"/>
  <c r="BP57" i="7" s="1"/>
  <c r="Y213" i="7"/>
  <c r="AK117" i="7"/>
  <c r="AJ100" i="7"/>
  <c r="V312" i="7"/>
  <c r="S309" i="6"/>
  <c r="X312" i="7" s="1"/>
  <c r="BK58" i="7"/>
  <c r="BF58" i="7"/>
  <c r="AE55" i="6" s="1"/>
  <c r="BL119" i="7"/>
  <c r="BE241" i="7"/>
  <c r="BL218" i="7"/>
  <c r="AO145" i="7"/>
  <c r="AQ145" i="7" s="1"/>
  <c r="BB246" i="7"/>
  <c r="V279" i="6"/>
  <c r="AA282" i="7" s="1"/>
  <c r="AL282" i="7" s="1"/>
  <c r="V232" i="7"/>
  <c r="AJ215" i="7"/>
  <c r="BL93" i="7"/>
  <c r="AH90" i="6" s="1"/>
  <c r="AJ308" i="7"/>
  <c r="AJ69" i="7"/>
  <c r="BK144" i="7"/>
  <c r="BO49" i="7"/>
  <c r="BP49" i="7" s="1"/>
  <c r="AH304" i="7"/>
  <c r="AI304" i="7" s="1"/>
  <c r="AH164" i="7"/>
  <c r="AI164" i="7" s="1"/>
  <c r="AG47" i="7"/>
  <c r="BJ47" i="7" s="1"/>
  <c r="BG290" i="7"/>
  <c r="AQ84" i="7"/>
  <c r="BN163" i="7"/>
  <c r="BN66" i="7"/>
  <c r="BL186" i="7"/>
  <c r="BK272" i="7"/>
  <c r="BN272" i="7"/>
  <c r="BG224" i="7"/>
  <c r="BF224" i="7"/>
  <c r="BM304" i="7"/>
  <c r="AK133" i="7"/>
  <c r="AO133" i="7" s="1"/>
  <c r="AQ133" i="7" s="1"/>
  <c r="V89" i="6"/>
  <c r="AA92" i="7" s="1"/>
  <c r="AL92" i="7" s="1"/>
  <c r="BE272" i="7"/>
  <c r="AJ224" i="7"/>
  <c r="AK224" i="7"/>
  <c r="AO224" i="7" s="1"/>
  <c r="S242" i="6"/>
  <c r="X245" i="7" s="1"/>
  <c r="V245" i="7"/>
  <c r="BM52" i="7"/>
  <c r="AI49" i="6" s="1"/>
  <c r="BG52" i="7"/>
  <c r="AF49" i="6" s="1"/>
  <c r="BO128" i="7"/>
  <c r="BP128" i="7" s="1"/>
  <c r="BN128" i="7"/>
  <c r="AG52" i="7"/>
  <c r="BC52" i="7" s="1"/>
  <c r="Q52" i="7"/>
  <c r="R52" i="7" s="1"/>
  <c r="AF52" i="7"/>
  <c r="BD76" i="7"/>
  <c r="BC76" i="7"/>
  <c r="AK251" i="7"/>
  <c r="AN251" i="7" s="1"/>
  <c r="AJ251" i="7"/>
  <c r="V292" i="6"/>
  <c r="AA295" i="7" s="1"/>
  <c r="AL295" i="7" s="1"/>
  <c r="Y295" i="7"/>
  <c r="AG315" i="7"/>
  <c r="BB315" i="7" s="1"/>
  <c r="Q315" i="7"/>
  <c r="R315" i="7" s="1"/>
  <c r="AF129" i="7"/>
  <c r="BF129" i="7"/>
  <c r="BK129" i="7"/>
  <c r="Q117" i="7"/>
  <c r="R117" i="7" s="1"/>
  <c r="AF117" i="7"/>
  <c r="AG117" i="7"/>
  <c r="BB117" i="7" s="1"/>
  <c r="AG231" i="7"/>
  <c r="AF231" i="7"/>
  <c r="Q231" i="7"/>
  <c r="R231" i="7" s="1"/>
  <c r="BG231" i="7"/>
  <c r="BE231" i="7"/>
  <c r="AF237" i="7"/>
  <c r="AG237" i="7"/>
  <c r="BC237" i="7" s="1"/>
  <c r="BL57" i="7"/>
  <c r="AH54" i="6" s="1"/>
  <c r="BF57" i="7"/>
  <c r="AE54" i="6" s="1"/>
  <c r="BG119" i="7"/>
  <c r="BN119" i="7"/>
  <c r="BN35" i="7"/>
  <c r="AF35" i="7"/>
  <c r="AG35" i="7"/>
  <c r="BC35" i="7" s="1"/>
  <c r="BD71" i="7"/>
  <c r="BB71" i="7"/>
  <c r="BC71" i="7"/>
  <c r="V235" i="6"/>
  <c r="AA238" i="7" s="1"/>
  <c r="AL238" i="7" s="1"/>
  <c r="AN238" i="7" s="1"/>
  <c r="Y238" i="7"/>
  <c r="V254" i="7"/>
  <c r="S251" i="6"/>
  <c r="X254" i="7" s="1"/>
  <c r="BM237" i="7"/>
  <c r="BF237" i="7"/>
  <c r="BE135" i="7"/>
  <c r="BO135" i="7"/>
  <c r="BP135" i="7" s="1"/>
  <c r="BK135" i="7"/>
  <c r="S146" i="6"/>
  <c r="X149" i="7" s="1"/>
  <c r="BG238" i="7"/>
  <c r="BG272" i="7"/>
  <c r="Y232" i="7"/>
  <c r="Y244" i="7"/>
  <c r="AH218" i="7"/>
  <c r="AI218" i="7" s="1"/>
  <c r="V129" i="7"/>
  <c r="BJ71" i="7"/>
  <c r="BM35" i="7"/>
  <c r="AI32" i="6" s="1"/>
  <c r="AK155" i="7"/>
  <c r="AO155" i="7" s="1"/>
  <c r="AQ155" i="7" s="1"/>
  <c r="V247" i="7"/>
  <c r="BE237" i="7"/>
  <c r="S166" i="6"/>
  <c r="X169" i="7" s="1"/>
  <c r="BL237" i="7"/>
  <c r="BG135" i="7"/>
  <c r="BF52" i="7"/>
  <c r="AE49" i="6" s="1"/>
  <c r="BL315" i="7"/>
  <c r="AH112" i="6" s="1"/>
  <c r="BN231" i="7"/>
  <c r="BM231" i="7"/>
  <c r="Y311" i="7"/>
  <c r="BN129" i="7"/>
  <c r="S51" i="6"/>
  <c r="X54" i="7" s="1"/>
  <c r="BL272" i="7"/>
  <c r="BO119" i="7"/>
  <c r="BP119" i="7" s="1"/>
  <c r="BF119" i="7"/>
  <c r="Q35" i="7"/>
  <c r="R35" i="7" s="1"/>
  <c r="Y79" i="7"/>
  <c r="BE35" i="7"/>
  <c r="AD32" i="6" s="1"/>
  <c r="Y44" i="7"/>
  <c r="S279" i="6"/>
  <c r="X282" i="7" s="1"/>
  <c r="V282" i="7"/>
  <c r="AH196" i="7"/>
  <c r="AI196" i="7" s="1"/>
  <c r="BK128" i="7"/>
  <c r="AO75" i="7"/>
  <c r="AQ75" i="7" s="1"/>
  <c r="BG277" i="7"/>
  <c r="AO56" i="7"/>
  <c r="AQ56" i="7" s="1"/>
  <c r="BN148" i="7"/>
  <c r="BO235" i="7"/>
  <c r="BP235" i="7" s="1"/>
  <c r="AH51" i="7"/>
  <c r="AI51" i="7" s="1"/>
  <c r="AO275" i="7"/>
  <c r="AQ275" i="7" s="1"/>
  <c r="BD176" i="7"/>
  <c r="BD101" i="7"/>
  <c r="BB106" i="7"/>
  <c r="AH215" i="7"/>
  <c r="AI215" i="7" s="1"/>
  <c r="BE115" i="7"/>
  <c r="BN262" i="7"/>
  <c r="BE161" i="7"/>
  <c r="BK254" i="7"/>
  <c r="BO305" i="7"/>
  <c r="BP305" i="7" s="1"/>
  <c r="BM266" i="7"/>
  <c r="AH35" i="7"/>
  <c r="AI35" i="7" s="1"/>
  <c r="BL286" i="7"/>
  <c r="BG83" i="7"/>
  <c r="AF80" i="6" s="1"/>
  <c r="BG79" i="7"/>
  <c r="AF76" i="6" s="1"/>
  <c r="BO54" i="7"/>
  <c r="BP54" i="7" s="1"/>
  <c r="BM107" i="7"/>
  <c r="AI104" i="6" s="1"/>
  <c r="AH251" i="7"/>
  <c r="AI251" i="7" s="1"/>
  <c r="AH115" i="7"/>
  <c r="AI115" i="7" s="1"/>
  <c r="AH79" i="7"/>
  <c r="AI79" i="7" s="1"/>
  <c r="BK35" i="7"/>
  <c r="BO186" i="7"/>
  <c r="BP186" i="7" s="1"/>
  <c r="BM312" i="7"/>
  <c r="AH183" i="7"/>
  <c r="AI183" i="7" s="1"/>
  <c r="BF247" i="7"/>
  <c r="BE315" i="7"/>
  <c r="AD112" i="6" s="1"/>
  <c r="V258" i="7"/>
  <c r="S255" i="6"/>
  <c r="X258" i="7" s="1"/>
  <c r="AO258" i="7" s="1"/>
  <c r="AQ258" i="7" s="1"/>
  <c r="BB87" i="7"/>
  <c r="BD87" i="7"/>
  <c r="BC87" i="7"/>
  <c r="BJ87" i="7"/>
  <c r="BE117" i="7"/>
  <c r="BN117" i="7"/>
  <c r="BL117" i="7"/>
  <c r="BM117" i="7"/>
  <c r="BF117" i="7"/>
  <c r="V237" i="7"/>
  <c r="S234" i="6"/>
  <c r="X237" i="7" s="1"/>
  <c r="AO237" i="7" s="1"/>
  <c r="AQ237" i="7" s="1"/>
  <c r="AK57" i="7"/>
  <c r="AN57" i="7" s="1"/>
  <c r="AH57" i="7"/>
  <c r="AI57" i="7" s="1"/>
  <c r="V311" i="7"/>
  <c r="BO117" i="7"/>
  <c r="BP117" i="7" s="1"/>
  <c r="AJ57" i="7"/>
  <c r="S261" i="6"/>
  <c r="X264" i="7" s="1"/>
  <c r="V106" i="6"/>
  <c r="AA109" i="7" s="1"/>
  <c r="AL109" i="7" s="1"/>
  <c r="Y109" i="7"/>
  <c r="BN58" i="7"/>
  <c r="AG58" i="7"/>
  <c r="BD58" i="7" s="1"/>
  <c r="BG58" i="7"/>
  <c r="AF55" i="6" s="1"/>
  <c r="AK256" i="7"/>
  <c r="AJ256" i="7"/>
  <c r="BG95" i="7"/>
  <c r="AF92" i="6" s="1"/>
  <c r="BE95" i="7"/>
  <c r="AD92" i="6" s="1"/>
  <c r="BK305" i="7"/>
  <c r="BO161" i="7"/>
  <c r="BP161" i="7" s="1"/>
  <c r="BL161" i="7"/>
  <c r="BF161" i="7"/>
  <c r="BG161" i="7"/>
  <c r="BM161" i="7"/>
  <c r="BK161" i="7"/>
  <c r="BB268" i="7"/>
  <c r="BC268" i="7"/>
  <c r="AJ36" i="7"/>
  <c r="AH36" i="7"/>
  <c r="AI36" i="7" s="1"/>
  <c r="S303" i="6"/>
  <c r="X306" i="7" s="1"/>
  <c r="V306" i="7"/>
  <c r="AJ35" i="7"/>
  <c r="AK35" i="7"/>
  <c r="AH305" i="7"/>
  <c r="AI305" i="7" s="1"/>
  <c r="AJ305" i="7"/>
  <c r="AK305" i="7"/>
  <c r="V315" i="7"/>
  <c r="BN161" i="7"/>
  <c r="BF222" i="7"/>
  <c r="BM222" i="7"/>
  <c r="AF301" i="7"/>
  <c r="Q301" i="7"/>
  <c r="R301" i="7" s="1"/>
  <c r="BL266" i="7"/>
  <c r="BO172" i="7"/>
  <c r="BP172" i="7" s="1"/>
  <c r="BM172" i="7"/>
  <c r="BJ129" i="7"/>
  <c r="BD129" i="7"/>
  <c r="BC129" i="7"/>
  <c r="Y122" i="7"/>
  <c r="V119" i="6"/>
  <c r="AA122" i="7" s="1"/>
  <c r="AL122" i="7" s="1"/>
  <c r="AK161" i="7"/>
  <c r="AJ161" i="7"/>
  <c r="Y254" i="7"/>
  <c r="V251" i="6"/>
  <c r="AA254" i="7" s="1"/>
  <c r="AL254" i="7" s="1"/>
  <c r="BO153" i="7"/>
  <c r="BP153" i="7" s="1"/>
  <c r="BN153" i="7"/>
  <c r="V276" i="6"/>
  <c r="AA279" i="7" s="1"/>
  <c r="AL279" i="7" s="1"/>
  <c r="Y279" i="7"/>
  <c r="AK200" i="7"/>
  <c r="AJ200" i="7"/>
  <c r="AJ279" i="7"/>
  <c r="AK279" i="7"/>
  <c r="AH279" i="7"/>
  <c r="AI279" i="7" s="1"/>
  <c r="V172" i="7"/>
  <c r="S169" i="6"/>
  <c r="X172" i="7" s="1"/>
  <c r="AN172" i="7" s="1"/>
  <c r="AP172" i="7" s="1"/>
  <c r="BL110" i="7"/>
  <c r="AH107" i="6" s="1"/>
  <c r="BN110" i="7"/>
  <c r="BE110" i="7"/>
  <c r="AD107" i="6" s="1"/>
  <c r="BM110" i="7"/>
  <c r="AI107" i="6" s="1"/>
  <c r="BG110" i="7"/>
  <c r="AF107" i="6" s="1"/>
  <c r="BK110" i="7"/>
  <c r="BO110" i="7"/>
  <c r="BP110" i="7" s="1"/>
  <c r="BB239" i="7"/>
  <c r="BD239" i="7"/>
  <c r="BC239" i="7"/>
  <c r="BJ239" i="7"/>
  <c r="BD63" i="7"/>
  <c r="BC63" i="7"/>
  <c r="BJ63" i="7"/>
  <c r="BB63" i="7"/>
  <c r="S116" i="6"/>
  <c r="X119" i="7" s="1"/>
  <c r="V119" i="7"/>
  <c r="V35" i="7"/>
  <c r="S32" i="6"/>
  <c r="X35" i="7" s="1"/>
  <c r="AF83" i="7"/>
  <c r="AG83" i="7"/>
  <c r="BJ83" i="7" s="1"/>
  <c r="Q83" i="7"/>
  <c r="R83" i="7" s="1"/>
  <c r="BO83" i="7"/>
  <c r="BP83" i="7" s="1"/>
  <c r="BK83" i="7"/>
  <c r="BN83" i="7"/>
  <c r="BE83" i="7"/>
  <c r="AD80" i="6" s="1"/>
  <c r="BL185" i="7"/>
  <c r="BG185" i="7"/>
  <c r="V244" i="7"/>
  <c r="S241" i="6"/>
  <c r="X244" i="7" s="1"/>
  <c r="BL54" i="7"/>
  <c r="AH51" i="6" s="1"/>
  <c r="BN54" i="7"/>
  <c r="BK54" i="7"/>
  <c r="BE54" i="7"/>
  <c r="AD51" i="6" s="1"/>
  <c r="AK92" i="7"/>
  <c r="AJ92" i="7"/>
  <c r="BE215" i="7"/>
  <c r="BO215" i="7"/>
  <c r="BP215" i="7" s="1"/>
  <c r="BM215" i="7"/>
  <c r="BF215" i="7"/>
  <c r="BG215" i="7"/>
  <c r="BK215" i="7"/>
  <c r="BN215" i="7"/>
  <c r="AF215" i="7"/>
  <c r="AG215" i="7"/>
  <c r="Q215" i="7"/>
  <c r="R215" i="7" s="1"/>
  <c r="AJ136" i="7"/>
  <c r="AK136" i="7"/>
  <c r="Y158" i="7"/>
  <c r="BF83" i="7"/>
  <c r="AE80" i="6" s="1"/>
  <c r="BG54" i="7"/>
  <c r="AF51" i="6" s="1"/>
  <c r="AK36" i="7"/>
  <c r="AO36" i="7" s="1"/>
  <c r="BO185" i="7"/>
  <c r="BP185" i="7" s="1"/>
  <c r="BK117" i="7"/>
  <c r="V238" i="6"/>
  <c r="AA241" i="7" s="1"/>
  <c r="AL241" i="7" s="1"/>
  <c r="Y259" i="7"/>
  <c r="Y83" i="7"/>
  <c r="Y179" i="7"/>
  <c r="BM83" i="7"/>
  <c r="AI80" i="6" s="1"/>
  <c r="BM54" i="7"/>
  <c r="AI51" i="6" s="1"/>
  <c r="BD268" i="7"/>
  <c r="BF286" i="7"/>
  <c r="BG117" i="7"/>
  <c r="V251" i="7"/>
  <c r="BF110" i="7"/>
  <c r="AE107" i="6" s="1"/>
  <c r="BN286" i="7"/>
  <c r="S26" i="6"/>
  <c r="X29" i="7" s="1"/>
  <c r="V29" i="7"/>
  <c r="V220" i="7"/>
  <c r="S217" i="6"/>
  <c r="X220" i="7" s="1"/>
  <c r="BL308" i="7"/>
  <c r="BM308" i="7"/>
  <c r="BL47" i="7"/>
  <c r="AH44" i="6" s="1"/>
  <c r="BK47" i="7"/>
  <c r="AN239" i="7"/>
  <c r="AP239" i="7" s="1"/>
  <c r="AH197" i="7"/>
  <c r="AI197" i="7" s="1"/>
  <c r="Q136" i="7"/>
  <c r="R136" i="7" s="1"/>
  <c r="BF228" i="7"/>
  <c r="BK174" i="7"/>
  <c r="BG136" i="7"/>
  <c r="BF270" i="7"/>
  <c r="BM272" i="7"/>
  <c r="BF272" i="7"/>
  <c r="BO220" i="7"/>
  <c r="BP220" i="7" s="1"/>
  <c r="AH92" i="7"/>
  <c r="AI92" i="7" s="1"/>
  <c r="AH200" i="7"/>
  <c r="AI200" i="7" s="1"/>
  <c r="BE112" i="7"/>
  <c r="AD109" i="6" s="1"/>
  <c r="BK79" i="7"/>
  <c r="V38" i="6"/>
  <c r="AA41" i="7" s="1"/>
  <c r="AL41" i="7" s="1"/>
  <c r="AN41" i="7" s="1"/>
  <c r="Y41" i="7"/>
  <c r="BL130" i="7"/>
  <c r="BJ275" i="7"/>
  <c r="BD275" i="7"/>
  <c r="BE204" i="7"/>
  <c r="BE309" i="7"/>
  <c r="AO55" i="7"/>
  <c r="AQ55" i="7" s="1"/>
  <c r="BK44" i="7"/>
  <c r="AH241" i="7"/>
  <c r="AI241" i="7" s="1"/>
  <c r="AH295" i="7"/>
  <c r="AI295" i="7" s="1"/>
  <c r="AK245" i="7"/>
  <c r="AJ245" i="7"/>
  <c r="AH245" i="7"/>
  <c r="AI245" i="7" s="1"/>
  <c r="AH132" i="7"/>
  <c r="AI132" i="7" s="1"/>
  <c r="AJ132" i="7"/>
  <c r="BN132" i="7"/>
  <c r="BK125" i="7"/>
  <c r="BN125" i="7"/>
  <c r="AK231" i="7"/>
  <c r="AJ231" i="7"/>
  <c r="BG35" i="7"/>
  <c r="AF32" i="6" s="1"/>
  <c r="BL35" i="7"/>
  <c r="AH32" i="6" s="1"/>
  <c r="BF35" i="7"/>
  <c r="AE32" i="6" s="1"/>
  <c r="BO35" i="7"/>
  <c r="BP35" i="7" s="1"/>
  <c r="BB281" i="7"/>
  <c r="BJ281" i="7"/>
  <c r="BD281" i="7"/>
  <c r="BC176" i="7"/>
  <c r="BJ176" i="7"/>
  <c r="BB216" i="7"/>
  <c r="BC216" i="7"/>
  <c r="AG136" i="7"/>
  <c r="BN136" i="7"/>
  <c r="BE136" i="7"/>
  <c r="BK136" i="7"/>
  <c r="AF136" i="7"/>
  <c r="BO136" i="7"/>
  <c r="BP136" i="7" s="1"/>
  <c r="BM136" i="7"/>
  <c r="BL136" i="7"/>
  <c r="AH212" i="7"/>
  <c r="AI212" i="7" s="1"/>
  <c r="BL89" i="7"/>
  <c r="AH86" i="6" s="1"/>
  <c r="AH264" i="7"/>
  <c r="AI264" i="7" s="1"/>
  <c r="BN69" i="7"/>
  <c r="BG254" i="7"/>
  <c r="AH136" i="7"/>
  <c r="AI136" i="7" s="1"/>
  <c r="AH175" i="7"/>
  <c r="AI175" i="7" s="1"/>
  <c r="BF158" i="7"/>
  <c r="AH105" i="7"/>
  <c r="AI105" i="7" s="1"/>
  <c r="BM111" i="7"/>
  <c r="AI108" i="6" s="1"/>
  <c r="AH300" i="7"/>
  <c r="AI300" i="7" s="1"/>
  <c r="BF208" i="7"/>
  <c r="BG258" i="7"/>
  <c r="AH112" i="7"/>
  <c r="AI112" i="7" s="1"/>
  <c r="BM197" i="7"/>
  <c r="AG57" i="7"/>
  <c r="AF57" i="7"/>
  <c r="Q57" i="7"/>
  <c r="R57" i="7" s="1"/>
  <c r="BB257" i="7"/>
  <c r="BD257" i="7"/>
  <c r="BC257" i="7"/>
  <c r="BJ257" i="7"/>
  <c r="Q161" i="7"/>
  <c r="R161" i="7" s="1"/>
  <c r="AG161" i="7"/>
  <c r="AO80" i="7"/>
  <c r="AQ80" i="7" s="1"/>
  <c r="AF158" i="7"/>
  <c r="BG31" i="7"/>
  <c r="AF28" i="6" s="1"/>
  <c r="BE173" i="7"/>
  <c r="AH230" i="7"/>
  <c r="AI230" i="7" s="1"/>
  <c r="BE99" i="7"/>
  <c r="AD96" i="6" s="1"/>
  <c r="BC56" i="7"/>
  <c r="BF269" i="7"/>
  <c r="BG296" i="7"/>
  <c r="AH161" i="7"/>
  <c r="AI161" i="7" s="1"/>
  <c r="BC70" i="7"/>
  <c r="BD70" i="7"/>
  <c r="BB70" i="7"/>
  <c r="BJ70" i="7"/>
  <c r="BK292" i="7"/>
  <c r="Y296" i="7"/>
  <c r="BG302" i="7"/>
  <c r="AO253" i="7"/>
  <c r="AQ253" i="7" s="1"/>
  <c r="BG266" i="7"/>
  <c r="BL244" i="7"/>
  <c r="V192" i="7"/>
  <c r="BE97" i="7"/>
  <c r="AD94" i="6" s="1"/>
  <c r="BM47" i="7"/>
  <c r="AI44" i="6" s="1"/>
  <c r="V308" i="7"/>
  <c r="BO286" i="7"/>
  <c r="BP286" i="7" s="1"/>
  <c r="BM286" i="7"/>
  <c r="BL295" i="7"/>
  <c r="BK295" i="7"/>
  <c r="BK279" i="7"/>
  <c r="BE279" i="7"/>
  <c r="BL220" i="7"/>
  <c r="BN204" i="7"/>
  <c r="BK172" i="7"/>
  <c r="BL86" i="7"/>
  <c r="AH83" i="6" s="1"/>
  <c r="AO67" i="7"/>
  <c r="AQ67" i="7" s="1"/>
  <c r="Y297" i="7"/>
  <c r="BK315" i="7"/>
  <c r="BF115" i="7"/>
  <c r="V36" i="7"/>
  <c r="Y146" i="7"/>
  <c r="AJ109" i="7"/>
  <c r="S78" i="6"/>
  <c r="X81" i="7" s="1"/>
  <c r="AJ44" i="7"/>
  <c r="BE232" i="7"/>
  <c r="BF111" i="7"/>
  <c r="AE108" i="6" s="1"/>
  <c r="BF95" i="7"/>
  <c r="AE92" i="6" s="1"/>
  <c r="AH146" i="7"/>
  <c r="AI146" i="7" s="1"/>
  <c r="AK241" i="7"/>
  <c r="AJ241" i="7"/>
  <c r="BE292" i="7"/>
  <c r="BK244" i="7"/>
  <c r="V132" i="7"/>
  <c r="BO47" i="7"/>
  <c r="BP47" i="7" s="1"/>
  <c r="AN190" i="7"/>
  <c r="AP190" i="7" s="1"/>
  <c r="AH311" i="7"/>
  <c r="AI311" i="7" s="1"/>
  <c r="BE286" i="7"/>
  <c r="BG286" i="7"/>
  <c r="BM295" i="7"/>
  <c r="BG295" i="7"/>
  <c r="BL279" i="7"/>
  <c r="BO279" i="7"/>
  <c r="BP279" i="7" s="1"/>
  <c r="BE220" i="7"/>
  <c r="S228" i="6"/>
  <c r="X231" i="7" s="1"/>
  <c r="BL125" i="7"/>
  <c r="BM86" i="7"/>
  <c r="AI83" i="6" s="1"/>
  <c r="BN305" i="7"/>
  <c r="V28" i="6"/>
  <c r="AA31" i="7" s="1"/>
  <c r="AL31" i="7" s="1"/>
  <c r="BG315" i="7"/>
  <c r="AF112" i="6" s="1"/>
  <c r="BK293" i="7"/>
  <c r="Y251" i="7"/>
  <c r="BG115" i="7"/>
  <c r="V224" i="7"/>
  <c r="V78" i="7"/>
  <c r="BG51" i="7"/>
  <c r="AF48" i="6" s="1"/>
  <c r="BK111" i="7"/>
  <c r="BL197" i="7"/>
  <c r="Y264" i="7"/>
  <c r="BK262" i="7"/>
  <c r="BM311" i="7"/>
  <c r="BO163" i="7"/>
  <c r="BP163" i="7" s="1"/>
  <c r="AH213" i="7"/>
  <c r="AI213" i="7" s="1"/>
  <c r="AG279" i="7"/>
  <c r="BK29" i="7"/>
  <c r="BO194" i="7"/>
  <c r="BP194" i="7" s="1"/>
  <c r="BF133" i="7"/>
  <c r="AH66" i="7"/>
  <c r="AI66" i="7" s="1"/>
  <c r="Q129" i="7"/>
  <c r="R129" i="7" s="1"/>
  <c r="S227" i="6"/>
  <c r="X230" i="7" s="1"/>
  <c r="BN173" i="7"/>
  <c r="BK286" i="7"/>
  <c r="BE295" i="7"/>
  <c r="BN279" i="7"/>
  <c r="BG279" i="7"/>
  <c r="V153" i="6"/>
  <c r="AA156" i="7" s="1"/>
  <c r="AL156" i="7" s="1"/>
  <c r="AN156" i="7" s="1"/>
  <c r="BO188" i="7"/>
  <c r="BP188" i="7" s="1"/>
  <c r="BM293" i="7"/>
  <c r="BE68" i="7"/>
  <c r="AD65" i="6" s="1"/>
  <c r="S109" i="6"/>
  <c r="X112" i="7" s="1"/>
  <c r="BK103" i="7"/>
  <c r="AH37" i="7"/>
  <c r="AI37" i="7" s="1"/>
  <c r="AH148" i="7"/>
  <c r="AI148" i="7" s="1"/>
  <c r="V122" i="6"/>
  <c r="AA125" i="7" s="1"/>
  <c r="AL125" i="7" s="1"/>
  <c r="AN125" i="7" s="1"/>
  <c r="AF279" i="7"/>
  <c r="AF306" i="7"/>
  <c r="BE306" i="7"/>
  <c r="BF274" i="7"/>
  <c r="BL274" i="7"/>
  <c r="V272" i="7"/>
  <c r="BL291" i="7"/>
  <c r="BG222" i="7"/>
  <c r="BK222" i="7"/>
  <c r="BN222" i="7"/>
  <c r="BE222" i="7"/>
  <c r="S170" i="6"/>
  <c r="X173" i="7" s="1"/>
  <c r="V173" i="7"/>
  <c r="BK34" i="7"/>
  <c r="BG34" i="7"/>
  <c r="AF31" i="6" s="1"/>
  <c r="V234" i="6"/>
  <c r="AA237" i="7" s="1"/>
  <c r="AL237" i="7" s="1"/>
  <c r="Y237" i="7"/>
  <c r="BK266" i="7"/>
  <c r="BO266" i="7"/>
  <c r="BP266" i="7" s="1"/>
  <c r="BN266" i="7"/>
  <c r="BE172" i="7"/>
  <c r="BL172" i="7"/>
  <c r="BF172" i="7"/>
  <c r="Y51" i="7"/>
  <c r="V48" i="6"/>
  <c r="AA51" i="7" s="1"/>
  <c r="AL51" i="7" s="1"/>
  <c r="BM282" i="7"/>
  <c r="BG282" i="7"/>
  <c r="BE86" i="7"/>
  <c r="AD83" i="6" s="1"/>
  <c r="BO86" i="7"/>
  <c r="BP86" i="7" s="1"/>
  <c r="BF86" i="7"/>
  <c r="AE83" i="6" s="1"/>
  <c r="BK86" i="7"/>
  <c r="S102" i="6"/>
  <c r="X105" i="7" s="1"/>
  <c r="V105" i="7"/>
  <c r="AG158" i="7"/>
  <c r="BO158" i="7"/>
  <c r="BP158" i="7" s="1"/>
  <c r="Q158" i="7"/>
  <c r="R158" i="7" s="1"/>
  <c r="BL115" i="7"/>
  <c r="BN115" i="7"/>
  <c r="BK115" i="7"/>
  <c r="BO115" i="7"/>
  <c r="BP115" i="7" s="1"/>
  <c r="BF244" i="7"/>
  <c r="BM244" i="7"/>
  <c r="BE244" i="7"/>
  <c r="BO244" i="7"/>
  <c r="BP244" i="7" s="1"/>
  <c r="BK89" i="7"/>
  <c r="BN89" i="7"/>
  <c r="BF89" i="7"/>
  <c r="AE86" i="6" s="1"/>
  <c r="BG232" i="7"/>
  <c r="BN232" i="7"/>
  <c r="BM232" i="7"/>
  <c r="BK232" i="7"/>
  <c r="BO95" i="7"/>
  <c r="BP95" i="7" s="1"/>
  <c r="BK95" i="7"/>
  <c r="BM95" i="7"/>
  <c r="AI92" i="6" s="1"/>
  <c r="BL95" i="7"/>
  <c r="AH92" i="6" s="1"/>
  <c r="BF39" i="7"/>
  <c r="AE36" i="6" s="1"/>
  <c r="BN39" i="7"/>
  <c r="BO39" i="7"/>
  <c r="BP39" i="7" s="1"/>
  <c r="BG39" i="7"/>
  <c r="AF36" i="6" s="1"/>
  <c r="BL39" i="7"/>
  <c r="AH36" i="6" s="1"/>
  <c r="BM39" i="7"/>
  <c r="AI36" i="6" s="1"/>
  <c r="BG305" i="7"/>
  <c r="BE305" i="7"/>
  <c r="BM305" i="7"/>
  <c r="BL305" i="7"/>
  <c r="BJ167" i="7"/>
  <c r="BB167" i="7"/>
  <c r="BD167" i="7"/>
  <c r="AJ102" i="7"/>
  <c r="AK102" i="7"/>
  <c r="AO102" i="7" s="1"/>
  <c r="AH206" i="7"/>
  <c r="AI206" i="7" s="1"/>
  <c r="AK206" i="7"/>
  <c r="Q125" i="7"/>
  <c r="R125" i="7" s="1"/>
  <c r="AG125" i="7"/>
  <c r="BD125" i="7" s="1"/>
  <c r="AJ240" i="7"/>
  <c r="AK240" i="7"/>
  <c r="AO240" i="7" s="1"/>
  <c r="BN308" i="7"/>
  <c r="BG308" i="7"/>
  <c r="BK308" i="7"/>
  <c r="BG47" i="7"/>
  <c r="AF44" i="6" s="1"/>
  <c r="BF47" i="7"/>
  <c r="AE44" i="6" s="1"/>
  <c r="BN47" i="7"/>
  <c r="BE47" i="7"/>
  <c r="AD44" i="6" s="1"/>
  <c r="BM125" i="7"/>
  <c r="BG125" i="7"/>
  <c r="BO125" i="7"/>
  <c r="BP125" i="7" s="1"/>
  <c r="BF125" i="7"/>
  <c r="BD39" i="7"/>
  <c r="BC39" i="7"/>
  <c r="AH120" i="7"/>
  <c r="AI120" i="7" s="1"/>
  <c r="AJ120" i="7"/>
  <c r="BJ121" i="7"/>
  <c r="BC121" i="7"/>
  <c r="AJ83" i="7"/>
  <c r="V237" i="6"/>
  <c r="AA240" i="7" s="1"/>
  <c r="AL240" i="7" s="1"/>
  <c r="Y240" i="7"/>
  <c r="BO315" i="7"/>
  <c r="BP315" i="7" s="1"/>
  <c r="BM315" i="7"/>
  <c r="AI112" i="6" s="1"/>
  <c r="BN315" i="7"/>
  <c r="BF315" i="7"/>
  <c r="AE112" i="6" s="1"/>
  <c r="AF125" i="7"/>
  <c r="BJ39" i="7"/>
  <c r="BN264" i="7"/>
  <c r="BL264" i="7"/>
  <c r="BM264" i="7"/>
  <c r="BK39" i="7"/>
  <c r="S185" i="6"/>
  <c r="X188" i="7" s="1"/>
  <c r="BE125" i="7"/>
  <c r="AK120" i="7"/>
  <c r="BF305" i="7"/>
  <c r="BF290" i="7"/>
  <c r="AK296" i="7"/>
  <c r="AO296" i="7" s="1"/>
  <c r="AQ296" i="7" s="1"/>
  <c r="AH109" i="7"/>
  <c r="AI109" i="7" s="1"/>
  <c r="BF232" i="7"/>
  <c r="BN95" i="7"/>
  <c r="R240" i="7"/>
  <c r="BL118" i="7"/>
  <c r="BG118" i="7"/>
  <c r="BD121" i="7"/>
  <c r="AK83" i="7"/>
  <c r="AG41" i="7"/>
  <c r="BD41" i="7" s="1"/>
  <c r="BO41" i="7"/>
  <c r="BP41" i="7" s="1"/>
  <c r="AG297" i="7"/>
  <c r="BB297" i="7" s="1"/>
  <c r="AF297" i="7"/>
  <c r="BO242" i="7"/>
  <c r="BP242" i="7" s="1"/>
  <c r="Y118" i="7"/>
  <c r="V115" i="6"/>
  <c r="AA118" i="7" s="1"/>
  <c r="AL118" i="7" s="1"/>
  <c r="AN118" i="7" s="1"/>
  <c r="BF100" i="7"/>
  <c r="AE97" i="6" s="1"/>
  <c r="BK100" i="7"/>
  <c r="BO208" i="7"/>
  <c r="BP208" i="7" s="1"/>
  <c r="BG33" i="7"/>
  <c r="AF30" i="6" s="1"/>
  <c r="BN33" i="7"/>
  <c r="BO259" i="7"/>
  <c r="BP259" i="7" s="1"/>
  <c r="BG259" i="7"/>
  <c r="BL259" i="7"/>
  <c r="BE259" i="7"/>
  <c r="BM259" i="7"/>
  <c r="AF58" i="7"/>
  <c r="BO58" i="7"/>
  <c r="BP58" i="7" s="1"/>
  <c r="BM58" i="7"/>
  <c r="AI55" i="6" s="1"/>
  <c r="Q58" i="7"/>
  <c r="R58" i="7" s="1"/>
  <c r="BE58" i="7"/>
  <c r="AD55" i="6" s="1"/>
  <c r="BL58" i="7"/>
  <c r="AH55" i="6" s="1"/>
  <c r="R278" i="7"/>
  <c r="AH90" i="7"/>
  <c r="AI90" i="7" s="1"/>
  <c r="BE228" i="7"/>
  <c r="BO258" i="7"/>
  <c r="BP258" i="7" s="1"/>
  <c r="BG130" i="7"/>
  <c r="BL99" i="7"/>
  <c r="AH96" i="6" s="1"/>
  <c r="BC210" i="7"/>
  <c r="BJ210" i="7"/>
  <c r="BD210" i="7"/>
  <c r="BB210" i="7"/>
  <c r="AN275" i="7"/>
  <c r="AP275" i="7" s="1"/>
  <c r="BO32" i="7"/>
  <c r="BP32" i="7" s="1"/>
  <c r="BM155" i="7"/>
  <c r="BG152" i="7"/>
  <c r="BO309" i="7"/>
  <c r="BP309" i="7" s="1"/>
  <c r="AH312" i="7"/>
  <c r="AI312" i="7" s="1"/>
  <c r="AH244" i="7"/>
  <c r="AI244" i="7" s="1"/>
  <c r="BG158" i="7"/>
  <c r="BG41" i="7"/>
  <c r="AF38" i="6" s="1"/>
  <c r="BN220" i="7"/>
  <c r="BF304" i="7"/>
  <c r="BK69" i="7"/>
  <c r="BK118" i="7"/>
  <c r="BM203" i="7"/>
  <c r="AH296" i="7"/>
  <c r="AI296" i="7" s="1"/>
  <c r="BO292" i="7"/>
  <c r="BP292" i="7" s="1"/>
  <c r="AH144" i="7"/>
  <c r="AI144" i="7" s="1"/>
  <c r="AH256" i="7"/>
  <c r="AI256" i="7" s="1"/>
  <c r="BM226" i="7"/>
  <c r="AH102" i="7"/>
  <c r="AI102" i="7" s="1"/>
  <c r="BO62" i="7"/>
  <c r="BP62" i="7" s="1"/>
  <c r="BL164" i="7"/>
  <c r="AH240" i="7"/>
  <c r="AI240" i="7" s="1"/>
  <c r="AH83" i="7"/>
  <c r="AI83" i="7" s="1"/>
  <c r="BN290" i="7"/>
  <c r="BM132" i="7"/>
  <c r="BJ298" i="7"/>
  <c r="BO33" i="7"/>
  <c r="BP33" i="7" s="1"/>
  <c r="BF33" i="7"/>
  <c r="AE30" i="6" s="1"/>
  <c r="BF297" i="7"/>
  <c r="BL109" i="7"/>
  <c r="AH106" i="6" s="1"/>
  <c r="BM194" i="7"/>
  <c r="BL79" i="7"/>
  <c r="AH76" i="6" s="1"/>
  <c r="BG29" i="7"/>
  <c r="AF26" i="6" s="1"/>
  <c r="AN314" i="7"/>
  <c r="AP314" i="7" s="1"/>
  <c r="BG208" i="7"/>
  <c r="BL192" i="7"/>
  <c r="BE290" i="7"/>
  <c r="BE188" i="7"/>
  <c r="BN186" i="7"/>
  <c r="V128" i="7"/>
  <c r="AK31" i="7"/>
  <c r="AO31" i="7" s="1"/>
  <c r="AQ31" i="7" s="1"/>
  <c r="BM100" i="7"/>
  <c r="AI97" i="6" s="1"/>
  <c r="BE41" i="7"/>
  <c r="AD38" i="6" s="1"/>
  <c r="BG139" i="7"/>
  <c r="AH214" i="7"/>
  <c r="AI214" i="7" s="1"/>
  <c r="BF37" i="7"/>
  <c r="AE34" i="6" s="1"/>
  <c r="BM112" i="7"/>
  <c r="AI109" i="6" s="1"/>
  <c r="BE156" i="7"/>
  <c r="AH224" i="7"/>
  <c r="AI224" i="7" s="1"/>
  <c r="AH188" i="7"/>
  <c r="AI188" i="7" s="1"/>
  <c r="BF132" i="7"/>
  <c r="BK132" i="7"/>
  <c r="BJ263" i="7"/>
  <c r="BB263" i="7"/>
  <c r="BC263" i="7"/>
  <c r="BD263" i="7"/>
  <c r="AK290" i="7"/>
  <c r="AO290" i="7" s="1"/>
  <c r="AJ290" i="7"/>
  <c r="AF185" i="7"/>
  <c r="AG185" i="7"/>
  <c r="Q185" i="7"/>
  <c r="R185" i="7" s="1"/>
  <c r="AG128" i="7"/>
  <c r="Q128" i="7"/>
  <c r="R128" i="7" s="1"/>
  <c r="AF128" i="7"/>
  <c r="BJ55" i="7"/>
  <c r="BB55" i="7"/>
  <c r="BD55" i="7"/>
  <c r="BC55" i="7"/>
  <c r="BC298" i="7"/>
  <c r="BE33" i="7"/>
  <c r="AD30" i="6" s="1"/>
  <c r="BL33" i="7"/>
  <c r="AH30" i="6" s="1"/>
  <c r="BG297" i="7"/>
  <c r="Y312" i="7"/>
  <c r="Y304" i="7"/>
  <c r="V269" i="7"/>
  <c r="BG164" i="7"/>
  <c r="BM109" i="7"/>
  <c r="AI106" i="6" s="1"/>
  <c r="BG74" i="7"/>
  <c r="AF71" i="6" s="1"/>
  <c r="BK81" i="7"/>
  <c r="BO52" i="7"/>
  <c r="BP52" i="7" s="1"/>
  <c r="BL52" i="7"/>
  <c r="AH49" i="6" s="1"/>
  <c r="V214" i="7"/>
  <c r="BN194" i="7"/>
  <c r="AK158" i="7"/>
  <c r="BM79" i="7"/>
  <c r="AI76" i="6" s="1"/>
  <c r="BN79" i="7"/>
  <c r="BD246" i="7"/>
  <c r="BF29" i="7"/>
  <c r="AE26" i="6" s="1"/>
  <c r="BL29" i="7"/>
  <c r="AH26" i="6" s="1"/>
  <c r="V290" i="7"/>
  <c r="Y30" i="7"/>
  <c r="Y302" i="7"/>
  <c r="BF287" i="7"/>
  <c r="BK224" i="7"/>
  <c r="BK220" i="7"/>
  <c r="BK208" i="7"/>
  <c r="BL208" i="7"/>
  <c r="BO204" i="7"/>
  <c r="BP204" i="7" s="1"/>
  <c r="AK164" i="7"/>
  <c r="Y154" i="7"/>
  <c r="BE185" i="7"/>
  <c r="BN185" i="7"/>
  <c r="BE158" i="7"/>
  <c r="Y150" i="7"/>
  <c r="V89" i="7"/>
  <c r="BF85" i="7"/>
  <c r="AE82" i="6" s="1"/>
  <c r="Y149" i="7"/>
  <c r="V49" i="6"/>
  <c r="AA52" i="7" s="1"/>
  <c r="AL52" i="7" s="1"/>
  <c r="AN52" i="7" s="1"/>
  <c r="BE45" i="7"/>
  <c r="AD42" i="6" s="1"/>
  <c r="BL290" i="7"/>
  <c r="BF188" i="7"/>
  <c r="BM188" i="7"/>
  <c r="AK188" i="7"/>
  <c r="V30" i="7"/>
  <c r="V226" i="6"/>
  <c r="AA229" i="7" s="1"/>
  <c r="AL229" i="7" s="1"/>
  <c r="BF186" i="7"/>
  <c r="BF99" i="7"/>
  <c r="AE96" i="6" s="1"/>
  <c r="BE308" i="7"/>
  <c r="BO308" i="7"/>
  <c r="BP308" i="7" s="1"/>
  <c r="BN296" i="7"/>
  <c r="AH308" i="7"/>
  <c r="AI308" i="7" s="1"/>
  <c r="V276" i="7"/>
  <c r="V212" i="7"/>
  <c r="V259" i="7"/>
  <c r="Y166" i="7"/>
  <c r="BF200" i="7"/>
  <c r="Y90" i="7"/>
  <c r="BN100" i="7"/>
  <c r="AH47" i="7"/>
  <c r="AI47" i="7" s="1"/>
  <c r="AH41" i="7"/>
  <c r="AI41" i="7" s="1"/>
  <c r="BM256" i="7"/>
  <c r="BN111" i="7"/>
  <c r="BB129" i="7"/>
  <c r="BB76" i="7"/>
  <c r="BL41" i="7"/>
  <c r="AH38" i="6" s="1"/>
  <c r="Q41" i="7"/>
  <c r="R41" i="7" s="1"/>
  <c r="AG163" i="7"/>
  <c r="BC163" i="7" s="1"/>
  <c r="BN130" i="7"/>
  <c r="BK269" i="7"/>
  <c r="V133" i="7"/>
  <c r="BF102" i="7"/>
  <c r="AE99" i="6" s="1"/>
  <c r="BL49" i="7"/>
  <c r="AH46" i="6" s="1"/>
  <c r="AH262" i="7"/>
  <c r="AI262" i="7" s="1"/>
  <c r="BF259" i="7"/>
  <c r="BC101" i="7"/>
  <c r="BL128" i="7"/>
  <c r="BG128" i="7"/>
  <c r="AF41" i="7"/>
  <c r="BK301" i="7"/>
  <c r="BO132" i="7"/>
  <c r="BP132" i="7" s="1"/>
  <c r="BG132" i="7"/>
  <c r="AF232" i="7"/>
  <c r="AG232" i="7"/>
  <c r="Q232" i="7"/>
  <c r="R232" i="7" s="1"/>
  <c r="AG95" i="7"/>
  <c r="Q95" i="7"/>
  <c r="R95" i="7" s="1"/>
  <c r="AF95" i="7"/>
  <c r="AG132" i="7"/>
  <c r="Q132" i="7"/>
  <c r="R132" i="7" s="1"/>
  <c r="AF132" i="7"/>
  <c r="AO298" i="7"/>
  <c r="AQ298" i="7" s="1"/>
  <c r="Q49" i="7"/>
  <c r="R49" i="7" s="1"/>
  <c r="AG49" i="7"/>
  <c r="AF290" i="7"/>
  <c r="AG290" i="7"/>
  <c r="Q290" i="7"/>
  <c r="R290" i="7" s="1"/>
  <c r="AJ185" i="7"/>
  <c r="BG309" i="7"/>
  <c r="BE208" i="7"/>
  <c r="AH260" i="7"/>
  <c r="AI260" i="7" s="1"/>
  <c r="BM290" i="7"/>
  <c r="BG188" i="7"/>
  <c r="BE186" i="7"/>
  <c r="S289" i="6"/>
  <c r="X292" i="7" s="1"/>
  <c r="BM200" i="7"/>
  <c r="V99" i="6"/>
  <c r="AA102" i="7" s="1"/>
  <c r="AL102" i="7" s="1"/>
  <c r="BJ76" i="7"/>
  <c r="BK284" i="7"/>
  <c r="BF49" i="7"/>
  <c r="AE46" i="6" s="1"/>
  <c r="BG49" i="7"/>
  <c r="AF46" i="6" s="1"/>
  <c r="BE126" i="7"/>
  <c r="BE62" i="7"/>
  <c r="AD59" i="6" s="1"/>
  <c r="BJ101" i="7"/>
  <c r="Q297" i="7"/>
  <c r="R297" i="7" s="1"/>
  <c r="BM33" i="7"/>
  <c r="AI30" i="6" s="1"/>
  <c r="BM297" i="7"/>
  <c r="BE164" i="7"/>
  <c r="BL191" i="7"/>
  <c r="AH185" i="7"/>
  <c r="AI185" i="7" s="1"/>
  <c r="BN133" i="7"/>
  <c r="BG109" i="7"/>
  <c r="AF106" i="6" s="1"/>
  <c r="BL74" i="7"/>
  <c r="AH71" i="6" s="1"/>
  <c r="BO81" i="7"/>
  <c r="BP81" i="7" s="1"/>
  <c r="AN80" i="7"/>
  <c r="AP80" i="7" s="1"/>
  <c r="BN52" i="7"/>
  <c r="S223" i="6"/>
  <c r="X226" i="7" s="1"/>
  <c r="AO226" i="7" s="1"/>
  <c r="BG194" i="7"/>
  <c r="BO79" i="7"/>
  <c r="BP79" i="7" s="1"/>
  <c r="BE29" i="7"/>
  <c r="AD26" i="6" s="1"/>
  <c r="BM220" i="7"/>
  <c r="BN208" i="7"/>
  <c r="BF185" i="7"/>
  <c r="BK185" i="7"/>
  <c r="BO290" i="7"/>
  <c r="BP290" i="7" s="1"/>
  <c r="BK290" i="7"/>
  <c r="BK188" i="7"/>
  <c r="BM186" i="7"/>
  <c r="BF308" i="7"/>
  <c r="BN288" i="7"/>
  <c r="AK214" i="7"/>
  <c r="AO214" i="7" s="1"/>
  <c r="AQ214" i="7" s="1"/>
  <c r="BG184" i="7"/>
  <c r="AJ41" i="7"/>
  <c r="BL195" i="7"/>
  <c r="AH274" i="7"/>
  <c r="AI274" i="7" s="1"/>
  <c r="BE226" i="7"/>
  <c r="BF112" i="7"/>
  <c r="AE109" i="6" s="1"/>
  <c r="AJ140" i="7"/>
  <c r="BK49" i="7"/>
  <c r="BN49" i="7"/>
  <c r="BB127" i="7"/>
  <c r="BK259" i="7"/>
  <c r="BM128" i="7"/>
  <c r="BE128" i="7"/>
  <c r="BN259" i="7"/>
  <c r="AH220" i="7"/>
  <c r="AI220" i="7" s="1"/>
  <c r="AH290" i="7"/>
  <c r="AI290" i="7" s="1"/>
  <c r="BL132" i="7"/>
  <c r="BE132" i="7"/>
  <c r="Q305" i="7"/>
  <c r="R305" i="7" s="1"/>
  <c r="AG305" i="7"/>
  <c r="AF305" i="7"/>
  <c r="AF49" i="7"/>
  <c r="AG300" i="5"/>
  <c r="AI300" i="5" s="1"/>
  <c r="AJ300" i="5" s="1"/>
  <c r="AD300" i="5"/>
  <c r="AE300" i="5"/>
  <c r="X300" i="5"/>
  <c r="AF300" i="5"/>
  <c r="BE274" i="7"/>
  <c r="BL245" i="7"/>
  <c r="V214" i="6"/>
  <c r="AA217" i="7" s="1"/>
  <c r="AL217" i="7" s="1"/>
  <c r="AN217" i="7" s="1"/>
  <c r="AP217" i="7" s="1"/>
  <c r="V227" i="7"/>
  <c r="BN309" i="7"/>
  <c r="BO174" i="7"/>
  <c r="BP174" i="7" s="1"/>
  <c r="BF144" i="7"/>
  <c r="V42" i="7"/>
  <c r="AE52" i="5"/>
  <c r="BE78" i="7"/>
  <c r="AD75" i="6" s="1"/>
  <c r="BK78" i="7"/>
  <c r="BO78" i="7"/>
  <c r="BP78" i="7" s="1"/>
  <c r="AE74" i="5"/>
  <c r="AD74" i="5"/>
  <c r="BG206" i="7"/>
  <c r="BM206" i="7"/>
  <c r="BE291" i="7"/>
  <c r="BM291" i="7"/>
  <c r="Q102" i="7"/>
  <c r="R102" i="7" s="1"/>
  <c r="BG102" i="7"/>
  <c r="AF99" i="6" s="1"/>
  <c r="AG222" i="5"/>
  <c r="AI222" i="5" s="1"/>
  <c r="AJ222" i="5" s="1"/>
  <c r="AD222" i="5"/>
  <c r="AD166" i="5"/>
  <c r="X166" i="5"/>
  <c r="BO300" i="7"/>
  <c r="BP300" i="7" s="1"/>
  <c r="BG300" i="7"/>
  <c r="Q247" i="7"/>
  <c r="R247" i="7" s="1"/>
  <c r="AF247" i="7"/>
  <c r="AG247" i="7"/>
  <c r="BD247" i="7" s="1"/>
  <c r="BE266" i="7"/>
  <c r="BF266" i="7"/>
  <c r="BG172" i="7"/>
  <c r="BN172" i="7"/>
  <c r="AN232" i="7"/>
  <c r="AP232" i="7" s="1"/>
  <c r="S225" i="6"/>
  <c r="X228" i="7" s="1"/>
  <c r="AO228" i="7" s="1"/>
  <c r="V228" i="7"/>
  <c r="AE110" i="5"/>
  <c r="AF110" i="5"/>
  <c r="AG110" i="5"/>
  <c r="AI110" i="5" s="1"/>
  <c r="AJ110" i="5" s="1"/>
  <c r="X110" i="5"/>
  <c r="X77" i="2"/>
  <c r="W77" i="2"/>
  <c r="Z77" i="2"/>
  <c r="V77" i="2"/>
  <c r="Q77" i="2" s="1"/>
  <c r="Y77" i="2"/>
  <c r="AG100" i="7"/>
  <c r="Q100" i="7"/>
  <c r="R100" i="7" s="1"/>
  <c r="AF100" i="7"/>
  <c r="BG100" i="7"/>
  <c r="AF97" i="6" s="1"/>
  <c r="BE100" i="7"/>
  <c r="AD97" i="6" s="1"/>
  <c r="BO100" i="7"/>
  <c r="BP100" i="7" s="1"/>
  <c r="BL100" i="7"/>
  <c r="AH97" i="6" s="1"/>
  <c r="AE159" i="5"/>
  <c r="AD159" i="5"/>
  <c r="AG159" i="5"/>
  <c r="AI159" i="5" s="1"/>
  <c r="AJ159" i="5" s="1"/>
  <c r="Q36" i="7"/>
  <c r="R36" i="7" s="1"/>
  <c r="AG36" i="7"/>
  <c r="AF36" i="7"/>
  <c r="BF36" i="7"/>
  <c r="AE33" i="6" s="1"/>
  <c r="BM36" i="7"/>
  <c r="AI33" i="6" s="1"/>
  <c r="BO36" i="7"/>
  <c r="BP36" i="7" s="1"/>
  <c r="BK36" i="7"/>
  <c r="AF55" i="5"/>
  <c r="AG55" i="5"/>
  <c r="AI55" i="5" s="1"/>
  <c r="AJ55" i="5" s="1"/>
  <c r="AE55" i="5"/>
  <c r="AD55" i="5"/>
  <c r="X55" i="5"/>
  <c r="AG166" i="7"/>
  <c r="AF166" i="7"/>
  <c r="Q166" i="7"/>
  <c r="R166" i="7" s="1"/>
  <c r="BO166" i="7"/>
  <c r="BP166" i="7" s="1"/>
  <c r="BE166" i="7"/>
  <c r="AF167" i="5"/>
  <c r="AD167" i="5"/>
  <c r="AE167" i="5"/>
  <c r="AG167" i="5"/>
  <c r="AI167" i="5" s="1"/>
  <c r="AJ167" i="5" s="1"/>
  <c r="X167" i="5"/>
  <c r="X171" i="5"/>
  <c r="AG171" i="5"/>
  <c r="AI171" i="5" s="1"/>
  <c r="AJ171" i="5" s="1"/>
  <c r="AE171" i="5"/>
  <c r="Y267" i="7"/>
  <c r="V264" i="6"/>
  <c r="AA267" i="7" s="1"/>
  <c r="AL267" i="7" s="1"/>
  <c r="BJ82" i="7"/>
  <c r="BD82" i="7"/>
  <c r="BK130" i="7"/>
  <c r="BF130" i="7"/>
  <c r="BE130" i="7"/>
  <c r="BM130" i="7"/>
  <c r="AH242" i="7"/>
  <c r="AI242" i="7" s="1"/>
  <c r="AK242" i="7"/>
  <c r="BK274" i="7"/>
  <c r="BG126" i="7"/>
  <c r="BF62" i="7"/>
  <c r="AE59" i="6" s="1"/>
  <c r="BL309" i="7"/>
  <c r="BF309" i="7"/>
  <c r="V120" i="6"/>
  <c r="AA123" i="7" s="1"/>
  <c r="AL123" i="7" s="1"/>
  <c r="AN123" i="7" s="1"/>
  <c r="BL144" i="7"/>
  <c r="AH169" i="7"/>
  <c r="AI169" i="7" s="1"/>
  <c r="V297" i="7"/>
  <c r="BO195" i="7"/>
  <c r="BP195" i="7" s="1"/>
  <c r="AO202" i="7"/>
  <c r="AQ202" i="7" s="1"/>
  <c r="BO130" i="7"/>
  <c r="BP130" i="7" s="1"/>
  <c r="BE247" i="7"/>
  <c r="BL30" i="7"/>
  <c r="AH27" i="6" s="1"/>
  <c r="BG30" i="7"/>
  <c r="AF27" i="6" s="1"/>
  <c r="S252" i="6"/>
  <c r="X255" i="7" s="1"/>
  <c r="V255" i="7"/>
  <c r="BL42" i="7"/>
  <c r="AH39" i="6" s="1"/>
  <c r="AE281" i="5"/>
  <c r="X281" i="5"/>
  <c r="AF281" i="5"/>
  <c r="BE152" i="7"/>
  <c r="BB82" i="7"/>
  <c r="AF159" i="5"/>
  <c r="BN99" i="7"/>
  <c r="BO99" i="7"/>
  <c r="BP99" i="7" s="1"/>
  <c r="BG99" i="7"/>
  <c r="AF96" i="6" s="1"/>
  <c r="BK99" i="7"/>
  <c r="AH137" i="7"/>
  <c r="AI137" i="7" s="1"/>
  <c r="BK109" i="7"/>
  <c r="BE109" i="7"/>
  <c r="AD106" i="6" s="1"/>
  <c r="AJ244" i="7"/>
  <c r="AK244" i="7"/>
  <c r="BE79" i="7"/>
  <c r="AD76" i="6" s="1"/>
  <c r="BF79" i="7"/>
  <c r="AE76" i="6" s="1"/>
  <c r="AH158" i="7"/>
  <c r="AI158" i="7" s="1"/>
  <c r="BO29" i="7"/>
  <c r="BP29" i="7" s="1"/>
  <c r="BN29" i="7"/>
  <c r="AK301" i="7"/>
  <c r="AO301" i="7" s="1"/>
  <c r="AJ301" i="7"/>
  <c r="AK66" i="7"/>
  <c r="AO66" i="7" s="1"/>
  <c r="AJ66" i="7"/>
  <c r="AG75" i="5"/>
  <c r="AI75" i="5" s="1"/>
  <c r="AJ75" i="5" s="1"/>
  <c r="AE75" i="5"/>
  <c r="AF75" i="5"/>
  <c r="AD75" i="5"/>
  <c r="X75" i="5"/>
  <c r="AE117" i="5"/>
  <c r="AF117" i="5"/>
  <c r="AD117" i="5"/>
  <c r="AG117" i="5"/>
  <c r="AI117" i="5" s="1"/>
  <c r="AJ117" i="5" s="1"/>
  <c r="AK295" i="7"/>
  <c r="AJ295" i="7"/>
  <c r="AE155" i="5"/>
  <c r="AG155" i="5"/>
  <c r="AI155" i="5" s="1"/>
  <c r="AJ155" i="5" s="1"/>
  <c r="AD155" i="5"/>
  <c r="AF155" i="5"/>
  <c r="X155" i="5"/>
  <c r="AF76" i="5"/>
  <c r="AD76" i="5"/>
  <c r="BF235" i="7"/>
  <c r="BL235" i="7"/>
  <c r="BE235" i="7"/>
  <c r="BG235" i="7"/>
  <c r="AH173" i="7"/>
  <c r="AI173" i="7" s="1"/>
  <c r="AK173" i="7"/>
  <c r="Y78" i="7"/>
  <c r="V75" i="6"/>
  <c r="AA78" i="7" s="1"/>
  <c r="AL78" i="7" s="1"/>
  <c r="BO102" i="7"/>
  <c r="BP102" i="7" s="1"/>
  <c r="BE102" i="7"/>
  <c r="AD99" i="6" s="1"/>
  <c r="AF102" i="7"/>
  <c r="BN102" i="7"/>
  <c r="BL102" i="7"/>
  <c r="AH99" i="6" s="1"/>
  <c r="AG102" i="7"/>
  <c r="BJ102" i="7" s="1"/>
  <c r="AH222" i="7"/>
  <c r="AI222" i="7" s="1"/>
  <c r="AJ222" i="7"/>
  <c r="AF52" i="5"/>
  <c r="AD52" i="5"/>
  <c r="AD247" i="5"/>
  <c r="AE247" i="5"/>
  <c r="AF247" i="5"/>
  <c r="AD164" i="5"/>
  <c r="AE164" i="5"/>
  <c r="AG164" i="5"/>
  <c r="AI164" i="5" s="1"/>
  <c r="AJ164" i="5" s="1"/>
  <c r="AF164" i="5"/>
  <c r="AF237" i="5"/>
  <c r="AD237" i="5"/>
  <c r="AG237" i="5"/>
  <c r="AI237" i="5" s="1"/>
  <c r="AJ237" i="5" s="1"/>
  <c r="BO274" i="7"/>
  <c r="BP274" i="7" s="1"/>
  <c r="BE44" i="7"/>
  <c r="AD41" i="6" s="1"/>
  <c r="BF174" i="7"/>
  <c r="BK235" i="7"/>
  <c r="AG52" i="5"/>
  <c r="AI52" i="5" s="1"/>
  <c r="AJ52" i="5" s="1"/>
  <c r="BK195" i="7"/>
  <c r="BF197" i="7"/>
  <c r="BK197" i="7"/>
  <c r="BE197" i="7"/>
  <c r="BG108" i="7"/>
  <c r="AF105" i="6" s="1"/>
  <c r="BL108" i="7"/>
  <c r="AH105" i="6" s="1"/>
  <c r="BL31" i="7"/>
  <c r="AH28" i="6" s="1"/>
  <c r="BO31" i="7"/>
  <c r="BP31" i="7" s="1"/>
  <c r="AJ242" i="7"/>
  <c r="BM102" i="7"/>
  <c r="AI99" i="6" s="1"/>
  <c r="X159" i="5"/>
  <c r="BC82" i="7"/>
  <c r="AD182" i="5"/>
  <c r="AF182" i="5"/>
  <c r="X182" i="5"/>
  <c r="S106" i="6"/>
  <c r="X109" i="7" s="1"/>
  <c r="AO109" i="7" s="1"/>
  <c r="AD110" i="5"/>
  <c r="AE237" i="5"/>
  <c r="BM92" i="7"/>
  <c r="AI89" i="6" s="1"/>
  <c r="BE92" i="7"/>
  <c r="AD89" i="6" s="1"/>
  <c r="V163" i="7"/>
  <c r="S160" i="6"/>
  <c r="X163" i="7" s="1"/>
  <c r="AO163" i="7" s="1"/>
  <c r="AQ163" i="7" s="1"/>
  <c r="BO269" i="7"/>
  <c r="BP269" i="7" s="1"/>
  <c r="BG269" i="7"/>
  <c r="BK153" i="7"/>
  <c r="BE153" i="7"/>
  <c r="BE238" i="7"/>
  <c r="BM238" i="7"/>
  <c r="BN77" i="7"/>
  <c r="BO77" i="7"/>
  <c r="BP77" i="7" s="1"/>
  <c r="BK146" i="7"/>
  <c r="BN146" i="7"/>
  <c r="AF163" i="7"/>
  <c r="BM163" i="7"/>
  <c r="BG163" i="7"/>
  <c r="BM309" i="7"/>
  <c r="BK309" i="7"/>
  <c r="V273" i="6"/>
  <c r="AA276" i="7" s="1"/>
  <c r="AL276" i="7" s="1"/>
  <c r="Y276" i="7"/>
  <c r="BO103" i="7"/>
  <c r="BP103" i="7" s="1"/>
  <c r="BF103" i="7"/>
  <c r="AE100" i="6" s="1"/>
  <c r="BG103" i="7"/>
  <c r="AF100" i="6" s="1"/>
  <c r="BL282" i="7"/>
  <c r="BO282" i="7"/>
  <c r="BP282" i="7" s="1"/>
  <c r="V103" i="7"/>
  <c r="S100" i="6"/>
  <c r="X103" i="7" s="1"/>
  <c r="BC314" i="7"/>
  <c r="BD314" i="7"/>
  <c r="BJ314" i="7"/>
  <c r="BL251" i="7"/>
  <c r="BO251" i="7"/>
  <c r="BP251" i="7" s="1"/>
  <c r="BL203" i="7"/>
  <c r="BN203" i="7"/>
  <c r="BK105" i="7"/>
  <c r="BG105" i="7"/>
  <c r="AF102" i="6" s="1"/>
  <c r="BE111" i="7"/>
  <c r="AD108" i="6" s="1"/>
  <c r="BG111" i="7"/>
  <c r="AF108" i="6" s="1"/>
  <c r="BL111" i="7"/>
  <c r="AH108" i="6" s="1"/>
  <c r="BO111" i="7"/>
  <c r="BP111" i="7" s="1"/>
  <c r="BJ127" i="7"/>
  <c r="BD127" i="7"/>
  <c r="BK158" i="7"/>
  <c r="BM158" i="7"/>
  <c r="BL158" i="7"/>
  <c r="BN158" i="7"/>
  <c r="BN41" i="7"/>
  <c r="BM41" i="7"/>
  <c r="AI38" i="6" s="1"/>
  <c r="BF41" i="7"/>
  <c r="AE38" i="6" s="1"/>
  <c r="BK41" i="7"/>
  <c r="BF220" i="7"/>
  <c r="BG220" i="7"/>
  <c r="BK304" i="7"/>
  <c r="BN304" i="7"/>
  <c r="Y269" i="7"/>
  <c r="V266" i="6"/>
  <c r="AA269" i="7" s="1"/>
  <c r="AL269" i="7" s="1"/>
  <c r="AK262" i="7"/>
  <c r="AJ262" i="7"/>
  <c r="Q85" i="7"/>
  <c r="R85" i="7" s="1"/>
  <c r="AF85" i="7"/>
  <c r="AG85" i="7"/>
  <c r="BK85" i="7"/>
  <c r="BM85" i="7"/>
  <c r="AI82" i="6" s="1"/>
  <c r="BG85" i="7"/>
  <c r="AF82" i="6" s="1"/>
  <c r="BL85" i="7"/>
  <c r="AH82" i="6" s="1"/>
  <c r="P78" i="2"/>
  <c r="O78" i="2"/>
  <c r="N79" i="2"/>
  <c r="Q138" i="7"/>
  <c r="R138" i="7" s="1"/>
  <c r="AF138" i="7"/>
  <c r="AG138" i="7"/>
  <c r="AJ33" i="7"/>
  <c r="AK33" i="7"/>
  <c r="AG250" i="5"/>
  <c r="AI250" i="5" s="1"/>
  <c r="AJ250" i="5" s="1"/>
  <c r="AF250" i="5"/>
  <c r="AD250" i="5"/>
  <c r="AE250" i="5"/>
  <c r="AG180" i="5"/>
  <c r="AI180" i="5" s="1"/>
  <c r="AJ180" i="5" s="1"/>
  <c r="AF180" i="5"/>
  <c r="AD99" i="5"/>
  <c r="AE99" i="5"/>
  <c r="BG195" i="7"/>
  <c r="BF195" i="7"/>
  <c r="BM144" i="7"/>
  <c r="BE144" i="7"/>
  <c r="BO144" i="7"/>
  <c r="BP144" i="7" s="1"/>
  <c r="BG144" i="7"/>
  <c r="AH139" i="7"/>
  <c r="AI139" i="7" s="1"/>
  <c r="BK148" i="7"/>
  <c r="BK226" i="7"/>
  <c r="BF163" i="7"/>
  <c r="AH276" i="7"/>
  <c r="AI276" i="7" s="1"/>
  <c r="AH89" i="7"/>
  <c r="AI89" i="7" s="1"/>
  <c r="AG45" i="5"/>
  <c r="AI45" i="5" s="1"/>
  <c r="AJ45" i="5" s="1"/>
  <c r="AD45" i="5"/>
  <c r="AF45" i="5"/>
  <c r="AE45" i="5"/>
  <c r="F99" i="2"/>
  <c r="A100" i="2"/>
  <c r="B99" i="2"/>
  <c r="AD147" i="5"/>
  <c r="AG147" i="5"/>
  <c r="AI147" i="5" s="1"/>
  <c r="AJ147" i="5" s="1"/>
  <c r="AE147" i="5"/>
  <c r="AF147" i="5"/>
  <c r="AF172" i="5"/>
  <c r="AE172" i="5"/>
  <c r="AG172" i="5"/>
  <c r="AI172" i="5" s="1"/>
  <c r="AJ172" i="5" s="1"/>
  <c r="AD172" i="5"/>
  <c r="V205" i="6"/>
  <c r="AA208" i="7" s="1"/>
  <c r="AL208" i="7" s="1"/>
  <c r="Y208" i="7"/>
  <c r="AD79" i="5"/>
  <c r="AE79" i="5"/>
  <c r="AG79" i="5"/>
  <c r="AI79" i="5" s="1"/>
  <c r="AJ79" i="5" s="1"/>
  <c r="AF79" i="5"/>
  <c r="AH33" i="7"/>
  <c r="AI33" i="7" s="1"/>
  <c r="AH166" i="7"/>
  <c r="AI166" i="7" s="1"/>
  <c r="X79" i="5"/>
  <c r="AF26" i="5"/>
  <c r="AD26" i="5"/>
  <c r="AG26" i="5"/>
  <c r="AI26" i="5" s="1"/>
  <c r="AJ26" i="5" s="1"/>
  <c r="AE26" i="5"/>
  <c r="AO87" i="7"/>
  <c r="AQ87" i="7" s="1"/>
  <c r="BK194" i="7"/>
  <c r="AH179" i="7"/>
  <c r="AI179" i="7" s="1"/>
  <c r="BG242" i="7"/>
  <c r="AH191" i="7"/>
  <c r="AI191" i="7" s="1"/>
  <c r="AH301" i="7"/>
  <c r="AI301" i="7" s="1"/>
  <c r="BK297" i="7"/>
  <c r="R133" i="7"/>
  <c r="AH133" i="7"/>
  <c r="AI133" i="7" s="1"/>
  <c r="BM262" i="7"/>
  <c r="BF66" i="7"/>
  <c r="AE63" i="6" s="1"/>
  <c r="AG116" i="5"/>
  <c r="AI116" i="5" s="1"/>
  <c r="AJ116" i="5" s="1"/>
  <c r="AF116" i="5"/>
  <c r="AD116" i="5"/>
  <c r="AE116" i="5"/>
  <c r="AE261" i="5"/>
  <c r="AG261" i="5"/>
  <c r="AI261" i="5" s="1"/>
  <c r="AJ261" i="5" s="1"/>
  <c r="AF261" i="5"/>
  <c r="AD261" i="5"/>
  <c r="AG208" i="7"/>
  <c r="AF208" i="7"/>
  <c r="Q208" i="7"/>
  <c r="R208" i="7" s="1"/>
  <c r="BG138" i="7"/>
  <c r="BE138" i="7"/>
  <c r="BF138" i="7"/>
  <c r="BK138" i="7"/>
  <c r="BO138" i="7"/>
  <c r="BP138" i="7" s="1"/>
  <c r="BL138" i="7"/>
  <c r="BN138" i="7"/>
  <c r="BM138" i="7"/>
  <c r="Q33" i="7"/>
  <c r="R33" i="7" s="1"/>
  <c r="AG33" i="7"/>
  <c r="AF33" i="7"/>
  <c r="AE153" i="5"/>
  <c r="AG153" i="5"/>
  <c r="AI153" i="5" s="1"/>
  <c r="AJ153" i="5" s="1"/>
  <c r="AF153" i="5"/>
  <c r="AD153" i="5"/>
  <c r="AK166" i="7"/>
  <c r="AO166" i="7" s="1"/>
  <c r="AJ166" i="7"/>
  <c r="AE260" i="5"/>
  <c r="AF260" i="5"/>
  <c r="AD260" i="5"/>
  <c r="AG260" i="5"/>
  <c r="AI260" i="5" s="1"/>
  <c r="AJ260" i="5" s="1"/>
  <c r="AG202" i="5"/>
  <c r="AI202" i="5" s="1"/>
  <c r="AJ202" i="5" s="1"/>
  <c r="AD202" i="5"/>
  <c r="AF202" i="5"/>
  <c r="AE202" i="5"/>
  <c r="Q76" i="2"/>
  <c r="AD198" i="5"/>
  <c r="AF198" i="5"/>
  <c r="AG198" i="5"/>
  <c r="AI198" i="5" s="1"/>
  <c r="AJ198" i="5" s="1"/>
  <c r="AE198" i="5"/>
  <c r="Q203" i="7"/>
  <c r="R203" i="7" s="1"/>
  <c r="AF203" i="7"/>
  <c r="BD73" i="7"/>
  <c r="BB73" i="7"/>
  <c r="BJ73" i="7"/>
  <c r="BC73" i="7"/>
  <c r="BF241" i="7"/>
  <c r="BN258" i="7"/>
  <c r="BM254" i="7"/>
  <c r="BO254" i="7"/>
  <c r="BP254" i="7" s="1"/>
  <c r="BF226" i="7"/>
  <c r="BO206" i="7"/>
  <c r="BP206" i="7" s="1"/>
  <c r="BK206" i="7"/>
  <c r="BM164" i="7"/>
  <c r="Y144" i="7"/>
  <c r="BN137" i="7"/>
  <c r="BM137" i="7"/>
  <c r="V90" i="7"/>
  <c r="Y89" i="7"/>
  <c r="BL133" i="7"/>
  <c r="BN105" i="7"/>
  <c r="BF105" i="7"/>
  <c r="AE102" i="6" s="1"/>
  <c r="BN74" i="7"/>
  <c r="AN285" i="7"/>
  <c r="AP285" i="7" s="1"/>
  <c r="BM242" i="7"/>
  <c r="BN242" i="7"/>
  <c r="V217" i="7"/>
  <c r="BM241" i="7"/>
  <c r="BN241" i="7"/>
  <c r="BN270" i="7"/>
  <c r="BL262" i="7"/>
  <c r="BF254" i="7"/>
  <c r="BL254" i="7"/>
  <c r="BN226" i="7"/>
  <c r="BL226" i="7"/>
  <c r="BL206" i="7"/>
  <c r="BK164" i="7"/>
  <c r="S239" i="6"/>
  <c r="X242" i="7" s="1"/>
  <c r="BE133" i="7"/>
  <c r="BM133" i="7"/>
  <c r="BM105" i="7"/>
  <c r="AI102" i="6" s="1"/>
  <c r="BM74" i="7"/>
  <c r="AI71" i="6" s="1"/>
  <c r="BM44" i="7"/>
  <c r="AI41" i="6" s="1"/>
  <c r="S34" i="6"/>
  <c r="X37" i="7" s="1"/>
  <c r="AO37" i="7" s="1"/>
  <c r="S216" i="6"/>
  <c r="X219" i="7" s="1"/>
  <c r="BF311" i="7"/>
  <c r="BK212" i="7"/>
  <c r="BL242" i="7"/>
  <c r="BE242" i="7"/>
  <c r="BO156" i="7"/>
  <c r="BP156" i="7" s="1"/>
  <c r="BO45" i="7"/>
  <c r="BP45" i="7" s="1"/>
  <c r="BN45" i="7"/>
  <c r="V301" i="7"/>
  <c r="BF301" i="7"/>
  <c r="BL296" i="7"/>
  <c r="BO296" i="7"/>
  <c r="BP296" i="7" s="1"/>
  <c r="BM198" i="7"/>
  <c r="BL200" i="7"/>
  <c r="BG200" i="7"/>
  <c r="BG241" i="7"/>
  <c r="BK241" i="7"/>
  <c r="BG270" i="7"/>
  <c r="BO262" i="7"/>
  <c r="BP262" i="7" s="1"/>
  <c r="BE254" i="7"/>
  <c r="BG226" i="7"/>
  <c r="BO226" i="7"/>
  <c r="BP226" i="7" s="1"/>
  <c r="BF206" i="7"/>
  <c r="BE206" i="7"/>
  <c r="BF164" i="7"/>
  <c r="BN164" i="7"/>
  <c r="BL137" i="7"/>
  <c r="BF137" i="7"/>
  <c r="V160" i="6"/>
  <c r="AA163" i="7" s="1"/>
  <c r="AL163" i="7" s="1"/>
  <c r="BG133" i="7"/>
  <c r="BK133" i="7"/>
  <c r="S66" i="6"/>
  <c r="X69" i="7" s="1"/>
  <c r="BL105" i="7"/>
  <c r="AH102" i="6" s="1"/>
  <c r="BO105" i="7"/>
  <c r="BP105" i="7" s="1"/>
  <c r="AN75" i="7"/>
  <c r="AP75" i="7" s="1"/>
  <c r="BO74" i="7"/>
  <c r="BP74" i="7" s="1"/>
  <c r="BF74" i="7"/>
  <c r="AE71" i="6" s="1"/>
  <c r="AN72" i="7"/>
  <c r="AP72" i="7" s="1"/>
  <c r="BL44" i="7"/>
  <c r="AH41" i="6" s="1"/>
  <c r="V291" i="6"/>
  <c r="AA294" i="7" s="1"/>
  <c r="AL294" i="7" s="1"/>
  <c r="BK242" i="7"/>
  <c r="AO232" i="7"/>
  <c r="AQ232" i="7" s="1"/>
  <c r="BL45" i="7"/>
  <c r="AH42" i="6" s="1"/>
  <c r="BK45" i="7"/>
  <c r="BO284" i="7"/>
  <c r="BP284" i="7" s="1"/>
  <c r="AN265" i="7"/>
  <c r="AP265" i="7" s="1"/>
  <c r="AN257" i="7"/>
  <c r="AP257" i="7" s="1"/>
  <c r="AN249" i="7"/>
  <c r="AP249" i="7" s="1"/>
  <c r="AK78" i="7"/>
  <c r="AO78" i="7" s="1"/>
  <c r="AQ78" i="7" s="1"/>
  <c r="AN64" i="7"/>
  <c r="AP64" i="7" s="1"/>
  <c r="AQ313" i="7"/>
  <c r="BF296" i="7"/>
  <c r="BK296" i="7"/>
  <c r="BG198" i="7"/>
  <c r="BK200" i="7"/>
  <c r="BE200" i="7"/>
  <c r="AK89" i="7"/>
  <c r="AO89" i="7" s="1"/>
  <c r="AQ89" i="7" s="1"/>
  <c r="V293" i="7"/>
  <c r="BG256" i="7"/>
  <c r="BF256" i="7"/>
  <c r="AQ131" i="7"/>
  <c r="BE251" i="7"/>
  <c r="BF251" i="7"/>
  <c r="AF133" i="7"/>
  <c r="AG203" i="7"/>
  <c r="BB203" i="7" s="1"/>
  <c r="BK243" i="7"/>
  <c r="BE203" i="7"/>
  <c r="BE201" i="7"/>
  <c r="AH155" i="7"/>
  <c r="AI155" i="7" s="1"/>
  <c r="BF32" i="7"/>
  <c r="AE29" i="6" s="1"/>
  <c r="BN155" i="7"/>
  <c r="Q109" i="7"/>
  <c r="R109" i="7" s="1"/>
  <c r="AF109" i="7"/>
  <c r="AG109" i="7"/>
  <c r="Q79" i="7"/>
  <c r="R79" i="7" s="1"/>
  <c r="AF79" i="7"/>
  <c r="AG79" i="7"/>
  <c r="S108" i="6"/>
  <c r="X111" i="7" s="1"/>
  <c r="AO111" i="7" s="1"/>
  <c r="V111" i="7"/>
  <c r="Q54" i="7"/>
  <c r="R54" i="7" s="1"/>
  <c r="AG54" i="7"/>
  <c r="AF54" i="7"/>
  <c r="AH259" i="7"/>
  <c r="AI259" i="7" s="1"/>
  <c r="AJ259" i="7"/>
  <c r="AK259" i="7"/>
  <c r="AN259" i="7" s="1"/>
  <c r="BJ162" i="7"/>
  <c r="BD162" i="7"/>
  <c r="BB162" i="7"/>
  <c r="BO243" i="7"/>
  <c r="BP243" i="7" s="1"/>
  <c r="BO133" i="7"/>
  <c r="BP133" i="7" s="1"/>
  <c r="BG311" i="7"/>
  <c r="AN280" i="7"/>
  <c r="AP280" i="7" s="1"/>
  <c r="AR280" i="7" s="1"/>
  <c r="AT280" i="7" s="1"/>
  <c r="V294" i="7"/>
  <c r="AK90" i="7"/>
  <c r="BL107" i="7"/>
  <c r="AH104" i="6" s="1"/>
  <c r="BM301" i="7"/>
  <c r="BE296" i="7"/>
  <c r="BL184" i="7"/>
  <c r="BO200" i="7"/>
  <c r="BP200" i="7" s="1"/>
  <c r="BO108" i="7"/>
  <c r="BP108" i="7" s="1"/>
  <c r="AO76" i="7"/>
  <c r="AQ76" i="7" s="1"/>
  <c r="BO256" i="7"/>
  <c r="BP256" i="7" s="1"/>
  <c r="BE256" i="7"/>
  <c r="BK251" i="7"/>
  <c r="BG148" i="7"/>
  <c r="AG133" i="7"/>
  <c r="BJ133" i="7" s="1"/>
  <c r="Y220" i="7"/>
  <c r="BN260" i="7"/>
  <c r="BN214" i="7"/>
  <c r="BO294" i="7"/>
  <c r="BP294" i="7" s="1"/>
  <c r="BL154" i="7"/>
  <c r="BG247" i="7"/>
  <c r="AO278" i="7"/>
  <c r="AQ278" i="7" s="1"/>
  <c r="Q196" i="7"/>
  <c r="R196" i="7" s="1"/>
  <c r="AG196" i="7"/>
  <c r="AF196" i="7"/>
  <c r="BL213" i="7"/>
  <c r="BK213" i="7"/>
  <c r="BM213" i="7"/>
  <c r="BO213" i="7"/>
  <c r="BP213" i="7" s="1"/>
  <c r="BG213" i="7"/>
  <c r="BF213" i="7"/>
  <c r="AG259" i="7"/>
  <c r="Q259" i="7"/>
  <c r="R259" i="7" s="1"/>
  <c r="AF259" i="7"/>
  <c r="BJ116" i="7"/>
  <c r="BC116" i="7"/>
  <c r="BD116" i="7"/>
  <c r="BB116" i="7"/>
  <c r="BJ265" i="7"/>
  <c r="BC265" i="7"/>
  <c r="BB265" i="7"/>
  <c r="BD265" i="7"/>
  <c r="Q229" i="7"/>
  <c r="R229" i="7" s="1"/>
  <c r="BM229" i="7"/>
  <c r="BE229" i="7"/>
  <c r="BL229" i="7"/>
  <c r="BF229" i="7"/>
  <c r="AG229" i="7"/>
  <c r="BG229" i="7"/>
  <c r="BO229" i="7"/>
  <c r="BP229" i="7" s="1"/>
  <c r="BN229" i="7"/>
  <c r="BK229" i="7"/>
  <c r="AF229" i="7"/>
  <c r="AF111" i="7"/>
  <c r="AG111" i="7"/>
  <c r="Q111" i="7"/>
  <c r="R111" i="7" s="1"/>
  <c r="V108" i="6"/>
  <c r="AA111" i="7" s="1"/>
  <c r="AL111" i="7" s="1"/>
  <c r="Y111" i="7"/>
  <c r="BE120" i="7"/>
  <c r="BL120" i="7"/>
  <c r="BN120" i="7"/>
  <c r="BO120" i="7"/>
  <c r="BP120" i="7" s="1"/>
  <c r="BG120" i="7"/>
  <c r="BM120" i="7"/>
  <c r="BF120" i="7"/>
  <c r="BK120" i="7"/>
  <c r="AF251" i="7"/>
  <c r="AG251" i="7"/>
  <c r="Q251" i="7"/>
  <c r="R251" i="7" s="1"/>
  <c r="S112" i="6"/>
  <c r="X115" i="7" s="1"/>
  <c r="V115" i="7"/>
  <c r="Q296" i="7"/>
  <c r="R296" i="7" s="1"/>
  <c r="AG296" i="7"/>
  <c r="AF296" i="7"/>
  <c r="BG203" i="7"/>
  <c r="BO164" i="7"/>
  <c r="BP164" i="7" s="1"/>
  <c r="BK74" i="7"/>
  <c r="Y126" i="7"/>
  <c r="AN298" i="7"/>
  <c r="AP298" i="7" s="1"/>
  <c r="BM45" i="7"/>
  <c r="AI42" i="6" s="1"/>
  <c r="AJ243" i="7"/>
  <c r="BK137" i="7"/>
  <c r="AJ90" i="7"/>
  <c r="BN256" i="7"/>
  <c r="V74" i="7"/>
  <c r="AN56" i="7"/>
  <c r="AP56" i="7" s="1"/>
  <c r="BN251" i="7"/>
  <c r="BG251" i="7"/>
  <c r="BK66" i="7"/>
  <c r="BF203" i="7"/>
  <c r="AH226" i="7"/>
  <c r="AI226" i="7" s="1"/>
  <c r="BO203" i="7"/>
  <c r="BP203" i="7" s="1"/>
  <c r="AN91" i="7"/>
  <c r="AP91" i="7" s="1"/>
  <c r="AN236" i="7"/>
  <c r="AP236" i="7" s="1"/>
  <c r="AO257" i="7"/>
  <c r="AQ257" i="7" s="1"/>
  <c r="AO88" i="7"/>
  <c r="AQ88" i="7" s="1"/>
  <c r="AH103" i="7"/>
  <c r="AI103" i="7" s="1"/>
  <c r="AH180" i="7"/>
  <c r="AI180" i="7" s="1"/>
  <c r="AO94" i="7"/>
  <c r="AQ94" i="7" s="1"/>
  <c r="BO139" i="7"/>
  <c r="BP139" i="7" s="1"/>
  <c r="BO37" i="7"/>
  <c r="BP37" i="7" s="1"/>
  <c r="AG86" i="7"/>
  <c r="Q86" i="7"/>
  <c r="R86" i="7" s="1"/>
  <c r="AF86" i="7"/>
  <c r="Q115" i="7"/>
  <c r="R115" i="7" s="1"/>
  <c r="AG115" i="7"/>
  <c r="AF115" i="7"/>
  <c r="AG244" i="7"/>
  <c r="AF244" i="7"/>
  <c r="Q244" i="7"/>
  <c r="R244" i="7" s="1"/>
  <c r="AG105" i="7"/>
  <c r="AF105" i="7"/>
  <c r="Q105" i="7"/>
  <c r="R105" i="7" s="1"/>
  <c r="BB67" i="7"/>
  <c r="BJ67" i="7"/>
  <c r="BC67" i="7"/>
  <c r="BD67" i="7"/>
  <c r="AG120" i="7"/>
  <c r="Q120" i="7"/>
  <c r="R120" i="7" s="1"/>
  <c r="AF120" i="7"/>
  <c r="BB61" i="7"/>
  <c r="BJ61" i="7"/>
  <c r="BC61" i="7"/>
  <c r="BD61" i="7"/>
  <c r="AG213" i="7"/>
  <c r="Q213" i="7"/>
  <c r="R213" i="7" s="1"/>
  <c r="AF213" i="7"/>
  <c r="BO42" i="7"/>
  <c r="BP42" i="7" s="1"/>
  <c r="AF156" i="7"/>
  <c r="Q156" i="7"/>
  <c r="R156" i="7" s="1"/>
  <c r="AG156" i="7"/>
  <c r="V269" i="6"/>
  <c r="AA272" i="7" s="1"/>
  <c r="AL272" i="7" s="1"/>
  <c r="Y272" i="7"/>
  <c r="AF69" i="7"/>
  <c r="Q69" i="7"/>
  <c r="R69" i="7" s="1"/>
  <c r="AG69" i="7"/>
  <c r="AF126" i="7"/>
  <c r="Q126" i="7"/>
  <c r="R126" i="7" s="1"/>
  <c r="AG126" i="7"/>
  <c r="AF248" i="7"/>
  <c r="AG248" i="7"/>
  <c r="Q248" i="7"/>
  <c r="R248" i="7" s="1"/>
  <c r="V100" i="6"/>
  <c r="AA103" i="7" s="1"/>
  <c r="AL103" i="7" s="1"/>
  <c r="Y103" i="7"/>
  <c r="BF306" i="7"/>
  <c r="BN302" i="7"/>
  <c r="BF302" i="7"/>
  <c r="BE270" i="7"/>
  <c r="BE258" i="7"/>
  <c r="BF191" i="7"/>
  <c r="Y175" i="7"/>
  <c r="BL126" i="7"/>
  <c r="BM69" i="7"/>
  <c r="AI66" i="6" s="1"/>
  <c r="BG97" i="7"/>
  <c r="AF94" i="6" s="1"/>
  <c r="BE66" i="7"/>
  <c r="AD63" i="6" s="1"/>
  <c r="V62" i="7"/>
  <c r="BG62" i="7"/>
  <c r="AF59" i="6" s="1"/>
  <c r="BK228" i="7"/>
  <c r="BG204" i="7"/>
  <c r="BF156" i="7"/>
  <c r="BG92" i="7"/>
  <c r="AF89" i="6" s="1"/>
  <c r="BL301" i="7"/>
  <c r="BN294" i="7"/>
  <c r="BE30" i="7"/>
  <c r="AD27" i="6" s="1"/>
  <c r="BO291" i="7"/>
  <c r="BP291" i="7" s="1"/>
  <c r="BN291" i="7"/>
  <c r="BL198" i="7"/>
  <c r="BO198" i="7"/>
  <c r="BP198" i="7" s="1"/>
  <c r="AJ137" i="7"/>
  <c r="AJ180" i="7"/>
  <c r="BO248" i="7"/>
  <c r="BP248" i="7" s="1"/>
  <c r="BE248" i="7"/>
  <c r="AH123" i="7"/>
  <c r="AI123" i="7" s="1"/>
  <c r="BM247" i="7"/>
  <c r="BO247" i="7"/>
  <c r="BP247" i="7" s="1"/>
  <c r="BK154" i="7"/>
  <c r="BG112" i="7"/>
  <c r="AF109" i="6" s="1"/>
  <c r="BG123" i="7"/>
  <c r="AF264" i="7"/>
  <c r="Q264" i="7"/>
  <c r="R264" i="7" s="1"/>
  <c r="AG264" i="7"/>
  <c r="BD187" i="7"/>
  <c r="BC187" i="7"/>
  <c r="BJ187" i="7"/>
  <c r="BB187" i="7"/>
  <c r="AF44" i="7"/>
  <c r="Q44" i="7"/>
  <c r="R44" i="7" s="1"/>
  <c r="AG44" i="7"/>
  <c r="AG300" i="7"/>
  <c r="AF300" i="7"/>
  <c r="Q300" i="7"/>
  <c r="R300" i="7" s="1"/>
  <c r="AF304" i="7"/>
  <c r="AG304" i="7"/>
  <c r="Q304" i="7"/>
  <c r="R304" i="7" s="1"/>
  <c r="Q269" i="7"/>
  <c r="R269" i="7" s="1"/>
  <c r="AG269" i="7"/>
  <c r="AF269" i="7"/>
  <c r="AF153" i="7"/>
  <c r="AG153" i="7"/>
  <c r="Q153" i="7"/>
  <c r="R153" i="7" s="1"/>
  <c r="AF238" i="7"/>
  <c r="Q238" i="7"/>
  <c r="R238" i="7" s="1"/>
  <c r="AG238" i="7"/>
  <c r="AF224" i="7"/>
  <c r="AG224" i="7"/>
  <c r="Q224" i="7"/>
  <c r="R224" i="7" s="1"/>
  <c r="BB199" i="7"/>
  <c r="BJ199" i="7"/>
  <c r="BD199" i="7"/>
  <c r="BC199" i="7"/>
  <c r="Q183" i="7"/>
  <c r="R183" i="7" s="1"/>
  <c r="AF183" i="7"/>
  <c r="AG183" i="7"/>
  <c r="Q77" i="7"/>
  <c r="R77" i="7" s="1"/>
  <c r="AG77" i="7"/>
  <c r="AF77" i="7"/>
  <c r="Q146" i="7"/>
  <c r="R146" i="7" s="1"/>
  <c r="AF146" i="7"/>
  <c r="AG146" i="7"/>
  <c r="S143" i="6"/>
  <c r="X146" i="7" s="1"/>
  <c r="V146" i="7"/>
  <c r="AJ29" i="7"/>
  <c r="AK29" i="7"/>
  <c r="AG282" i="7"/>
  <c r="Q282" i="7"/>
  <c r="R282" i="7" s="1"/>
  <c r="AF282" i="7"/>
  <c r="AJ282" i="7"/>
  <c r="AK282" i="7"/>
  <c r="Q217" i="7"/>
  <c r="R217" i="7" s="1"/>
  <c r="AF217" i="7"/>
  <c r="AG217" i="7"/>
  <c r="AH135" i="7"/>
  <c r="AI135" i="7" s="1"/>
  <c r="AK135" i="7"/>
  <c r="AO135" i="7" s="1"/>
  <c r="AJ135" i="7"/>
  <c r="AJ276" i="7"/>
  <c r="AK276" i="7"/>
  <c r="AO276" i="7" s="1"/>
  <c r="BN297" i="7"/>
  <c r="BE297" i="7"/>
  <c r="BN306" i="7"/>
  <c r="BK306" i="7"/>
  <c r="BE302" i="7"/>
  <c r="BM302" i="7"/>
  <c r="AQ236" i="7"/>
  <c r="AH228" i="7"/>
  <c r="AI228" i="7" s="1"/>
  <c r="BG274" i="7"/>
  <c r="BM274" i="7"/>
  <c r="BL270" i="7"/>
  <c r="BO270" i="7"/>
  <c r="BP270" i="7" s="1"/>
  <c r="BF262" i="7"/>
  <c r="BG262" i="7"/>
  <c r="BK258" i="7"/>
  <c r="BK237" i="7"/>
  <c r="BO237" i="7"/>
  <c r="BP237" i="7" s="1"/>
  <c r="BM218" i="7"/>
  <c r="BO218" i="7"/>
  <c r="BP218" i="7" s="1"/>
  <c r="BK214" i="7"/>
  <c r="BG191" i="7"/>
  <c r="BM191" i="7"/>
  <c r="Y186" i="7"/>
  <c r="BF126" i="7"/>
  <c r="BN126" i="7"/>
  <c r="BM135" i="7"/>
  <c r="BN135" i="7"/>
  <c r="BE69" i="7"/>
  <c r="AD66" i="6" s="1"/>
  <c r="BL69" i="7"/>
  <c r="AH66" i="6" s="1"/>
  <c r="BO97" i="7"/>
  <c r="BP97" i="7" s="1"/>
  <c r="BN97" i="7"/>
  <c r="AN84" i="7"/>
  <c r="AP84" i="7" s="1"/>
  <c r="BN81" i="7"/>
  <c r="BO66" i="7"/>
  <c r="BP66" i="7" s="1"/>
  <c r="BM66" i="7"/>
  <c r="AI63" i="6" s="1"/>
  <c r="BO44" i="7"/>
  <c r="BP44" i="7" s="1"/>
  <c r="BF44" i="7"/>
  <c r="AE41" i="6" s="1"/>
  <c r="BG264" i="7"/>
  <c r="BE264" i="7"/>
  <c r="BL194" i="7"/>
  <c r="BF194" i="7"/>
  <c r="BN90" i="7"/>
  <c r="BE89" i="7"/>
  <c r="AD86" i="6" s="1"/>
  <c r="BG89" i="7"/>
  <c r="AF86" i="6" s="1"/>
  <c r="BL62" i="7"/>
  <c r="AH59" i="6" s="1"/>
  <c r="BK62" i="7"/>
  <c r="V235" i="7"/>
  <c r="BK31" i="7"/>
  <c r="BF31" i="7"/>
  <c r="AE28" i="6" s="1"/>
  <c r="BL311" i="7"/>
  <c r="AN310" i="7"/>
  <c r="AP310" i="7" s="1"/>
  <c r="BO228" i="7"/>
  <c r="BP228" i="7" s="1"/>
  <c r="BN228" i="7"/>
  <c r="BN224" i="7"/>
  <c r="BO224" i="7"/>
  <c r="BP224" i="7" s="1"/>
  <c r="BL204" i="7"/>
  <c r="BM204" i="7"/>
  <c r="BK123" i="7"/>
  <c r="AK272" i="7"/>
  <c r="AO272" i="7" s="1"/>
  <c r="AQ272" i="7" s="1"/>
  <c r="BK156" i="7"/>
  <c r="BM156" i="7"/>
  <c r="S183" i="6"/>
  <c r="X186" i="7" s="1"/>
  <c r="BM146" i="7"/>
  <c r="BO146" i="7"/>
  <c r="BP146" i="7" s="1"/>
  <c r="BL92" i="7"/>
  <c r="AH89" i="6" s="1"/>
  <c r="AN88" i="7"/>
  <c r="AP88" i="7" s="1"/>
  <c r="BG78" i="7"/>
  <c r="AF75" i="6" s="1"/>
  <c r="BF78" i="7"/>
  <c r="AE75" i="6" s="1"/>
  <c r="BB314" i="7"/>
  <c r="BN293" i="7"/>
  <c r="BL293" i="7"/>
  <c r="AJ169" i="7"/>
  <c r="BM77" i="7"/>
  <c r="AI74" i="6" s="1"/>
  <c r="BG77" i="7"/>
  <c r="AF74" i="6" s="1"/>
  <c r="BB223" i="7"/>
  <c r="BO301" i="7"/>
  <c r="BP301" i="7" s="1"/>
  <c r="BG301" i="7"/>
  <c r="BF282" i="7"/>
  <c r="BN282" i="7"/>
  <c r="BF312" i="7"/>
  <c r="BO304" i="7"/>
  <c r="BP304" i="7" s="1"/>
  <c r="BL304" i="7"/>
  <c r="BF300" i="7"/>
  <c r="BN300" i="7"/>
  <c r="BN195" i="7"/>
  <c r="BE195" i="7"/>
  <c r="BG291" i="7"/>
  <c r="BF291" i="7"/>
  <c r="AJ123" i="7"/>
  <c r="BN238" i="7"/>
  <c r="BF238" i="7"/>
  <c r="BF198" i="7"/>
  <c r="BN198" i="7"/>
  <c r="AK191" i="7"/>
  <c r="BM154" i="7"/>
  <c r="AK137" i="7"/>
  <c r="BK51" i="7"/>
  <c r="Y62" i="7"/>
  <c r="BM248" i="7"/>
  <c r="BG248" i="7"/>
  <c r="BN197" i="7"/>
  <c r="BO197" i="7"/>
  <c r="BP197" i="7" s="1"/>
  <c r="V191" i="7"/>
  <c r="BE103" i="7"/>
  <c r="AD100" i="6" s="1"/>
  <c r="BM103" i="7"/>
  <c r="AI100" i="6" s="1"/>
  <c r="BM260" i="7"/>
  <c r="BE32" i="7"/>
  <c r="AD29" i="6" s="1"/>
  <c r="BF155" i="7"/>
  <c r="BL139" i="7"/>
  <c r="BE163" i="7"/>
  <c r="BL163" i="7"/>
  <c r="R163" i="7"/>
  <c r="R180" i="7"/>
  <c r="BE269" i="7"/>
  <c r="BN269" i="7"/>
  <c r="BL247" i="7"/>
  <c r="BK247" i="7"/>
  <c r="R237" i="7"/>
  <c r="BL294" i="7"/>
  <c r="AN283" i="7"/>
  <c r="AP283" i="7" s="1"/>
  <c r="BL112" i="7"/>
  <c r="AH109" i="6" s="1"/>
  <c r="BO112" i="7"/>
  <c r="BP112" i="7" s="1"/>
  <c r="BK112" i="7"/>
  <c r="BM152" i="7"/>
  <c r="AH152" i="7"/>
  <c r="AI152" i="7" s="1"/>
  <c r="BF153" i="7"/>
  <c r="BM153" i="7"/>
  <c r="AH140" i="7"/>
  <c r="AI140" i="7" s="1"/>
  <c r="AN46" i="7"/>
  <c r="AP46" i="7" s="1"/>
  <c r="AF308" i="7"/>
  <c r="AG308" i="7"/>
  <c r="Q308" i="7"/>
  <c r="R308" i="7" s="1"/>
  <c r="AG286" i="7"/>
  <c r="Q286" i="7"/>
  <c r="R286" i="7" s="1"/>
  <c r="AF286" i="7"/>
  <c r="AG99" i="7"/>
  <c r="AF99" i="7"/>
  <c r="Q99" i="7"/>
  <c r="R99" i="7" s="1"/>
  <c r="Q272" i="7"/>
  <c r="R272" i="7" s="1"/>
  <c r="AG272" i="7"/>
  <c r="AF272" i="7"/>
  <c r="AG220" i="7"/>
  <c r="Q220" i="7"/>
  <c r="R220" i="7" s="1"/>
  <c r="AF220" i="7"/>
  <c r="AH126" i="7"/>
  <c r="AI126" i="7" s="1"/>
  <c r="AK126" i="7"/>
  <c r="AN126" i="7" s="1"/>
  <c r="AP126" i="7" s="1"/>
  <c r="AH269" i="7"/>
  <c r="AI269" i="7" s="1"/>
  <c r="AK269" i="7"/>
  <c r="AJ269" i="7"/>
  <c r="V221" i="6"/>
  <c r="AA224" i="7" s="1"/>
  <c r="AL224" i="7" s="1"/>
  <c r="Y224" i="7"/>
  <c r="Q266" i="7"/>
  <c r="R266" i="7" s="1"/>
  <c r="AF266" i="7"/>
  <c r="AG266" i="7"/>
  <c r="Q172" i="7"/>
  <c r="R172" i="7" s="1"/>
  <c r="AG172" i="7"/>
  <c r="AF172" i="7"/>
  <c r="AF137" i="7"/>
  <c r="AG137" i="7"/>
  <c r="Q137" i="7"/>
  <c r="R137" i="7" s="1"/>
  <c r="AH282" i="7"/>
  <c r="AI282" i="7" s="1"/>
  <c r="AH247" i="7"/>
  <c r="AI247" i="7" s="1"/>
  <c r="AJ247" i="7"/>
  <c r="AK247" i="7"/>
  <c r="AN247" i="7" s="1"/>
  <c r="V245" i="6"/>
  <c r="AA248" i="7" s="1"/>
  <c r="AL248" i="7" s="1"/>
  <c r="Y248" i="7"/>
  <c r="AH81" i="7"/>
  <c r="AI81" i="7" s="1"/>
  <c r="AJ81" i="7"/>
  <c r="AK81" i="7"/>
  <c r="AG311" i="7"/>
  <c r="Q311" i="7"/>
  <c r="R311" i="7" s="1"/>
  <c r="AF311" i="7"/>
  <c r="Q258" i="7"/>
  <c r="R258" i="7" s="1"/>
  <c r="AG258" i="7"/>
  <c r="AF258" i="7"/>
  <c r="BD250" i="7"/>
  <c r="BC250" i="7"/>
  <c r="BB250" i="7"/>
  <c r="BJ250" i="7"/>
  <c r="Q92" i="7"/>
  <c r="R92" i="7" s="1"/>
  <c r="AF92" i="7"/>
  <c r="AG92" i="7"/>
  <c r="AG191" i="7"/>
  <c r="Q191" i="7"/>
  <c r="R191" i="7" s="1"/>
  <c r="AF50" i="7"/>
  <c r="Q50" i="7"/>
  <c r="R50" i="7" s="1"/>
  <c r="AG50" i="7"/>
  <c r="BG183" i="7"/>
  <c r="BL183" i="7"/>
  <c r="BN183" i="7"/>
  <c r="BM183" i="7"/>
  <c r="BO183" i="7"/>
  <c r="BP183" i="7" s="1"/>
  <c r="BE183" i="7"/>
  <c r="BK183" i="7"/>
  <c r="BF183" i="7"/>
  <c r="BO175" i="7"/>
  <c r="BP175" i="7" s="1"/>
  <c r="BM175" i="7"/>
  <c r="BK175" i="7"/>
  <c r="BN175" i="7"/>
  <c r="BG175" i="7"/>
  <c r="BF175" i="7"/>
  <c r="BL175" i="7"/>
  <c r="BE175" i="7"/>
  <c r="V132" i="6"/>
  <c r="AA135" i="7" s="1"/>
  <c r="AL135" i="7" s="1"/>
  <c r="Y135" i="7"/>
  <c r="AF81" i="7"/>
  <c r="AG81" i="7"/>
  <c r="Q81" i="7"/>
  <c r="R81" i="7" s="1"/>
  <c r="AG62" i="7"/>
  <c r="Q62" i="7"/>
  <c r="R62" i="7" s="1"/>
  <c r="AF62" i="7"/>
  <c r="BL306" i="7"/>
  <c r="BK270" i="7"/>
  <c r="BM258" i="7"/>
  <c r="BK191" i="7"/>
  <c r="BM126" i="7"/>
  <c r="BF69" i="7"/>
  <c r="AE66" i="6" s="1"/>
  <c r="BK97" i="7"/>
  <c r="BL81" i="7"/>
  <c r="AH78" i="6" s="1"/>
  <c r="BG81" i="7"/>
  <c r="AF78" i="6" s="1"/>
  <c r="BL66" i="7"/>
  <c r="AH63" i="6" s="1"/>
  <c r="BN62" i="7"/>
  <c r="BO311" i="7"/>
  <c r="BP311" i="7" s="1"/>
  <c r="BN311" i="7"/>
  <c r="BL228" i="7"/>
  <c r="BF204" i="7"/>
  <c r="AH272" i="7"/>
  <c r="AI272" i="7" s="1"/>
  <c r="BG156" i="7"/>
  <c r="BK92" i="7"/>
  <c r="AQ310" i="7"/>
  <c r="BN301" i="7"/>
  <c r="BO312" i="7"/>
  <c r="BP312" i="7" s="1"/>
  <c r="BL51" i="7"/>
  <c r="AH48" i="6" s="1"/>
  <c r="BO297" i="7"/>
  <c r="BP297" i="7" s="1"/>
  <c r="BM306" i="7"/>
  <c r="BG306" i="7"/>
  <c r="BK302" i="7"/>
  <c r="BN274" i="7"/>
  <c r="BM270" i="7"/>
  <c r="BE262" i="7"/>
  <c r="BF258" i="7"/>
  <c r="BL258" i="7"/>
  <c r="BG237" i="7"/>
  <c r="BE218" i="7"/>
  <c r="BO191" i="7"/>
  <c r="BP191" i="7" s="1"/>
  <c r="BO126" i="7"/>
  <c r="BP126" i="7" s="1"/>
  <c r="BK126" i="7"/>
  <c r="BF135" i="7"/>
  <c r="BG69" i="7"/>
  <c r="AF66" i="6" s="1"/>
  <c r="BO69" i="7"/>
  <c r="BP69" i="7" s="1"/>
  <c r="BM97" i="7"/>
  <c r="AI94" i="6" s="1"/>
  <c r="AO91" i="7"/>
  <c r="AQ91" i="7" s="1"/>
  <c r="BF81" i="7"/>
  <c r="AE78" i="6" s="1"/>
  <c r="BE81" i="7"/>
  <c r="AD78" i="6" s="1"/>
  <c r="BG66" i="7"/>
  <c r="AF63" i="6" s="1"/>
  <c r="BN44" i="7"/>
  <c r="BG44" i="7"/>
  <c r="AF41" i="6" s="1"/>
  <c r="BO264" i="7"/>
  <c r="BP264" i="7" s="1"/>
  <c r="BK264" i="7"/>
  <c r="BE194" i="7"/>
  <c r="BL90" i="7"/>
  <c r="AH87" i="6" s="1"/>
  <c r="AN116" i="7"/>
  <c r="AP116" i="7" s="1"/>
  <c r="BO89" i="7"/>
  <c r="BP89" i="7" s="1"/>
  <c r="AO157" i="7"/>
  <c r="AQ157" i="7" s="1"/>
  <c r="BM62" i="7"/>
  <c r="AI59" i="6" s="1"/>
  <c r="BE31" i="7"/>
  <c r="AD28" i="6" s="1"/>
  <c r="BN31" i="7"/>
  <c r="BK311" i="7"/>
  <c r="BE311" i="7"/>
  <c r="BM228" i="7"/>
  <c r="BM224" i="7"/>
  <c r="BE224" i="7"/>
  <c r="BK204" i="7"/>
  <c r="BM123" i="7"/>
  <c r="Y184" i="7"/>
  <c r="BL156" i="7"/>
  <c r="BN156" i="7"/>
  <c r="BE146" i="7"/>
  <c r="BG146" i="7"/>
  <c r="BF92" i="7"/>
  <c r="AE89" i="6" s="1"/>
  <c r="BN92" i="7"/>
  <c r="BL78" i="7"/>
  <c r="AH75" i="6" s="1"/>
  <c r="BF293" i="7"/>
  <c r="BE293" i="7"/>
  <c r="BE77" i="7"/>
  <c r="AD74" i="6" s="1"/>
  <c r="BK77" i="7"/>
  <c r="BE301" i="7"/>
  <c r="AQ297" i="7"/>
  <c r="BE282" i="7"/>
  <c r="BK282" i="7"/>
  <c r="BE304" i="7"/>
  <c r="BG304" i="7"/>
  <c r="BK300" i="7"/>
  <c r="BM300" i="7"/>
  <c r="BM195" i="7"/>
  <c r="BK291" i="7"/>
  <c r="BL238" i="7"/>
  <c r="BO238" i="7"/>
  <c r="BP238" i="7" s="1"/>
  <c r="BK198" i="7"/>
  <c r="BM51" i="7"/>
  <c r="AI48" i="6" s="1"/>
  <c r="BF248" i="7"/>
  <c r="BN248" i="7"/>
  <c r="BG197" i="7"/>
  <c r="Y152" i="7"/>
  <c r="BN103" i="7"/>
  <c r="AN67" i="7"/>
  <c r="AP67" i="7" s="1"/>
  <c r="BK163" i="7"/>
  <c r="BM201" i="7"/>
  <c r="BM269" i="7"/>
  <c r="BL269" i="7"/>
  <c r="BE37" i="7"/>
  <c r="AD34" i="6" s="1"/>
  <c r="BN247" i="7"/>
  <c r="BN112" i="7"/>
  <c r="AH122" i="7"/>
  <c r="AI122" i="7" s="1"/>
  <c r="BG153" i="7"/>
  <c r="BL153" i="7"/>
  <c r="BO148" i="7"/>
  <c r="BP148" i="7" s="1"/>
  <c r="AH286" i="7"/>
  <c r="AI286" i="7" s="1"/>
  <c r="AJ286" i="7"/>
  <c r="AK286" i="7"/>
  <c r="BD202" i="7"/>
  <c r="BC202" i="7"/>
  <c r="BJ202" i="7"/>
  <c r="BB202" i="7"/>
  <c r="Q188" i="7"/>
  <c r="R188" i="7" s="1"/>
  <c r="AF188" i="7"/>
  <c r="AG188" i="7"/>
  <c r="AF130" i="7"/>
  <c r="Q130" i="7"/>
  <c r="R130" i="7" s="1"/>
  <c r="AG130" i="7"/>
  <c r="V96" i="6"/>
  <c r="AA99" i="7" s="1"/>
  <c r="AL99" i="7" s="1"/>
  <c r="AN99" i="7" s="1"/>
  <c r="Y99" i="7"/>
  <c r="BB96" i="7"/>
  <c r="BC96" i="7"/>
  <c r="BD96" i="7"/>
  <c r="BJ96" i="7"/>
  <c r="AF200" i="7"/>
  <c r="Q200" i="7"/>
  <c r="R200" i="7" s="1"/>
  <c r="AG200" i="7"/>
  <c r="AG242" i="7"/>
  <c r="Q242" i="7"/>
  <c r="R242" i="7" s="1"/>
  <c r="AF242" i="7"/>
  <c r="AG254" i="7"/>
  <c r="AF254" i="7"/>
  <c r="Q254" i="7"/>
  <c r="R254" i="7" s="1"/>
  <c r="BK50" i="7"/>
  <c r="BN50" i="7"/>
  <c r="BG50" i="7"/>
  <c r="AF47" i="6" s="1"/>
  <c r="BL50" i="7"/>
  <c r="AH47" i="6" s="1"/>
  <c r="BF50" i="7"/>
  <c r="AE47" i="6" s="1"/>
  <c r="BM50" i="7"/>
  <c r="AI47" i="6" s="1"/>
  <c r="BE50" i="7"/>
  <c r="AD47" i="6" s="1"/>
  <c r="BO50" i="7"/>
  <c r="BP50" i="7" s="1"/>
  <c r="AG241" i="7"/>
  <c r="AF241" i="7"/>
  <c r="Q241" i="7"/>
  <c r="R241" i="7" s="1"/>
  <c r="AF29" i="7"/>
  <c r="AG29" i="7"/>
  <c r="Q29" i="7"/>
  <c r="R29" i="7" s="1"/>
  <c r="AF175" i="7"/>
  <c r="Q175" i="7"/>
  <c r="R175" i="7" s="1"/>
  <c r="AG175" i="7"/>
  <c r="BM217" i="7"/>
  <c r="BF217" i="7"/>
  <c r="BN217" i="7"/>
  <c r="BE217" i="7"/>
  <c r="BL217" i="7"/>
  <c r="BG217" i="7"/>
  <c r="BK217" i="7"/>
  <c r="BO217" i="7"/>
  <c r="BP217" i="7" s="1"/>
  <c r="AG135" i="7"/>
  <c r="Q135" i="7"/>
  <c r="R135" i="7" s="1"/>
  <c r="AF135" i="7"/>
  <c r="BD94" i="7"/>
  <c r="BC94" i="7"/>
  <c r="BJ94" i="7"/>
  <c r="BB94" i="7"/>
  <c r="AF276" i="7"/>
  <c r="AG276" i="7"/>
  <c r="Q276" i="7"/>
  <c r="R276" i="7" s="1"/>
  <c r="S245" i="6"/>
  <c r="X248" i="7" s="1"/>
  <c r="V248" i="7"/>
  <c r="Q103" i="7"/>
  <c r="R103" i="7" s="1"/>
  <c r="AF103" i="7"/>
  <c r="AG103" i="7"/>
  <c r="AZ19" i="7"/>
  <c r="AX19" i="7"/>
  <c r="U17" i="5"/>
  <c r="AY20" i="7"/>
  <c r="AX20" i="7"/>
  <c r="AZ20" i="7"/>
  <c r="AY22" i="7"/>
  <c r="AX22" i="7"/>
  <c r="AZ22" i="7"/>
  <c r="AX21" i="7"/>
  <c r="AY17" i="7"/>
  <c r="AZ17" i="7"/>
  <c r="AY30" i="7"/>
  <c r="T18" i="5"/>
  <c r="S19" i="5"/>
  <c r="S17" i="5"/>
  <c r="S18" i="5"/>
  <c r="AF241" i="5"/>
  <c r="AE241" i="5"/>
  <c r="AE170" i="5"/>
  <c r="AD170" i="5"/>
  <c r="AF170" i="5"/>
  <c r="AG170" i="5"/>
  <c r="AI170" i="5" s="1"/>
  <c r="AJ170" i="5" s="1"/>
  <c r="X170" i="5"/>
  <c r="AE238" i="5"/>
  <c r="AD238" i="5"/>
  <c r="AF235" i="5"/>
  <c r="AE235" i="5"/>
  <c r="AD235" i="5"/>
  <c r="AG235" i="5"/>
  <c r="AI235" i="5" s="1"/>
  <c r="AJ235" i="5" s="1"/>
  <c r="X235" i="5"/>
  <c r="AF217" i="5"/>
  <c r="AE217" i="5"/>
  <c r="AD310" i="5"/>
  <c r="X310" i="5"/>
  <c r="AG310" i="5"/>
  <c r="AI310" i="5" s="1"/>
  <c r="AJ310" i="5" s="1"/>
  <c r="AE310" i="5"/>
  <c r="AF310" i="5"/>
  <c r="AE194" i="5"/>
  <c r="AG194" i="5"/>
  <c r="AI194" i="5" s="1"/>
  <c r="AJ194" i="5" s="1"/>
  <c r="X194" i="5"/>
  <c r="AD194" i="5"/>
  <c r="AF194" i="5"/>
  <c r="AD211" i="5"/>
  <c r="X211" i="5"/>
  <c r="AE211" i="5"/>
  <c r="AG211" i="5"/>
  <c r="AI211" i="5" s="1"/>
  <c r="AJ211" i="5" s="1"/>
  <c r="AF211" i="5"/>
  <c r="AG288" i="7"/>
  <c r="Q288" i="7"/>
  <c r="R288" i="7" s="1"/>
  <c r="AF288" i="7"/>
  <c r="AD165" i="5"/>
  <c r="AG165" i="5"/>
  <c r="AI165" i="5" s="1"/>
  <c r="AJ165" i="5" s="1"/>
  <c r="AF165" i="5"/>
  <c r="AE165" i="5"/>
  <c r="AG57" i="5"/>
  <c r="AI57" i="5" s="1"/>
  <c r="AJ57" i="5" s="1"/>
  <c r="AF57" i="5"/>
  <c r="AD57" i="5"/>
  <c r="AE57" i="5"/>
  <c r="V35" i="6"/>
  <c r="AA38" i="7" s="1"/>
  <c r="AL38" i="7" s="1"/>
  <c r="Y38" i="7"/>
  <c r="AG245" i="7"/>
  <c r="Q245" i="7"/>
  <c r="R245" i="7" s="1"/>
  <c r="AF245" i="7"/>
  <c r="BN179" i="7"/>
  <c r="BK179" i="7"/>
  <c r="BG179" i="7"/>
  <c r="BM179" i="7"/>
  <c r="BL179" i="7"/>
  <c r="BF179" i="7"/>
  <c r="BE179" i="7"/>
  <c r="BO179" i="7"/>
  <c r="BP179" i="7" s="1"/>
  <c r="AD77" i="5"/>
  <c r="AE77" i="5"/>
  <c r="AG77" i="5"/>
  <c r="AI77" i="5" s="1"/>
  <c r="AJ77" i="5" s="1"/>
  <c r="AF77" i="5"/>
  <c r="AD236" i="5"/>
  <c r="AE236" i="5"/>
  <c r="AG236" i="5"/>
  <c r="AI236" i="5" s="1"/>
  <c r="AJ236" i="5" s="1"/>
  <c r="AF236" i="5"/>
  <c r="AG126" i="5"/>
  <c r="AI126" i="5" s="1"/>
  <c r="AJ126" i="5" s="1"/>
  <c r="AO265" i="7"/>
  <c r="AQ265" i="7" s="1"/>
  <c r="BN292" i="7"/>
  <c r="BM292" i="7"/>
  <c r="AN233" i="7"/>
  <c r="AP233" i="7" s="1"/>
  <c r="AN271" i="7"/>
  <c r="AP271" i="7" s="1"/>
  <c r="AN263" i="7"/>
  <c r="AP263" i="7" s="1"/>
  <c r="BF245" i="7"/>
  <c r="BN245" i="7"/>
  <c r="BM173" i="7"/>
  <c r="BK173" i="7"/>
  <c r="BK139" i="7"/>
  <c r="BE139" i="7"/>
  <c r="BM118" i="7"/>
  <c r="BF118" i="7"/>
  <c r="BO90" i="7"/>
  <c r="BP90" i="7" s="1"/>
  <c r="BF90" i="7"/>
  <c r="AE87" i="6" s="1"/>
  <c r="AN94" i="7"/>
  <c r="AP94" i="7" s="1"/>
  <c r="AR94" i="7" s="1"/>
  <c r="AT94" i="7" s="1"/>
  <c r="AC91" i="6" s="1"/>
  <c r="AN55" i="7"/>
  <c r="AP55" i="7" s="1"/>
  <c r="AF42" i="5"/>
  <c r="BN32" i="7"/>
  <c r="BK32" i="7"/>
  <c r="BM31" i="7"/>
  <c r="AI28" i="6" s="1"/>
  <c r="BG228" i="7"/>
  <c r="BE123" i="7"/>
  <c r="BN123" i="7"/>
  <c r="BL174" i="7"/>
  <c r="BG174" i="7"/>
  <c r="BF201" i="7"/>
  <c r="BG155" i="7"/>
  <c r="BK155" i="7"/>
  <c r="BN235" i="7"/>
  <c r="V240" i="6"/>
  <c r="AA243" i="7" s="1"/>
  <c r="AL243" i="7" s="1"/>
  <c r="AN243" i="7" s="1"/>
  <c r="BL277" i="7"/>
  <c r="BN152" i="7"/>
  <c r="BF152" i="7"/>
  <c r="V198" i="6"/>
  <c r="AA201" i="7" s="1"/>
  <c r="AL201" i="7" s="1"/>
  <c r="BG186" i="7"/>
  <c r="AH78" i="7"/>
  <c r="AI78" i="7" s="1"/>
  <c r="BJ223" i="7"/>
  <c r="AF74" i="5"/>
  <c r="BN312" i="7"/>
  <c r="BK288" i="7"/>
  <c r="BO288" i="7"/>
  <c r="BP288" i="7" s="1"/>
  <c r="BM294" i="7"/>
  <c r="BG294" i="7"/>
  <c r="BM34" i="7"/>
  <c r="AI31" i="6" s="1"/>
  <c r="BG154" i="7"/>
  <c r="BF154" i="7"/>
  <c r="AK219" i="7"/>
  <c r="BM148" i="7"/>
  <c r="BF108" i="7"/>
  <c r="AE105" i="6" s="1"/>
  <c r="BK108" i="7"/>
  <c r="BO68" i="7"/>
  <c r="BP68" i="7" s="1"/>
  <c r="AJ184" i="7"/>
  <c r="S181" i="6"/>
  <c r="X184" i="7" s="1"/>
  <c r="AO184" i="7" s="1"/>
  <c r="AH302" i="7"/>
  <c r="AI302" i="7" s="1"/>
  <c r="AO283" i="7"/>
  <c r="AQ283" i="7" s="1"/>
  <c r="AN202" i="7"/>
  <c r="AP202" i="7" s="1"/>
  <c r="BE243" i="7"/>
  <c r="AH184" i="7"/>
  <c r="AI184" i="7" s="1"/>
  <c r="AF140" i="7"/>
  <c r="AG140" i="7"/>
  <c r="Q140" i="7"/>
  <c r="R140" i="7" s="1"/>
  <c r="V253" i="6"/>
  <c r="AA256" i="7" s="1"/>
  <c r="AL256" i="7" s="1"/>
  <c r="Y256" i="7"/>
  <c r="AF270" i="7"/>
  <c r="Q270" i="7"/>
  <c r="R270" i="7" s="1"/>
  <c r="AG270" i="7"/>
  <c r="S267" i="6"/>
  <c r="X270" i="7" s="1"/>
  <c r="AO270" i="7" s="1"/>
  <c r="AQ270" i="7" s="1"/>
  <c r="V270" i="7"/>
  <c r="Q198" i="7"/>
  <c r="R198" i="7" s="1"/>
  <c r="AG198" i="7"/>
  <c r="AF198" i="7"/>
  <c r="Q309" i="7"/>
  <c r="R309" i="7" s="1"/>
  <c r="AF309" i="7"/>
  <c r="AG309" i="7"/>
  <c r="AF156" i="5"/>
  <c r="AD156" i="5"/>
  <c r="AG156" i="5"/>
  <c r="AI156" i="5" s="1"/>
  <c r="AJ156" i="5" s="1"/>
  <c r="AE156" i="5"/>
  <c r="BD104" i="7"/>
  <c r="BB104" i="7"/>
  <c r="BC104" i="7"/>
  <c r="BJ104" i="7"/>
  <c r="AG158" i="5"/>
  <c r="AI158" i="5" s="1"/>
  <c r="AJ158" i="5" s="1"/>
  <c r="AE158" i="5"/>
  <c r="AD158" i="5"/>
  <c r="AF158" i="5"/>
  <c r="Q38" i="7"/>
  <c r="R38" i="7" s="1"/>
  <c r="AF38" i="7"/>
  <c r="AG38" i="7"/>
  <c r="S259" i="6"/>
  <c r="X262" i="7" s="1"/>
  <c r="V262" i="7"/>
  <c r="AD297" i="5"/>
  <c r="AG297" i="5"/>
  <c r="AI297" i="5" s="1"/>
  <c r="AJ297" i="5" s="1"/>
  <c r="AF297" i="5"/>
  <c r="AE297" i="5"/>
  <c r="Q119" i="7"/>
  <c r="R119" i="7" s="1"/>
  <c r="AF119" i="7"/>
  <c r="AG119" i="7"/>
  <c r="AF119" i="5"/>
  <c r="AE119" i="5"/>
  <c r="AD119" i="5"/>
  <c r="AG119" i="5"/>
  <c r="AI119" i="5" s="1"/>
  <c r="AJ119" i="5" s="1"/>
  <c r="AF268" i="5"/>
  <c r="AG268" i="5"/>
  <c r="AI268" i="5" s="1"/>
  <c r="AJ268" i="5" s="1"/>
  <c r="AD268" i="5"/>
  <c r="AE268" i="5"/>
  <c r="AF113" i="5"/>
  <c r="AE113" i="5"/>
  <c r="AD113" i="5"/>
  <c r="AG113" i="5"/>
  <c r="AI113" i="5" s="1"/>
  <c r="AJ113" i="5" s="1"/>
  <c r="X113" i="5"/>
  <c r="AD127" i="5"/>
  <c r="AF127" i="5"/>
  <c r="AE127" i="5"/>
  <c r="AG127" i="5"/>
  <c r="AI127" i="5" s="1"/>
  <c r="AJ127" i="5" s="1"/>
  <c r="AG44" i="5"/>
  <c r="AI44" i="5" s="1"/>
  <c r="AJ44" i="5" s="1"/>
  <c r="AF44" i="5"/>
  <c r="AD44" i="5"/>
  <c r="AE44" i="5"/>
  <c r="AJ309" i="7"/>
  <c r="AH309" i="7"/>
  <c r="AI309" i="7" s="1"/>
  <c r="AK309" i="7"/>
  <c r="AO309" i="7" s="1"/>
  <c r="AF312" i="7"/>
  <c r="Q312" i="7"/>
  <c r="R312" i="7" s="1"/>
  <c r="AG312" i="7"/>
  <c r="AF88" i="5"/>
  <c r="AG88" i="5"/>
  <c r="AI88" i="5" s="1"/>
  <c r="AJ88" i="5" s="1"/>
  <c r="AE88" i="5"/>
  <c r="AD88" i="5"/>
  <c r="V116" i="6"/>
  <c r="AA119" i="7" s="1"/>
  <c r="AL119" i="7" s="1"/>
  <c r="Y119" i="7"/>
  <c r="Q34" i="7"/>
  <c r="R34" i="7" s="1"/>
  <c r="AF34" i="7"/>
  <c r="AG34" i="7"/>
  <c r="AE306" i="5"/>
  <c r="AD306" i="5"/>
  <c r="AE126" i="5"/>
  <c r="BG292" i="7"/>
  <c r="BF292" i="7"/>
  <c r="AJ228" i="7"/>
  <c r="AN261" i="7"/>
  <c r="AP261" i="7" s="1"/>
  <c r="BK245" i="7"/>
  <c r="BE245" i="7"/>
  <c r="BF173" i="7"/>
  <c r="BL173" i="7"/>
  <c r="BN139" i="7"/>
  <c r="BM139" i="7"/>
  <c r="BE118" i="7"/>
  <c r="BO118" i="7"/>
  <c r="BP118" i="7" s="1"/>
  <c r="BG90" i="7"/>
  <c r="AF87" i="6" s="1"/>
  <c r="BK90" i="7"/>
  <c r="AN87" i="7"/>
  <c r="AP87" i="7" s="1"/>
  <c r="AD42" i="5"/>
  <c r="BM32" i="7"/>
  <c r="AI29" i="6" s="1"/>
  <c r="BG32" i="7"/>
  <c r="AF29" i="6" s="1"/>
  <c r="BO123" i="7"/>
  <c r="BP123" i="7" s="1"/>
  <c r="BF123" i="7"/>
  <c r="AK260" i="7"/>
  <c r="BE174" i="7"/>
  <c r="BN174" i="7"/>
  <c r="BL201" i="7"/>
  <c r="BO201" i="7"/>
  <c r="BP201" i="7" s="1"/>
  <c r="BO155" i="7"/>
  <c r="BP155" i="7" s="1"/>
  <c r="BE155" i="7"/>
  <c r="X126" i="5"/>
  <c r="X44" i="5"/>
  <c r="BO277" i="7"/>
  <c r="BP277" i="7" s="1"/>
  <c r="BK152" i="7"/>
  <c r="BO152" i="7"/>
  <c r="BP152" i="7" s="1"/>
  <c r="BC223" i="7"/>
  <c r="AG74" i="5"/>
  <c r="AI74" i="5" s="1"/>
  <c r="AJ74" i="5" s="1"/>
  <c r="BL312" i="7"/>
  <c r="BG312" i="7"/>
  <c r="BG288" i="7"/>
  <c r="BL288" i="7"/>
  <c r="BK294" i="7"/>
  <c r="BF294" i="7"/>
  <c r="BF34" i="7"/>
  <c r="AE31" i="6" s="1"/>
  <c r="BE34" i="7"/>
  <c r="AD31" i="6" s="1"/>
  <c r="X74" i="5"/>
  <c r="BE154" i="7"/>
  <c r="BO154" i="7"/>
  <c r="BP154" i="7" s="1"/>
  <c r="BE148" i="7"/>
  <c r="BL148" i="7"/>
  <c r="BN108" i="7"/>
  <c r="BM108" i="7"/>
  <c r="AI105" i="6" s="1"/>
  <c r="BG68" i="7"/>
  <c r="AF65" i="6" s="1"/>
  <c r="BL260" i="7"/>
  <c r="AJ37" i="7"/>
  <c r="X57" i="5"/>
  <c r="AH273" i="7"/>
  <c r="AI273" i="7" s="1"/>
  <c r="BG140" i="7"/>
  <c r="BF140" i="7"/>
  <c r="BM140" i="7"/>
  <c r="BN140" i="7"/>
  <c r="BO140" i="7"/>
  <c r="BP140" i="7" s="1"/>
  <c r="BE140" i="7"/>
  <c r="BL140" i="7"/>
  <c r="BK140" i="7"/>
  <c r="AG223" i="5"/>
  <c r="AI223" i="5" s="1"/>
  <c r="AJ223" i="5" s="1"/>
  <c r="AE223" i="5"/>
  <c r="AF223" i="5"/>
  <c r="AD223" i="5"/>
  <c r="AD309" i="5"/>
  <c r="AG309" i="5"/>
  <c r="AI309" i="5" s="1"/>
  <c r="AJ309" i="5" s="1"/>
  <c r="AF309" i="5"/>
  <c r="AE309" i="5"/>
  <c r="S253" i="6"/>
  <c r="X256" i="7" s="1"/>
  <c r="V256" i="7"/>
  <c r="V177" i="6"/>
  <c r="AA180" i="7" s="1"/>
  <c r="AL180" i="7" s="1"/>
  <c r="AN180" i="7" s="1"/>
  <c r="Y180" i="7"/>
  <c r="V130" i="6"/>
  <c r="AA133" i="7" s="1"/>
  <c r="AL133" i="7" s="1"/>
  <c r="Y133" i="7"/>
  <c r="AG89" i="7"/>
  <c r="Q89" i="7"/>
  <c r="R89" i="7" s="1"/>
  <c r="AF89" i="7"/>
  <c r="AD175" i="5"/>
  <c r="AG175" i="5"/>
  <c r="AI175" i="5" s="1"/>
  <c r="AJ175" i="5" s="1"/>
  <c r="AE175" i="5"/>
  <c r="AF175" i="5"/>
  <c r="BG38" i="7"/>
  <c r="AF35" i="6" s="1"/>
  <c r="BL38" i="7"/>
  <c r="AH35" i="6" s="1"/>
  <c r="BF38" i="7"/>
  <c r="AE35" i="6" s="1"/>
  <c r="BO38" i="7"/>
  <c r="BP38" i="7" s="1"/>
  <c r="BM38" i="7"/>
  <c r="AI35" i="6" s="1"/>
  <c r="BK38" i="7"/>
  <c r="BN38" i="7"/>
  <c r="BE38" i="7"/>
  <c r="AD35" i="6" s="1"/>
  <c r="AG262" i="7"/>
  <c r="Q262" i="7"/>
  <c r="R262" i="7" s="1"/>
  <c r="AG179" i="7"/>
  <c r="AF179" i="7"/>
  <c r="Q179" i="7"/>
  <c r="R179" i="7" s="1"/>
  <c r="AD176" i="5"/>
  <c r="AG176" i="5"/>
  <c r="AI176" i="5" s="1"/>
  <c r="AJ176" i="5" s="1"/>
  <c r="AE176" i="5"/>
  <c r="AF176" i="5"/>
  <c r="AD290" i="5"/>
  <c r="AF290" i="5"/>
  <c r="AG290" i="5"/>
  <c r="AI290" i="5" s="1"/>
  <c r="AJ290" i="5" s="1"/>
  <c r="AE290" i="5"/>
  <c r="AQ46" i="7"/>
  <c r="AD282" i="5"/>
  <c r="AE282" i="5"/>
  <c r="AG282" i="5"/>
  <c r="AI282" i="5" s="1"/>
  <c r="AJ282" i="5" s="1"/>
  <c r="AF282" i="5"/>
  <c r="AF262" i="7"/>
  <c r="AE166" i="5"/>
  <c r="AF166" i="5"/>
  <c r="AG298" i="5"/>
  <c r="AI298" i="5" s="1"/>
  <c r="AJ298" i="5" s="1"/>
  <c r="AD298" i="5"/>
  <c r="AE298" i="5"/>
  <c r="AF298" i="5"/>
  <c r="X298" i="5"/>
  <c r="AH243" i="7"/>
  <c r="AI243" i="7" s="1"/>
  <c r="AE51" i="5"/>
  <c r="AG51" i="5"/>
  <c r="AI51" i="5" s="1"/>
  <c r="AJ51" i="5" s="1"/>
  <c r="AF51" i="5"/>
  <c r="AD51" i="5"/>
  <c r="AG148" i="5"/>
  <c r="AI148" i="5" s="1"/>
  <c r="AJ148" i="5" s="1"/>
  <c r="AF148" i="5"/>
  <c r="AE148" i="5"/>
  <c r="AD148" i="5"/>
  <c r="AE150" i="5"/>
  <c r="AD150" i="5"/>
  <c r="AF150" i="5"/>
  <c r="AG150" i="5"/>
  <c r="AI150" i="5" s="1"/>
  <c r="AJ150" i="5" s="1"/>
  <c r="X165" i="5"/>
  <c r="BL292" i="7"/>
  <c r="BG245" i="7"/>
  <c r="BM245" i="7"/>
  <c r="BG173" i="7"/>
  <c r="BF139" i="7"/>
  <c r="AO132" i="7"/>
  <c r="BN118" i="7"/>
  <c r="BM90" i="7"/>
  <c r="AI87" i="6" s="1"/>
  <c r="AG42" i="5"/>
  <c r="AI42" i="5" s="1"/>
  <c r="AJ42" i="5" s="1"/>
  <c r="BL32" i="7"/>
  <c r="AH29" i="6" s="1"/>
  <c r="BL123" i="7"/>
  <c r="BM174" i="7"/>
  <c r="BK201" i="7"/>
  <c r="BN201" i="7"/>
  <c r="BL155" i="7"/>
  <c r="BN277" i="7"/>
  <c r="BL152" i="7"/>
  <c r="BK312" i="7"/>
  <c r="BE312" i="7"/>
  <c r="BM288" i="7"/>
  <c r="BF288" i="7"/>
  <c r="BE294" i="7"/>
  <c r="BO34" i="7"/>
  <c r="BP34" i="7" s="1"/>
  <c r="BN34" i="7"/>
  <c r="BN154" i="7"/>
  <c r="BF148" i="7"/>
  <c r="BE108" i="7"/>
  <c r="AD105" i="6" s="1"/>
  <c r="BF68" i="7"/>
  <c r="AE65" i="6" s="1"/>
  <c r="X306" i="5"/>
  <c r="X150" i="5"/>
  <c r="X51" i="5"/>
  <c r="AG166" i="5"/>
  <c r="AI166" i="5" s="1"/>
  <c r="AJ166" i="5" s="1"/>
  <c r="AG306" i="5"/>
  <c r="AI306" i="5" s="1"/>
  <c r="AJ306" i="5" s="1"/>
  <c r="BG42" i="7"/>
  <c r="AF39" i="6" s="1"/>
  <c r="AE63" i="5"/>
  <c r="AF63" i="5"/>
  <c r="AD63" i="5"/>
  <c r="AG63" i="5"/>
  <c r="AI63" i="5" s="1"/>
  <c r="AJ63" i="5" s="1"/>
  <c r="AG121" i="5"/>
  <c r="AI121" i="5" s="1"/>
  <c r="AJ121" i="5" s="1"/>
  <c r="AD121" i="5"/>
  <c r="AE121" i="5"/>
  <c r="AF121" i="5"/>
  <c r="Q256" i="7"/>
  <c r="R256" i="7" s="1"/>
  <c r="AF256" i="7"/>
  <c r="AG256" i="7"/>
  <c r="AD69" i="5"/>
  <c r="AE69" i="5"/>
  <c r="AG69" i="5"/>
  <c r="AI69" i="5" s="1"/>
  <c r="AJ69" i="5" s="1"/>
  <c r="AF69" i="5"/>
  <c r="V267" i="6"/>
  <c r="AA270" i="7" s="1"/>
  <c r="AL270" i="7" s="1"/>
  <c r="Y270" i="7"/>
  <c r="AH198" i="7"/>
  <c r="AI198" i="7" s="1"/>
  <c r="AJ198" i="7"/>
  <c r="AK198" i="7"/>
  <c r="AH288" i="7"/>
  <c r="AI288" i="7" s="1"/>
  <c r="AJ288" i="7"/>
  <c r="AK288" i="7"/>
  <c r="AN288" i="7" s="1"/>
  <c r="AE222" i="5"/>
  <c r="AF222" i="5"/>
  <c r="AD135" i="5"/>
  <c r="AG135" i="5"/>
  <c r="AI135" i="5" s="1"/>
  <c r="AJ135" i="5" s="1"/>
  <c r="AE135" i="5"/>
  <c r="AF135" i="5"/>
  <c r="AG131" i="5"/>
  <c r="AI131" i="5" s="1"/>
  <c r="AJ131" i="5" s="1"/>
  <c r="AE131" i="5"/>
  <c r="AF131" i="5"/>
  <c r="AD131" i="5"/>
  <c r="AF128" i="5"/>
  <c r="AD128" i="5"/>
  <c r="AG128" i="5"/>
  <c r="AI128" i="5" s="1"/>
  <c r="AJ128" i="5" s="1"/>
  <c r="AE128" i="5"/>
  <c r="AE162" i="5"/>
  <c r="AD162" i="5"/>
  <c r="AG162" i="5"/>
  <c r="AI162" i="5" s="1"/>
  <c r="AJ162" i="5" s="1"/>
  <c r="AF162" i="5"/>
  <c r="AE190" i="5"/>
  <c r="AD190" i="5"/>
  <c r="AF190" i="5"/>
  <c r="AG190" i="5"/>
  <c r="AI190" i="5" s="1"/>
  <c r="AJ190" i="5" s="1"/>
  <c r="S35" i="6"/>
  <c r="X38" i="7" s="1"/>
  <c r="V38" i="7"/>
  <c r="AK38" i="7"/>
  <c r="AJ38" i="7"/>
  <c r="AH38" i="7"/>
  <c r="AI38" i="7" s="1"/>
  <c r="AE303" i="5"/>
  <c r="AD303" i="5"/>
  <c r="AG303" i="5"/>
  <c r="AI303" i="5" s="1"/>
  <c r="AJ303" i="5" s="1"/>
  <c r="AF303" i="5"/>
  <c r="V259" i="6"/>
  <c r="AA262" i="7" s="1"/>
  <c r="AL262" i="7" s="1"/>
  <c r="Y262" i="7"/>
  <c r="AJ179" i="7"/>
  <c r="AK179" i="7"/>
  <c r="AG228" i="5"/>
  <c r="AI228" i="5" s="1"/>
  <c r="AJ228" i="5" s="1"/>
  <c r="AE228" i="5"/>
  <c r="AF228" i="5"/>
  <c r="AD228" i="5"/>
  <c r="AH119" i="7"/>
  <c r="AI119" i="7" s="1"/>
  <c r="AK119" i="7"/>
  <c r="AJ119" i="7"/>
  <c r="Q93" i="7"/>
  <c r="R93" i="7" s="1"/>
  <c r="AG93" i="7"/>
  <c r="AF93" i="7"/>
  <c r="X156" i="5"/>
  <c r="X88" i="5"/>
  <c r="X282" i="5"/>
  <c r="U19" i="5"/>
  <c r="X293" i="5"/>
  <c r="AD293" i="5"/>
  <c r="AG293" i="5"/>
  <c r="AI293" i="5" s="1"/>
  <c r="AJ293" i="5" s="1"/>
  <c r="AE293" i="5"/>
  <c r="AF293" i="5"/>
  <c r="AZ245" i="7"/>
  <c r="AX245" i="7"/>
  <c r="AY245" i="7"/>
  <c r="AZ67" i="7"/>
  <c r="AX67" i="7"/>
  <c r="BA67" i="7" s="1"/>
  <c r="AY67" i="7"/>
  <c r="AY197" i="7"/>
  <c r="AX197" i="7"/>
  <c r="AZ197" i="7"/>
  <c r="AX160" i="7"/>
  <c r="BA160" i="7" s="1"/>
  <c r="AY160" i="7"/>
  <c r="AZ160" i="7"/>
  <c r="AX90" i="7"/>
  <c r="AZ90" i="7"/>
  <c r="AY90" i="7"/>
  <c r="AZ313" i="7"/>
  <c r="AY313" i="7"/>
  <c r="AX313" i="7"/>
  <c r="BA313" i="7" s="1"/>
  <c r="AG304" i="5"/>
  <c r="AI304" i="5" s="1"/>
  <c r="AJ304" i="5" s="1"/>
  <c r="AF304" i="5"/>
  <c r="AD304" i="5"/>
  <c r="AE304" i="5"/>
  <c r="X304" i="5"/>
  <c r="AF81" i="5"/>
  <c r="AE81" i="5"/>
  <c r="AG81" i="5"/>
  <c r="AI81" i="5" s="1"/>
  <c r="AJ81" i="5" s="1"/>
  <c r="AD81" i="5"/>
  <c r="X81" i="5"/>
  <c r="AF93" i="5"/>
  <c r="AG93" i="5"/>
  <c r="AI93" i="5" s="1"/>
  <c r="AJ93" i="5" s="1"/>
  <c r="AE93" i="5"/>
  <c r="AD93" i="5"/>
  <c r="X93" i="5"/>
  <c r="AX195" i="7"/>
  <c r="AZ195" i="7"/>
  <c r="AY195" i="7"/>
  <c r="AZ108" i="7"/>
  <c r="AY108" i="7"/>
  <c r="AX108" i="7"/>
  <c r="AZ29" i="7"/>
  <c r="AX29" i="7"/>
  <c r="AY29" i="7"/>
  <c r="AX274" i="7"/>
  <c r="AZ274" i="7"/>
  <c r="AY274" i="7"/>
  <c r="AY94" i="7"/>
  <c r="AX94" i="7"/>
  <c r="BA94" i="7" s="1"/>
  <c r="AZ94" i="7"/>
  <c r="AX258" i="7"/>
  <c r="AY258" i="7"/>
  <c r="AZ258" i="7"/>
  <c r="AZ63" i="7"/>
  <c r="AY63" i="7"/>
  <c r="AX63" i="7"/>
  <c r="BA63" i="7" s="1"/>
  <c r="AX250" i="7"/>
  <c r="BA250" i="7" s="1"/>
  <c r="AZ250" i="7"/>
  <c r="AY250" i="7"/>
  <c r="AZ49" i="7"/>
  <c r="AY49" i="7"/>
  <c r="AX49" i="7"/>
  <c r="AX294" i="7"/>
  <c r="AY294" i="7"/>
  <c r="AZ294" i="7"/>
  <c r="AX280" i="7"/>
  <c r="BA280" i="7" s="1"/>
  <c r="AY280" i="7"/>
  <c r="AZ280" i="7"/>
  <c r="AY92" i="7"/>
  <c r="AX92" i="7"/>
  <c r="AZ92" i="7"/>
  <c r="AX179" i="7"/>
  <c r="AZ179" i="7"/>
  <c r="AY179" i="7"/>
  <c r="AX106" i="7"/>
  <c r="BA106" i="7" s="1"/>
  <c r="AZ106" i="7"/>
  <c r="AY106" i="7"/>
  <c r="AX42" i="7"/>
  <c r="AY42" i="7"/>
  <c r="AZ42" i="7"/>
  <c r="AY175" i="7"/>
  <c r="AX175" i="7"/>
  <c r="AZ175" i="7"/>
  <c r="AX43" i="7"/>
  <c r="BA43" i="7" s="1"/>
  <c r="AZ43" i="7"/>
  <c r="AY43" i="7"/>
  <c r="AZ189" i="7"/>
  <c r="AX189" i="7"/>
  <c r="BA189" i="7" s="1"/>
  <c r="AY189" i="7"/>
  <c r="AX85" i="7"/>
  <c r="AY85" i="7"/>
  <c r="AZ85" i="7"/>
  <c r="AX295" i="7"/>
  <c r="AY295" i="7"/>
  <c r="AZ295" i="7"/>
  <c r="AD257" i="5"/>
  <c r="AG257" i="5"/>
  <c r="AI257" i="5" s="1"/>
  <c r="AJ257" i="5" s="1"/>
  <c r="AE257" i="5"/>
  <c r="AF257" i="5"/>
  <c r="X257" i="5"/>
  <c r="AX74" i="7"/>
  <c r="AZ74" i="7"/>
  <c r="AY74" i="7"/>
  <c r="AX144" i="7"/>
  <c r="AY144" i="7"/>
  <c r="AZ144" i="7"/>
  <c r="AX227" i="7"/>
  <c r="AZ227" i="7"/>
  <c r="AY227" i="7"/>
  <c r="AX302" i="7"/>
  <c r="AZ302" i="7"/>
  <c r="AY302" i="7"/>
  <c r="AY213" i="7"/>
  <c r="AX213" i="7"/>
  <c r="AZ213" i="7"/>
  <c r="AZ55" i="7"/>
  <c r="AX55" i="7"/>
  <c r="BA55" i="7" s="1"/>
  <c r="AY55" i="7"/>
  <c r="AY272" i="7"/>
  <c r="AZ272" i="7"/>
  <c r="AX272" i="7"/>
  <c r="AY27" i="7"/>
  <c r="AZ27" i="7"/>
  <c r="AX27" i="7"/>
  <c r="AY238" i="7"/>
  <c r="AX238" i="7"/>
  <c r="AZ238" i="7"/>
  <c r="AX147" i="7"/>
  <c r="BA147" i="7" s="1"/>
  <c r="AZ147" i="7"/>
  <c r="AY147" i="7"/>
  <c r="AY168" i="7"/>
  <c r="AX168" i="7"/>
  <c r="BA168" i="7" s="1"/>
  <c r="AZ168" i="7"/>
  <c r="AZ198" i="7"/>
  <c r="AX198" i="7"/>
  <c r="AY198" i="7"/>
  <c r="AX266" i="7"/>
  <c r="AZ266" i="7"/>
  <c r="AY266" i="7"/>
  <c r="AX83" i="7"/>
  <c r="AY83" i="7"/>
  <c r="AZ83" i="7"/>
  <c r="AX263" i="7"/>
  <c r="BA263" i="7" s="1"/>
  <c r="AZ263" i="7"/>
  <c r="AY263" i="7"/>
  <c r="AX246" i="7"/>
  <c r="BA246" i="7" s="1"/>
  <c r="AY246" i="7"/>
  <c r="AZ246" i="7"/>
  <c r="AX299" i="7"/>
  <c r="BA299" i="7" s="1"/>
  <c r="AZ299" i="7"/>
  <c r="AY299" i="7"/>
  <c r="AY297" i="7"/>
  <c r="AZ297" i="7"/>
  <c r="AX297" i="7"/>
  <c r="AY196" i="7"/>
  <c r="AX196" i="7"/>
  <c r="AZ196" i="7"/>
  <c r="AY87" i="7"/>
  <c r="AZ87" i="7"/>
  <c r="AX87" i="7"/>
  <c r="BA87" i="7" s="1"/>
  <c r="AY66" i="7"/>
  <c r="AZ66" i="7"/>
  <c r="AX66" i="7"/>
  <c r="AY96" i="7"/>
  <c r="AX96" i="7"/>
  <c r="BA96" i="7" s="1"/>
  <c r="AZ96" i="7"/>
  <c r="AF104" i="5"/>
  <c r="X104" i="5"/>
  <c r="AG104" i="5"/>
  <c r="AI104" i="5" s="1"/>
  <c r="AJ104" i="5" s="1"/>
  <c r="AD104" i="5"/>
  <c r="AE104" i="5"/>
  <c r="AG67" i="5"/>
  <c r="AI67" i="5" s="1"/>
  <c r="AJ67" i="5" s="1"/>
  <c r="AD67" i="5"/>
  <c r="AE67" i="5"/>
  <c r="AF67" i="5"/>
  <c r="X67" i="5"/>
  <c r="X226" i="5"/>
  <c r="AG226" i="5"/>
  <c r="AI226" i="5" s="1"/>
  <c r="AJ226" i="5" s="1"/>
  <c r="AF226" i="5"/>
  <c r="AD226" i="5"/>
  <c r="AE226" i="5"/>
  <c r="AX36" i="7"/>
  <c r="AY36" i="7"/>
  <c r="AZ36" i="7"/>
  <c r="AX18" i="7"/>
  <c r="AZ18" i="7"/>
  <c r="AY18" i="7"/>
  <c r="AX47" i="7"/>
  <c r="AZ47" i="7"/>
  <c r="AY47" i="7"/>
  <c r="AZ31" i="7"/>
  <c r="AX31" i="7"/>
  <c r="AY31" i="7"/>
  <c r="AZ51" i="7"/>
  <c r="AY51" i="7"/>
  <c r="AX51" i="7"/>
  <c r="AX186" i="7"/>
  <c r="AZ186" i="7"/>
  <c r="AY186" i="7"/>
  <c r="AZ56" i="7"/>
  <c r="AY56" i="7"/>
  <c r="AX56" i="7"/>
  <c r="BA56" i="7" s="1"/>
  <c r="AZ79" i="7"/>
  <c r="AX79" i="7"/>
  <c r="AY79" i="7"/>
  <c r="AX199" i="7"/>
  <c r="BA199" i="7" s="1"/>
  <c r="AZ199" i="7"/>
  <c r="AY199" i="7"/>
  <c r="AZ170" i="7"/>
  <c r="AY170" i="7"/>
  <c r="AX170" i="7"/>
  <c r="AX52" i="7"/>
  <c r="AY52" i="7"/>
  <c r="AZ52" i="7"/>
  <c r="AY188" i="7"/>
  <c r="AZ188" i="7"/>
  <c r="AX188" i="7"/>
  <c r="AY78" i="7"/>
  <c r="AX78" i="7"/>
  <c r="AZ78" i="7"/>
  <c r="AZ46" i="7"/>
  <c r="AX46" i="7"/>
  <c r="BA46" i="7" s="1"/>
  <c r="AY46" i="7"/>
  <c r="AZ229" i="7"/>
  <c r="AX229" i="7"/>
  <c r="AY229" i="7"/>
  <c r="AY220" i="7"/>
  <c r="AX220" i="7"/>
  <c r="AZ220" i="7"/>
  <c r="AX58" i="7"/>
  <c r="AZ58" i="7"/>
  <c r="AY58" i="7"/>
  <c r="AZ307" i="7"/>
  <c r="AX307" i="7"/>
  <c r="BA307" i="7" s="1"/>
  <c r="AY307" i="7"/>
  <c r="AY135" i="7"/>
  <c r="AZ135" i="7"/>
  <c r="AX135" i="7"/>
  <c r="AZ268" i="7"/>
  <c r="AX268" i="7"/>
  <c r="BA268" i="7" s="1"/>
  <c r="AY268" i="7"/>
  <c r="AX33" i="7"/>
  <c r="AZ33" i="7"/>
  <c r="AY33" i="7"/>
  <c r="AX84" i="7"/>
  <c r="BA84" i="7" s="1"/>
  <c r="AZ84" i="7"/>
  <c r="AY84" i="7"/>
  <c r="AY247" i="7"/>
  <c r="AZ247" i="7"/>
  <c r="AX247" i="7"/>
  <c r="AY138" i="7"/>
  <c r="AZ138" i="7"/>
  <c r="AX138" i="7"/>
  <c r="AZ201" i="7"/>
  <c r="AY201" i="7"/>
  <c r="AX201" i="7"/>
  <c r="AY37" i="7"/>
  <c r="AZ37" i="7"/>
  <c r="AX37" i="7"/>
  <c r="AZ77" i="7"/>
  <c r="AY77" i="7"/>
  <c r="AX77" i="7"/>
  <c r="AY128" i="7"/>
  <c r="AZ128" i="7"/>
  <c r="AX128" i="7"/>
  <c r="AY270" i="7"/>
  <c r="AX270" i="7"/>
  <c r="AZ270" i="7"/>
  <c r="AY231" i="7"/>
  <c r="AX231" i="7"/>
  <c r="AZ231" i="7"/>
  <c r="AG171" i="7"/>
  <c r="Q171" i="7"/>
  <c r="R171" i="7" s="1"/>
  <c r="AF171" i="7"/>
  <c r="AG287" i="7"/>
  <c r="Q287" i="7"/>
  <c r="R287" i="7" s="1"/>
  <c r="AF287" i="7"/>
  <c r="AY25" i="7"/>
  <c r="AZ25" i="7"/>
  <c r="AX25" i="7"/>
  <c r="AZ214" i="7"/>
  <c r="AX214" i="7"/>
  <c r="AY214" i="7"/>
  <c r="AY155" i="7"/>
  <c r="AZ155" i="7"/>
  <c r="AX155" i="7"/>
  <c r="AY240" i="7"/>
  <c r="AZ240" i="7"/>
  <c r="AX240" i="7"/>
  <c r="BA240" i="7" s="1"/>
  <c r="AX118" i="7"/>
  <c r="AZ118" i="7"/>
  <c r="AY118" i="7"/>
  <c r="AY221" i="7"/>
  <c r="AX221" i="7"/>
  <c r="BA221" i="7" s="1"/>
  <c r="AZ221" i="7"/>
  <c r="AY303" i="7"/>
  <c r="AX303" i="7"/>
  <c r="BA303" i="7" s="1"/>
  <c r="AZ303" i="7"/>
  <c r="AD208" i="5"/>
  <c r="AE208" i="5"/>
  <c r="AG208" i="5"/>
  <c r="AI208" i="5" s="1"/>
  <c r="AJ208" i="5" s="1"/>
  <c r="AF208" i="5"/>
  <c r="AE240" i="5"/>
  <c r="AD240" i="5"/>
  <c r="AG240" i="5"/>
  <c r="AI240" i="5" s="1"/>
  <c r="AJ240" i="5" s="1"/>
  <c r="AF240" i="5"/>
  <c r="X240" i="5"/>
  <c r="AF50" i="5"/>
  <c r="AD50" i="5"/>
  <c r="AG50" i="5"/>
  <c r="AI50" i="5" s="1"/>
  <c r="AJ50" i="5" s="1"/>
  <c r="AE50" i="5"/>
  <c r="AY32" i="7"/>
  <c r="AZ32" i="7"/>
  <c r="AX32" i="7"/>
  <c r="AY289" i="7"/>
  <c r="AZ289" i="7"/>
  <c r="AX289" i="7"/>
  <c r="BA289" i="7" s="1"/>
  <c r="AZ314" i="7"/>
  <c r="AX314" i="7"/>
  <c r="BA314" i="7" s="1"/>
  <c r="AY314" i="7"/>
  <c r="AZ44" i="7"/>
  <c r="AX44" i="7"/>
  <c r="AY44" i="7"/>
  <c r="Q227" i="7"/>
  <c r="R227" i="7" s="1"/>
  <c r="AF227" i="7"/>
  <c r="AG227" i="7"/>
  <c r="AF214" i="7"/>
  <c r="Q214" i="7"/>
  <c r="R214" i="7" s="1"/>
  <c r="AG214" i="7"/>
  <c r="AG284" i="7"/>
  <c r="AF284" i="7"/>
  <c r="Q284" i="7"/>
  <c r="R284" i="7" s="1"/>
  <c r="AE291" i="5"/>
  <c r="AF291" i="5"/>
  <c r="AG291" i="5"/>
  <c r="AI291" i="5" s="1"/>
  <c r="AJ291" i="5" s="1"/>
  <c r="AD291" i="5"/>
  <c r="AG170" i="7"/>
  <c r="AF170" i="7"/>
  <c r="Q170" i="7"/>
  <c r="R170" i="7" s="1"/>
  <c r="AG203" i="5"/>
  <c r="AI203" i="5" s="1"/>
  <c r="AJ203" i="5" s="1"/>
  <c r="AD203" i="5"/>
  <c r="AE203" i="5"/>
  <c r="AF203" i="5"/>
  <c r="AF59" i="5"/>
  <c r="AE59" i="5"/>
  <c r="AD59" i="5"/>
  <c r="AG59" i="5"/>
  <c r="AI59" i="5" s="1"/>
  <c r="AJ59" i="5" s="1"/>
  <c r="AF35" i="5"/>
  <c r="AG35" i="5"/>
  <c r="AI35" i="5" s="1"/>
  <c r="AJ35" i="5" s="1"/>
  <c r="AD35" i="5"/>
  <c r="AE35" i="5"/>
  <c r="X35" i="5"/>
  <c r="AG192" i="7"/>
  <c r="Q192" i="7"/>
  <c r="R192" i="7" s="1"/>
  <c r="AF192" i="7"/>
  <c r="AX99" i="7"/>
  <c r="AY99" i="7"/>
  <c r="AZ99" i="7"/>
  <c r="AZ161" i="7"/>
  <c r="AX161" i="7"/>
  <c r="AY161" i="7"/>
  <c r="AZ60" i="7"/>
  <c r="AX60" i="7"/>
  <c r="BA60" i="7" s="1"/>
  <c r="AY60" i="7"/>
  <c r="AY230" i="7"/>
  <c r="AZ230" i="7"/>
  <c r="AX230" i="7"/>
  <c r="AY65" i="7"/>
  <c r="AX65" i="7"/>
  <c r="BA65" i="7" s="1"/>
  <c r="AZ65" i="7"/>
  <c r="AY164" i="7"/>
  <c r="AZ164" i="7"/>
  <c r="AX164" i="7"/>
  <c r="AF212" i="7"/>
  <c r="AG212" i="7"/>
  <c r="Q212" i="7"/>
  <c r="R212" i="7" s="1"/>
  <c r="AG107" i="7"/>
  <c r="Q107" i="7"/>
  <c r="R107" i="7" s="1"/>
  <c r="AF107" i="7"/>
  <c r="AZ21" i="7"/>
  <c r="AG241" i="5"/>
  <c r="AI241" i="5" s="1"/>
  <c r="AJ241" i="5" s="1"/>
  <c r="BO214" i="7"/>
  <c r="BP214" i="7" s="1"/>
  <c r="BG214" i="7"/>
  <c r="AK122" i="7"/>
  <c r="AN60" i="7"/>
  <c r="AP60" i="7" s="1"/>
  <c r="AX30" i="7"/>
  <c r="AG238" i="5"/>
  <c r="AI238" i="5" s="1"/>
  <c r="AJ238" i="5" s="1"/>
  <c r="AQ314" i="7"/>
  <c r="BM287" i="7"/>
  <c r="BN287" i="7"/>
  <c r="BF212" i="7"/>
  <c r="BM212" i="7"/>
  <c r="BG192" i="7"/>
  <c r="BF192" i="7"/>
  <c r="AD241" i="5"/>
  <c r="BF243" i="7"/>
  <c r="BL243" i="7"/>
  <c r="BM214" i="7"/>
  <c r="BE214" i="7"/>
  <c r="AJ122" i="7"/>
  <c r="AF238" i="5"/>
  <c r="BK287" i="7"/>
  <c r="BE287" i="7"/>
  <c r="BO212" i="7"/>
  <c r="BP212" i="7" s="1"/>
  <c r="BE212" i="7"/>
  <c r="BE192" i="7"/>
  <c r="BO192" i="7"/>
  <c r="BP192" i="7" s="1"/>
  <c r="BG201" i="7"/>
  <c r="AN157" i="7"/>
  <c r="AP157" i="7" s="1"/>
  <c r="BL37" i="7"/>
  <c r="AH34" i="6" s="1"/>
  <c r="AF199" i="5"/>
  <c r="AK235" i="7"/>
  <c r="BM284" i="7"/>
  <c r="BF284" i="7"/>
  <c r="BO293" i="7"/>
  <c r="BP293" i="7" s="1"/>
  <c r="BM277" i="7"/>
  <c r="BK277" i="7"/>
  <c r="BK186" i="7"/>
  <c r="BG107" i="7"/>
  <c r="AF104" i="6" s="1"/>
  <c r="BF107" i="7"/>
  <c r="AE104" i="6" s="1"/>
  <c r="AD217" i="5"/>
  <c r="BN30" i="7"/>
  <c r="BK184" i="7"/>
  <c r="AH219" i="7"/>
  <c r="AI219" i="7" s="1"/>
  <c r="BO51" i="7"/>
  <c r="BP51" i="7" s="1"/>
  <c r="BN51" i="7"/>
  <c r="BL68" i="7"/>
  <c r="AH65" i="6" s="1"/>
  <c r="BN68" i="7"/>
  <c r="BE260" i="7"/>
  <c r="BK260" i="7"/>
  <c r="AK42" i="7"/>
  <c r="AN42" i="7" s="1"/>
  <c r="AP42" i="7" s="1"/>
  <c r="BE42" i="7"/>
  <c r="AD39" i="6" s="1"/>
  <c r="BK42" i="7"/>
  <c r="X291" i="5"/>
  <c r="X241" i="5"/>
  <c r="AE134" i="5"/>
  <c r="AD134" i="5"/>
  <c r="AF134" i="5"/>
  <c r="AG134" i="5"/>
  <c r="AI134" i="5" s="1"/>
  <c r="AJ134" i="5" s="1"/>
  <c r="BL149" i="7"/>
  <c r="BK149" i="7"/>
  <c r="BG149" i="7"/>
  <c r="BO149" i="7"/>
  <c r="BP149" i="7" s="1"/>
  <c r="BF149" i="7"/>
  <c r="BN149" i="7"/>
  <c r="BE149" i="7"/>
  <c r="BM149" i="7"/>
  <c r="BB143" i="7"/>
  <c r="BC143" i="7"/>
  <c r="BJ143" i="7"/>
  <c r="BD143" i="7"/>
  <c r="AG56" i="5"/>
  <c r="AI56" i="5" s="1"/>
  <c r="AJ56" i="5" s="1"/>
  <c r="AD56" i="5"/>
  <c r="AF56" i="5"/>
  <c r="AE56" i="5"/>
  <c r="AH171" i="7"/>
  <c r="AI171" i="7" s="1"/>
  <c r="AJ171" i="7"/>
  <c r="AK171" i="7"/>
  <c r="Q306" i="7"/>
  <c r="R306" i="7" s="1"/>
  <c r="AG306" i="7"/>
  <c r="BC285" i="7"/>
  <c r="BB285" i="7"/>
  <c r="BJ285" i="7"/>
  <c r="BD285" i="7"/>
  <c r="AJ277" i="7"/>
  <c r="AH277" i="7"/>
  <c r="AI277" i="7" s="1"/>
  <c r="AK277" i="7"/>
  <c r="AH68" i="7"/>
  <c r="AI68" i="7" s="1"/>
  <c r="AK68" i="7"/>
  <c r="AJ68" i="7"/>
  <c r="AE137" i="5"/>
  <c r="AD137" i="5"/>
  <c r="AG137" i="5"/>
  <c r="AI137" i="5" s="1"/>
  <c r="AJ137" i="5" s="1"/>
  <c r="AF137" i="5"/>
  <c r="BJ234" i="7"/>
  <c r="BC234" i="7"/>
  <c r="BB234" i="7"/>
  <c r="BD234" i="7"/>
  <c r="AZ176" i="7"/>
  <c r="AX176" i="7"/>
  <c r="BA176" i="7" s="1"/>
  <c r="AY176" i="7"/>
  <c r="AY254" i="7"/>
  <c r="AZ254" i="7"/>
  <c r="AX254" i="7"/>
  <c r="AX154" i="7"/>
  <c r="AZ154" i="7"/>
  <c r="AY154" i="7"/>
  <c r="AX88" i="7"/>
  <c r="BA88" i="7" s="1"/>
  <c r="AY88" i="7"/>
  <c r="AZ88" i="7"/>
  <c r="AF195" i="7"/>
  <c r="AG195" i="7"/>
  <c r="Q195" i="7"/>
  <c r="R195" i="7" s="1"/>
  <c r="AD185" i="5"/>
  <c r="AG185" i="5"/>
  <c r="AI185" i="5" s="1"/>
  <c r="AJ185" i="5" s="1"/>
  <c r="AF185" i="5"/>
  <c r="AE185" i="5"/>
  <c r="AD163" i="5"/>
  <c r="AE163" i="5"/>
  <c r="AF163" i="5"/>
  <c r="X163" i="5"/>
  <c r="AG163" i="5"/>
  <c r="AI163" i="5" s="1"/>
  <c r="AJ163" i="5" s="1"/>
  <c r="AE46" i="5"/>
  <c r="AF46" i="5"/>
  <c r="AG46" i="5"/>
  <c r="AI46" i="5" s="1"/>
  <c r="AJ46" i="5" s="1"/>
  <c r="AD46" i="5"/>
  <c r="Q274" i="7"/>
  <c r="R274" i="7" s="1"/>
  <c r="AF274" i="7"/>
  <c r="AG274" i="7"/>
  <c r="S271" i="6"/>
  <c r="X274" i="7" s="1"/>
  <c r="V274" i="7"/>
  <c r="BE169" i="7"/>
  <c r="BO169" i="7"/>
  <c r="BP169" i="7" s="1"/>
  <c r="BL169" i="7"/>
  <c r="BN169" i="7"/>
  <c r="BG169" i="7"/>
  <c r="BF169" i="7"/>
  <c r="BK169" i="7"/>
  <c r="BM169" i="7"/>
  <c r="AE73" i="5"/>
  <c r="AG73" i="5"/>
  <c r="AI73" i="5" s="1"/>
  <c r="AJ73" i="5" s="1"/>
  <c r="AF73" i="5"/>
  <c r="AD73" i="5"/>
  <c r="AG231" i="5"/>
  <c r="AI231" i="5" s="1"/>
  <c r="AJ231" i="5" s="1"/>
  <c r="AE231" i="5"/>
  <c r="AF231" i="5"/>
  <c r="AD231" i="5"/>
  <c r="Q197" i="7"/>
  <c r="R197" i="7" s="1"/>
  <c r="AG197" i="7"/>
  <c r="AF197" i="7"/>
  <c r="Q150" i="7"/>
  <c r="R150" i="7" s="1"/>
  <c r="AF150" i="7"/>
  <c r="AG150" i="7"/>
  <c r="AG115" i="5"/>
  <c r="AI115" i="5" s="1"/>
  <c r="AJ115" i="5" s="1"/>
  <c r="AD115" i="5"/>
  <c r="AF115" i="5"/>
  <c r="AE115" i="5"/>
  <c r="AD169" i="5"/>
  <c r="AF169" i="5"/>
  <c r="AG169" i="5"/>
  <c r="AI169" i="5" s="1"/>
  <c r="AJ169" i="5" s="1"/>
  <c r="AE169" i="5"/>
  <c r="Q74" i="7"/>
  <c r="R74" i="7" s="1"/>
  <c r="AF74" i="7"/>
  <c r="AG74" i="7"/>
  <c r="AF31" i="7"/>
  <c r="AG31" i="7"/>
  <c r="Q31" i="7"/>
  <c r="R31" i="7" s="1"/>
  <c r="Q228" i="7"/>
  <c r="R228" i="7" s="1"/>
  <c r="AF228" i="7"/>
  <c r="AG228" i="7"/>
  <c r="AY73" i="7"/>
  <c r="AX73" i="7"/>
  <c r="BA73" i="7" s="1"/>
  <c r="AZ73" i="7"/>
  <c r="AY145" i="7"/>
  <c r="AX145" i="7"/>
  <c r="BA145" i="7" s="1"/>
  <c r="AZ145" i="7"/>
  <c r="AZ222" i="7"/>
  <c r="AY222" i="7"/>
  <c r="AX222" i="7"/>
  <c r="AG92" i="5"/>
  <c r="AI92" i="5" s="1"/>
  <c r="AJ92" i="5" s="1"/>
  <c r="AD92" i="5"/>
  <c r="AE92" i="5"/>
  <c r="AF92" i="5"/>
  <c r="AG94" i="5"/>
  <c r="AI94" i="5" s="1"/>
  <c r="AJ94" i="5" s="1"/>
  <c r="AF94" i="5"/>
  <c r="AD94" i="5"/>
  <c r="AE94" i="5"/>
  <c r="AD70" i="5"/>
  <c r="AF70" i="5"/>
  <c r="AE70" i="5"/>
  <c r="AG70" i="5"/>
  <c r="AI70" i="5" s="1"/>
  <c r="AJ70" i="5" s="1"/>
  <c r="AD161" i="5"/>
  <c r="AG161" i="5"/>
  <c r="AI161" i="5" s="1"/>
  <c r="AJ161" i="5" s="1"/>
  <c r="AF161" i="5"/>
  <c r="AE161" i="5"/>
  <c r="AG235" i="7"/>
  <c r="Q235" i="7"/>
  <c r="R235" i="7" s="1"/>
  <c r="AF235" i="7"/>
  <c r="AG226" i="7"/>
  <c r="Q226" i="7"/>
  <c r="R226" i="7" s="1"/>
  <c r="AF226" i="7"/>
  <c r="V223" i="6"/>
  <c r="AA226" i="7" s="1"/>
  <c r="AL226" i="7" s="1"/>
  <c r="Y226" i="7"/>
  <c r="AF219" i="7"/>
  <c r="AG219" i="7"/>
  <c r="Q219" i="7"/>
  <c r="R219" i="7" s="1"/>
  <c r="BG219" i="7"/>
  <c r="BM219" i="7"/>
  <c r="BN219" i="7"/>
  <c r="BK219" i="7"/>
  <c r="BF219" i="7"/>
  <c r="BO219" i="7"/>
  <c r="BP219" i="7" s="1"/>
  <c r="BL219" i="7"/>
  <c r="BE219" i="7"/>
  <c r="V167" i="6"/>
  <c r="AA170" i="7" s="1"/>
  <c r="AL170" i="7" s="1"/>
  <c r="Y170" i="7"/>
  <c r="Q118" i="7"/>
  <c r="R118" i="7" s="1"/>
  <c r="AF118" i="7"/>
  <c r="AG118" i="7"/>
  <c r="AE145" i="5"/>
  <c r="AF145" i="5"/>
  <c r="AG145" i="5"/>
  <c r="AI145" i="5" s="1"/>
  <c r="AJ145" i="5" s="1"/>
  <c r="AD145" i="5"/>
  <c r="AG120" i="5"/>
  <c r="AI120" i="5" s="1"/>
  <c r="AJ120" i="5" s="1"/>
  <c r="AD120" i="5"/>
  <c r="AF120" i="5"/>
  <c r="AE120" i="5"/>
  <c r="AJ124" i="7"/>
  <c r="AK124" i="7"/>
  <c r="AN124" i="7" s="1"/>
  <c r="AH124" i="7"/>
  <c r="AI124" i="7" s="1"/>
  <c r="AG273" i="5"/>
  <c r="AI273" i="5" s="1"/>
  <c r="AJ273" i="5" s="1"/>
  <c r="AF273" i="5"/>
  <c r="AD273" i="5"/>
  <c r="AE273" i="5"/>
  <c r="AD72" i="5"/>
  <c r="AE72" i="5"/>
  <c r="AF72" i="5"/>
  <c r="AG72" i="5"/>
  <c r="AI72" i="5" s="1"/>
  <c r="AJ72" i="5" s="1"/>
  <c r="AE31" i="5"/>
  <c r="AD31" i="5"/>
  <c r="AF31" i="5"/>
  <c r="AG31" i="5"/>
  <c r="AI31" i="5" s="1"/>
  <c r="AJ31" i="5" s="1"/>
  <c r="V215" i="6"/>
  <c r="AA218" i="7" s="1"/>
  <c r="AL218" i="7" s="1"/>
  <c r="Y218" i="7"/>
  <c r="Q174" i="7"/>
  <c r="R174" i="7" s="1"/>
  <c r="AG174" i="7"/>
  <c r="AF174" i="7"/>
  <c r="AX76" i="7"/>
  <c r="BA76" i="7" s="1"/>
  <c r="AY76" i="7"/>
  <c r="AZ76" i="7"/>
  <c r="AX310" i="7"/>
  <c r="BA310" i="7" s="1"/>
  <c r="AY310" i="7"/>
  <c r="AZ310" i="7"/>
  <c r="AX39" i="7"/>
  <c r="BA39" i="7" s="1"/>
  <c r="AZ39" i="7"/>
  <c r="AY39" i="7"/>
  <c r="AZ296" i="7"/>
  <c r="AY296" i="7"/>
  <c r="AX296" i="7"/>
  <c r="AX205" i="7"/>
  <c r="BA205" i="7" s="1"/>
  <c r="AZ205" i="7"/>
  <c r="AY205" i="7"/>
  <c r="AZ53" i="7"/>
  <c r="AY53" i="7"/>
  <c r="AX53" i="7"/>
  <c r="BA53" i="7" s="1"/>
  <c r="AK273" i="7"/>
  <c r="AJ273" i="7"/>
  <c r="BL230" i="7"/>
  <c r="BN230" i="7"/>
  <c r="BO230" i="7"/>
  <c r="BP230" i="7" s="1"/>
  <c r="BE230" i="7"/>
  <c r="BG230" i="7"/>
  <c r="BM230" i="7"/>
  <c r="BF230" i="7"/>
  <c r="BK230" i="7"/>
  <c r="V104" i="6"/>
  <c r="AA107" i="7" s="1"/>
  <c r="AL107" i="7" s="1"/>
  <c r="Y107" i="7"/>
  <c r="S94" i="6"/>
  <c r="X97" i="7" s="1"/>
  <c r="AO97" i="7" s="1"/>
  <c r="AQ97" i="7" s="1"/>
  <c r="V97" i="7"/>
  <c r="AH294" i="7"/>
  <c r="AI294" i="7" s="1"/>
  <c r="AJ294" i="7"/>
  <c r="AK294" i="7"/>
  <c r="AH186" i="7"/>
  <c r="AI186" i="7" s="1"/>
  <c r="AK186" i="7"/>
  <c r="AJ186" i="7"/>
  <c r="AD149" i="5"/>
  <c r="AE149" i="5"/>
  <c r="AF149" i="5"/>
  <c r="AG149" i="5"/>
  <c r="AI149" i="5" s="1"/>
  <c r="AJ149" i="5" s="1"/>
  <c r="AG222" i="7"/>
  <c r="Q222" i="7"/>
  <c r="R222" i="7" s="1"/>
  <c r="AF222" i="7"/>
  <c r="V219" i="6"/>
  <c r="AA222" i="7" s="1"/>
  <c r="AL222" i="7" s="1"/>
  <c r="Y222" i="7"/>
  <c r="AK144" i="7"/>
  <c r="AO144" i="7" s="1"/>
  <c r="AJ144" i="7"/>
  <c r="AD54" i="5"/>
  <c r="AE54" i="5"/>
  <c r="AG54" i="5"/>
  <c r="AI54" i="5" s="1"/>
  <c r="AJ54" i="5" s="1"/>
  <c r="AF54" i="5"/>
  <c r="X208" i="5"/>
  <c r="BC303" i="7"/>
  <c r="BD303" i="7"/>
  <c r="BB303" i="7"/>
  <c r="BJ303" i="7"/>
  <c r="AG302" i="5"/>
  <c r="AI302" i="5" s="1"/>
  <c r="AJ302" i="5" s="1"/>
  <c r="AE302" i="5"/>
  <c r="X302" i="5"/>
  <c r="AD302" i="5"/>
  <c r="AF302" i="5"/>
  <c r="AY163" i="7"/>
  <c r="AX163" i="7"/>
  <c r="AZ163" i="7"/>
  <c r="AY242" i="7"/>
  <c r="AZ242" i="7"/>
  <c r="AX242" i="7"/>
  <c r="AY41" i="7"/>
  <c r="AZ41" i="7"/>
  <c r="AX41" i="7"/>
  <c r="AX306" i="7"/>
  <c r="AZ306" i="7"/>
  <c r="AY306" i="7"/>
  <c r="AX172" i="7"/>
  <c r="AY172" i="7"/>
  <c r="AZ172" i="7"/>
  <c r="AY26" i="7"/>
  <c r="AX26" i="7"/>
  <c r="AZ26" i="7"/>
  <c r="AZ293" i="7"/>
  <c r="AY293" i="7"/>
  <c r="AX293" i="7"/>
  <c r="AX255" i="7"/>
  <c r="AZ255" i="7"/>
  <c r="AY255" i="7"/>
  <c r="AZ298" i="7"/>
  <c r="AX298" i="7"/>
  <c r="BA298" i="7" s="1"/>
  <c r="AY298" i="7"/>
  <c r="AX156" i="7"/>
  <c r="AZ156" i="7"/>
  <c r="AY156" i="7"/>
  <c r="AX115" i="7"/>
  <c r="AY115" i="7"/>
  <c r="AZ115" i="7"/>
  <c r="AX223" i="7"/>
  <c r="BA223" i="7" s="1"/>
  <c r="AZ223" i="7"/>
  <c r="AY223" i="7"/>
  <c r="AX129" i="7"/>
  <c r="BA129" i="7" s="1"/>
  <c r="AY129" i="7"/>
  <c r="AZ129" i="7"/>
  <c r="AZ237" i="7"/>
  <c r="AX237" i="7"/>
  <c r="AY237" i="7"/>
  <c r="AX125" i="7"/>
  <c r="AZ125" i="7"/>
  <c r="AY125" i="7"/>
  <c r="AX291" i="7"/>
  <c r="AZ291" i="7"/>
  <c r="AY291" i="7"/>
  <c r="AX178" i="7"/>
  <c r="BA178" i="7" s="1"/>
  <c r="AY178" i="7"/>
  <c r="AZ178" i="7"/>
  <c r="AZ120" i="7"/>
  <c r="AX120" i="7"/>
  <c r="AY120" i="7"/>
  <c r="AZ174" i="7"/>
  <c r="AX174" i="7"/>
  <c r="AY174" i="7"/>
  <c r="AY290" i="7"/>
  <c r="AZ290" i="7"/>
  <c r="AX290" i="7"/>
  <c r="AX202" i="7"/>
  <c r="BA202" i="7" s="1"/>
  <c r="AZ202" i="7"/>
  <c r="AY202" i="7"/>
  <c r="AX59" i="7"/>
  <c r="BA59" i="7" s="1"/>
  <c r="AZ59" i="7"/>
  <c r="AY59" i="7"/>
  <c r="AX248" i="7"/>
  <c r="AZ248" i="7"/>
  <c r="AY248" i="7"/>
  <c r="AY315" i="7"/>
  <c r="AZ315" i="7"/>
  <c r="AX315" i="7"/>
  <c r="AX251" i="7"/>
  <c r="AY251" i="7"/>
  <c r="AZ251" i="7"/>
  <c r="AX119" i="7"/>
  <c r="AZ119" i="7"/>
  <c r="AY119" i="7"/>
  <c r="AZ185" i="7"/>
  <c r="AY185" i="7"/>
  <c r="AX185" i="7"/>
  <c r="AZ276" i="7"/>
  <c r="AY276" i="7"/>
  <c r="AX276" i="7"/>
  <c r="AZ148" i="7"/>
  <c r="AX148" i="7"/>
  <c r="AY148" i="7"/>
  <c r="AX279" i="7"/>
  <c r="AZ279" i="7"/>
  <c r="AY279" i="7"/>
  <c r="AX131" i="7"/>
  <c r="BA131" i="7" s="1"/>
  <c r="AY131" i="7"/>
  <c r="AZ131" i="7"/>
  <c r="AE195" i="5"/>
  <c r="AF195" i="5"/>
  <c r="AG195" i="5"/>
  <c r="AI195" i="5" s="1"/>
  <c r="AJ195" i="5" s="1"/>
  <c r="AD195" i="5"/>
  <c r="AF255" i="7"/>
  <c r="Q255" i="7"/>
  <c r="R255" i="7" s="1"/>
  <c r="AG255" i="7"/>
  <c r="BE255" i="7"/>
  <c r="BM255" i="7"/>
  <c r="BG255" i="7"/>
  <c r="BN255" i="7"/>
  <c r="BF255" i="7"/>
  <c r="BK255" i="7"/>
  <c r="BO255" i="7"/>
  <c r="BP255" i="7" s="1"/>
  <c r="BL255" i="7"/>
  <c r="AF41" i="5"/>
  <c r="AD41" i="5"/>
  <c r="AE41" i="5"/>
  <c r="AG41" i="5"/>
  <c r="AI41" i="5" s="1"/>
  <c r="AJ41" i="5" s="1"/>
  <c r="S257" i="6"/>
  <c r="X260" i="7" s="1"/>
  <c r="V260" i="7"/>
  <c r="Q148" i="7"/>
  <c r="R148" i="7" s="1"/>
  <c r="AF148" i="7"/>
  <c r="AG148" i="7"/>
  <c r="AD78" i="5"/>
  <c r="AE78" i="5"/>
  <c r="AF78" i="5"/>
  <c r="AG78" i="5"/>
  <c r="AI78" i="5" s="1"/>
  <c r="AJ78" i="5" s="1"/>
  <c r="AO40" i="7"/>
  <c r="AQ40" i="7" s="1"/>
  <c r="AN40" i="7"/>
  <c r="AP40" i="7" s="1"/>
  <c r="X169" i="5"/>
  <c r="AD191" i="5"/>
  <c r="AF191" i="5"/>
  <c r="AE191" i="5"/>
  <c r="AG191" i="5"/>
  <c r="AI191" i="5" s="1"/>
  <c r="AJ191" i="5" s="1"/>
  <c r="X191" i="5"/>
  <c r="AJ306" i="7"/>
  <c r="AK306" i="7"/>
  <c r="V274" i="6"/>
  <c r="AA277" i="7" s="1"/>
  <c r="AL277" i="7" s="1"/>
  <c r="Y277" i="7"/>
  <c r="AY224" i="7"/>
  <c r="AZ224" i="7"/>
  <c r="AX224" i="7"/>
  <c r="AX91" i="7"/>
  <c r="BA91" i="7" s="1"/>
  <c r="AZ91" i="7"/>
  <c r="AY91" i="7"/>
  <c r="AZ184" i="7"/>
  <c r="AX184" i="7"/>
  <c r="AY184" i="7"/>
  <c r="AG296" i="5"/>
  <c r="AI296" i="5" s="1"/>
  <c r="AJ296" i="5" s="1"/>
  <c r="AF296" i="5"/>
  <c r="AD296" i="5"/>
  <c r="AE296" i="5"/>
  <c r="AY114" i="7"/>
  <c r="AZ114" i="7"/>
  <c r="AX114" i="7"/>
  <c r="BA114" i="7" s="1"/>
  <c r="AX111" i="7"/>
  <c r="AZ111" i="7"/>
  <c r="AY111" i="7"/>
  <c r="AX169" i="7"/>
  <c r="AZ169" i="7"/>
  <c r="AY169" i="7"/>
  <c r="AZ86" i="7"/>
  <c r="AX86" i="7"/>
  <c r="AY86" i="7"/>
  <c r="AG287" i="5"/>
  <c r="AI287" i="5" s="1"/>
  <c r="AJ287" i="5" s="1"/>
  <c r="AE287" i="5"/>
  <c r="AD287" i="5"/>
  <c r="AF287" i="5"/>
  <c r="X287" i="5"/>
  <c r="S167" i="6"/>
  <c r="X170" i="7" s="1"/>
  <c r="AO170" i="7" s="1"/>
  <c r="AQ170" i="7" s="1"/>
  <c r="V170" i="7"/>
  <c r="AD292" i="5"/>
  <c r="AF292" i="5"/>
  <c r="AE292" i="5"/>
  <c r="AG292" i="5"/>
  <c r="AI292" i="5" s="1"/>
  <c r="AJ292" i="5" s="1"/>
  <c r="AF37" i="7"/>
  <c r="Q37" i="7"/>
  <c r="R37" i="7" s="1"/>
  <c r="AG37" i="7"/>
  <c r="BJ88" i="7"/>
  <c r="BB88" i="7"/>
  <c r="BC88" i="7"/>
  <c r="BD88" i="7"/>
  <c r="AJ293" i="7"/>
  <c r="AH293" i="7"/>
  <c r="AI293" i="7" s="1"/>
  <c r="AK293" i="7"/>
  <c r="AG118" i="5"/>
  <c r="AI118" i="5" s="1"/>
  <c r="AJ118" i="5" s="1"/>
  <c r="AF118" i="5"/>
  <c r="AD118" i="5"/>
  <c r="AE118" i="5"/>
  <c r="AF244" i="5"/>
  <c r="AG244" i="5"/>
  <c r="AI244" i="5" s="1"/>
  <c r="AJ244" i="5" s="1"/>
  <c r="AD244" i="5"/>
  <c r="AE244" i="5"/>
  <c r="AF30" i="7"/>
  <c r="Q30" i="7"/>
  <c r="R30" i="7" s="1"/>
  <c r="AG30" i="7"/>
  <c r="AJ30" i="7"/>
  <c r="AH30" i="7"/>
  <c r="AI30" i="7" s="1"/>
  <c r="AK30" i="7"/>
  <c r="AE294" i="5"/>
  <c r="AD294" i="5"/>
  <c r="AG294" i="5"/>
  <c r="AI294" i="5" s="1"/>
  <c r="AJ294" i="5" s="1"/>
  <c r="AF294" i="5"/>
  <c r="AG221" i="5"/>
  <c r="AI221" i="5" s="1"/>
  <c r="AJ221" i="5" s="1"/>
  <c r="AD221" i="5"/>
  <c r="AE221" i="5"/>
  <c r="AF221" i="5"/>
  <c r="BE267" i="7"/>
  <c r="BL267" i="7"/>
  <c r="BM267" i="7"/>
  <c r="BG267" i="7"/>
  <c r="BF267" i="7"/>
  <c r="BK267" i="7"/>
  <c r="BN267" i="7"/>
  <c r="BO267" i="7"/>
  <c r="BP267" i="7" s="1"/>
  <c r="AE91" i="5"/>
  <c r="AG91" i="5"/>
  <c r="AI91" i="5" s="1"/>
  <c r="AJ91" i="5" s="1"/>
  <c r="AD91" i="5"/>
  <c r="AF91" i="5"/>
  <c r="AG181" i="5"/>
  <c r="AI181" i="5" s="1"/>
  <c r="AJ181" i="5" s="1"/>
  <c r="AF181" i="5"/>
  <c r="AE181" i="5"/>
  <c r="AD181" i="5"/>
  <c r="AE58" i="5"/>
  <c r="AF58" i="5"/>
  <c r="AD58" i="5"/>
  <c r="AG58" i="5"/>
  <c r="AI58" i="5" s="1"/>
  <c r="AJ58" i="5" s="1"/>
  <c r="AZ275" i="7"/>
  <c r="AX275" i="7"/>
  <c r="BA275" i="7" s="1"/>
  <c r="AY275" i="7"/>
  <c r="AX126" i="7"/>
  <c r="AZ126" i="7"/>
  <c r="AY126" i="7"/>
  <c r="AZ181" i="7"/>
  <c r="AY181" i="7"/>
  <c r="AX181" i="7"/>
  <c r="BA181" i="7" s="1"/>
  <c r="AZ127" i="7"/>
  <c r="AX127" i="7"/>
  <c r="BA127" i="7" s="1"/>
  <c r="AY127" i="7"/>
  <c r="AY35" i="7"/>
  <c r="AZ35" i="7"/>
  <c r="AX35" i="7"/>
  <c r="AZ209" i="7"/>
  <c r="AX209" i="7"/>
  <c r="BA209" i="7" s="1"/>
  <c r="AY209" i="7"/>
  <c r="AX132" i="7"/>
  <c r="AZ132" i="7"/>
  <c r="AY132" i="7"/>
  <c r="AY215" i="7"/>
  <c r="AZ215" i="7"/>
  <c r="AX215" i="7"/>
  <c r="AX193" i="7"/>
  <c r="BA193" i="7" s="1"/>
  <c r="AY193" i="7"/>
  <c r="AZ193" i="7"/>
  <c r="AZ173" i="7"/>
  <c r="AX173" i="7"/>
  <c r="AY173" i="7"/>
  <c r="AZ81" i="7"/>
  <c r="AY81" i="7"/>
  <c r="AX81" i="7"/>
  <c r="AX311" i="7"/>
  <c r="AZ311" i="7"/>
  <c r="AY311" i="7"/>
  <c r="AZ207" i="7"/>
  <c r="AX207" i="7"/>
  <c r="BA207" i="7" s="1"/>
  <c r="AY207" i="7"/>
  <c r="AX261" i="7"/>
  <c r="BA261" i="7" s="1"/>
  <c r="AZ261" i="7"/>
  <c r="AY261" i="7"/>
  <c r="AX177" i="7"/>
  <c r="BA177" i="7" s="1"/>
  <c r="AZ177" i="7"/>
  <c r="AY177" i="7"/>
  <c r="AZ312" i="7"/>
  <c r="AX312" i="7"/>
  <c r="AY312" i="7"/>
  <c r="AZ124" i="7"/>
  <c r="AY124" i="7"/>
  <c r="AX124" i="7"/>
  <c r="AX235" i="7"/>
  <c r="AY235" i="7"/>
  <c r="AZ235" i="7"/>
  <c r="AZ171" i="7"/>
  <c r="AX171" i="7"/>
  <c r="AY171" i="7"/>
  <c r="AY233" i="7"/>
  <c r="AZ233" i="7"/>
  <c r="AX233" i="7"/>
  <c r="BA233" i="7" s="1"/>
  <c r="AZ260" i="7"/>
  <c r="AY260" i="7"/>
  <c r="AX260" i="7"/>
  <c r="AZ98" i="7"/>
  <c r="AY98" i="7"/>
  <c r="AX98" i="7"/>
  <c r="BA98" i="7" s="1"/>
  <c r="AY34" i="7"/>
  <c r="AX34" i="7"/>
  <c r="AZ34" i="7"/>
  <c r="AX151" i="7"/>
  <c r="BA151" i="7" s="1"/>
  <c r="AY151" i="7"/>
  <c r="AZ151" i="7"/>
  <c r="AX72" i="7"/>
  <c r="BA72" i="7" s="1"/>
  <c r="AY72" i="7"/>
  <c r="AZ72" i="7"/>
  <c r="AX150" i="7"/>
  <c r="AY150" i="7"/>
  <c r="AZ150" i="7"/>
  <c r="AY216" i="7"/>
  <c r="AZ216" i="7"/>
  <c r="AX216" i="7"/>
  <c r="BA216" i="7" s="1"/>
  <c r="AX269" i="7"/>
  <c r="AY269" i="7"/>
  <c r="AZ269" i="7"/>
  <c r="AX62" i="7"/>
  <c r="AZ62" i="7"/>
  <c r="AY62" i="7"/>
  <c r="AZ244" i="7"/>
  <c r="AY244" i="7"/>
  <c r="AX244" i="7"/>
  <c r="AX137" i="7"/>
  <c r="AY137" i="7"/>
  <c r="AZ137" i="7"/>
  <c r="AZ23" i="7"/>
  <c r="AX23" i="7"/>
  <c r="AY23" i="7"/>
  <c r="AF184" i="7"/>
  <c r="Q184" i="7"/>
  <c r="R184" i="7" s="1"/>
  <c r="AG184" i="7"/>
  <c r="AD229" i="5"/>
  <c r="AE229" i="5"/>
  <c r="AF229" i="5"/>
  <c r="AG229" i="5"/>
  <c r="AI229" i="5" s="1"/>
  <c r="AJ229" i="5" s="1"/>
  <c r="AE218" i="5"/>
  <c r="AD218" i="5"/>
  <c r="AF218" i="5"/>
  <c r="AG218" i="5"/>
  <c r="AI218" i="5" s="1"/>
  <c r="AJ218" i="5" s="1"/>
  <c r="AG177" i="5"/>
  <c r="AI177" i="5" s="1"/>
  <c r="AJ177" i="5" s="1"/>
  <c r="AD177" i="5"/>
  <c r="AF177" i="5"/>
  <c r="AE177" i="5"/>
  <c r="AD24" i="5"/>
  <c r="AG24" i="5"/>
  <c r="AI24" i="5" s="1"/>
  <c r="AJ24" i="5" s="1"/>
  <c r="AE24" i="5"/>
  <c r="AF24" i="5"/>
  <c r="AE98" i="5"/>
  <c r="AG98" i="5"/>
  <c r="AI98" i="5" s="1"/>
  <c r="AJ98" i="5" s="1"/>
  <c r="AF98" i="5"/>
  <c r="AD98" i="5"/>
  <c r="AG122" i="7"/>
  <c r="AF122" i="7"/>
  <c r="Q122" i="7"/>
  <c r="R122" i="7" s="1"/>
  <c r="BN122" i="7"/>
  <c r="BL122" i="7"/>
  <c r="BF122" i="7"/>
  <c r="BE122" i="7"/>
  <c r="BK122" i="7"/>
  <c r="BM122" i="7"/>
  <c r="BG122" i="7"/>
  <c r="BO122" i="7"/>
  <c r="BP122" i="7" s="1"/>
  <c r="AG260" i="7"/>
  <c r="AF260" i="7"/>
  <c r="Q260" i="7"/>
  <c r="R260" i="7" s="1"/>
  <c r="AF42" i="7"/>
  <c r="AG42" i="7"/>
  <c r="Q42" i="7"/>
  <c r="R42" i="7" s="1"/>
  <c r="AG272" i="5"/>
  <c r="AI272" i="5" s="1"/>
  <c r="AJ272" i="5" s="1"/>
  <c r="AD272" i="5"/>
  <c r="AE272" i="5"/>
  <c r="AF272" i="5"/>
  <c r="X272" i="5"/>
  <c r="AG107" i="5"/>
  <c r="AI107" i="5" s="1"/>
  <c r="AJ107" i="5" s="1"/>
  <c r="AD107" i="5"/>
  <c r="AF107" i="5"/>
  <c r="AE107" i="5"/>
  <c r="AF213" i="5"/>
  <c r="AE213" i="5"/>
  <c r="AG213" i="5"/>
  <c r="AI213" i="5" s="1"/>
  <c r="AJ213" i="5" s="1"/>
  <c r="AD213" i="5"/>
  <c r="BG243" i="7"/>
  <c r="BN243" i="7"/>
  <c r="BL214" i="7"/>
  <c r="BF214" i="7"/>
  <c r="X238" i="5"/>
  <c r="BO287" i="7"/>
  <c r="BP287" i="7" s="1"/>
  <c r="BG287" i="7"/>
  <c r="BG212" i="7"/>
  <c r="BN212" i="7"/>
  <c r="AJ152" i="7"/>
  <c r="BM192" i="7"/>
  <c r="BN192" i="7"/>
  <c r="BG37" i="7"/>
  <c r="AF34" i="6" s="1"/>
  <c r="BN37" i="7"/>
  <c r="AG199" i="5"/>
  <c r="AI199" i="5" s="1"/>
  <c r="AJ199" i="5" s="1"/>
  <c r="AN313" i="7"/>
  <c r="AP313" i="7" s="1"/>
  <c r="AN297" i="7"/>
  <c r="AP297" i="7" s="1"/>
  <c r="AH235" i="7"/>
  <c r="AI235" i="7" s="1"/>
  <c r="BE284" i="7"/>
  <c r="BG284" i="7"/>
  <c r="BE277" i="7"/>
  <c r="BN107" i="7"/>
  <c r="BE107" i="7"/>
  <c r="AD104" i="6" s="1"/>
  <c r="AG217" i="5"/>
  <c r="AI217" i="5" s="1"/>
  <c r="AJ217" i="5" s="1"/>
  <c r="BO30" i="7"/>
  <c r="BP30" i="7" s="1"/>
  <c r="BF30" i="7"/>
  <c r="AE27" i="6" s="1"/>
  <c r="X58" i="5"/>
  <c r="BE184" i="7"/>
  <c r="BF184" i="7"/>
  <c r="V152" i="7"/>
  <c r="BE51" i="7"/>
  <c r="AD48" i="6" s="1"/>
  <c r="AN82" i="7"/>
  <c r="AP82" i="7" s="1"/>
  <c r="BM68" i="7"/>
  <c r="AI65" i="6" s="1"/>
  <c r="BF260" i="7"/>
  <c r="BO260" i="7"/>
  <c r="BP260" i="7" s="1"/>
  <c r="AH42" i="7"/>
  <c r="AI42" i="7" s="1"/>
  <c r="BF42" i="7"/>
  <c r="AE39" i="6" s="1"/>
  <c r="X24" i="5"/>
  <c r="X177" i="5"/>
  <c r="X98" i="5"/>
  <c r="X50" i="5"/>
  <c r="X213" i="5"/>
  <c r="X296" i="5"/>
  <c r="X118" i="5"/>
  <c r="X217" i="5"/>
  <c r="AH149" i="7"/>
  <c r="AI149" i="7" s="1"/>
  <c r="AK149" i="7"/>
  <c r="AJ149" i="7"/>
  <c r="BG171" i="7"/>
  <c r="BO171" i="7"/>
  <c r="BP171" i="7" s="1"/>
  <c r="BN171" i="7"/>
  <c r="BE171" i="7"/>
  <c r="BL171" i="7"/>
  <c r="BM171" i="7"/>
  <c r="BK171" i="7"/>
  <c r="BF171" i="7"/>
  <c r="AF43" i="5"/>
  <c r="AE43" i="5"/>
  <c r="AG43" i="5"/>
  <c r="AI43" i="5" s="1"/>
  <c r="AJ43" i="5" s="1"/>
  <c r="AD43" i="5"/>
  <c r="AE295" i="5"/>
  <c r="AD295" i="5"/>
  <c r="AG295" i="5"/>
  <c r="AI295" i="5" s="1"/>
  <c r="AJ295" i="5" s="1"/>
  <c r="AF295" i="5"/>
  <c r="AD201" i="5"/>
  <c r="AF201" i="5"/>
  <c r="AG201" i="5"/>
  <c r="AI201" i="5" s="1"/>
  <c r="AJ201" i="5" s="1"/>
  <c r="AE201" i="5"/>
  <c r="AX24" i="7"/>
  <c r="AY24" i="7"/>
  <c r="AZ24" i="7"/>
  <c r="AX285" i="7"/>
  <c r="BA285" i="7" s="1"/>
  <c r="AZ285" i="7"/>
  <c r="AY285" i="7"/>
  <c r="AY278" i="7"/>
  <c r="AZ278" i="7"/>
  <c r="AX278" i="7"/>
  <c r="AZ249" i="7"/>
  <c r="AX249" i="7"/>
  <c r="BA249" i="7" s="1"/>
  <c r="AY249" i="7"/>
  <c r="AX304" i="7"/>
  <c r="AY304" i="7"/>
  <c r="AZ304" i="7"/>
  <c r="AX159" i="7"/>
  <c r="BA159" i="7" s="1"/>
  <c r="AZ159" i="7"/>
  <c r="AY159" i="7"/>
  <c r="AX93" i="7"/>
  <c r="AY93" i="7"/>
  <c r="AZ93" i="7"/>
  <c r="AY102" i="7"/>
  <c r="AX102" i="7"/>
  <c r="AZ102" i="7"/>
  <c r="AE248" i="5"/>
  <c r="AG248" i="5"/>
  <c r="AI248" i="5" s="1"/>
  <c r="AJ248" i="5" s="1"/>
  <c r="AF248" i="5"/>
  <c r="AD248" i="5"/>
  <c r="AG169" i="7"/>
  <c r="Q169" i="7"/>
  <c r="R169" i="7" s="1"/>
  <c r="AF169" i="7"/>
  <c r="AD265" i="5"/>
  <c r="AE265" i="5"/>
  <c r="AG265" i="5"/>
  <c r="AI265" i="5" s="1"/>
  <c r="AJ265" i="5" s="1"/>
  <c r="AF265" i="5"/>
  <c r="AE209" i="5"/>
  <c r="AD209" i="5"/>
  <c r="X209" i="5"/>
  <c r="AG209" i="5"/>
  <c r="AI209" i="5" s="1"/>
  <c r="AJ209" i="5" s="1"/>
  <c r="AF209" i="5"/>
  <c r="AG157" i="5"/>
  <c r="AI157" i="5" s="1"/>
  <c r="AJ157" i="5" s="1"/>
  <c r="AF157" i="5"/>
  <c r="AE157" i="5"/>
  <c r="AD157" i="5"/>
  <c r="S147" i="6"/>
  <c r="X150" i="7" s="1"/>
  <c r="V150" i="7"/>
  <c r="AG45" i="7"/>
  <c r="AF45" i="7"/>
  <c r="Q45" i="7"/>
  <c r="R45" i="7" s="1"/>
  <c r="AH45" i="7"/>
  <c r="AI45" i="7" s="1"/>
  <c r="AK45" i="7"/>
  <c r="AJ45" i="7"/>
  <c r="AF258" i="5"/>
  <c r="AE258" i="5"/>
  <c r="AD258" i="5"/>
  <c r="AG258" i="5"/>
  <c r="AI258" i="5" s="1"/>
  <c r="AJ258" i="5" s="1"/>
  <c r="X203" i="5"/>
  <c r="Q32" i="7"/>
  <c r="R32" i="7" s="1"/>
  <c r="AF32" i="7"/>
  <c r="AG32" i="7"/>
  <c r="AF155" i="7"/>
  <c r="AG155" i="7"/>
  <c r="Q155" i="7"/>
  <c r="R155" i="7" s="1"/>
  <c r="Q139" i="7"/>
  <c r="R139" i="7" s="1"/>
  <c r="AF139" i="7"/>
  <c r="AG139" i="7"/>
  <c r="V136" i="6"/>
  <c r="AA139" i="7" s="1"/>
  <c r="AL139" i="7" s="1"/>
  <c r="AN139" i="7" s="1"/>
  <c r="Y139" i="7"/>
  <c r="AG108" i="7"/>
  <c r="Q108" i="7"/>
  <c r="R108" i="7" s="1"/>
  <c r="AF108" i="7"/>
  <c r="AG207" i="5"/>
  <c r="AI207" i="5" s="1"/>
  <c r="AJ207" i="5" s="1"/>
  <c r="AE207" i="5"/>
  <c r="AF207" i="5"/>
  <c r="AD207" i="5"/>
  <c r="AG255" i="5"/>
  <c r="AI255" i="5" s="1"/>
  <c r="AJ255" i="5" s="1"/>
  <c r="AE255" i="5"/>
  <c r="AD255" i="5"/>
  <c r="AF255" i="5"/>
  <c r="AE53" i="5"/>
  <c r="AF53" i="5"/>
  <c r="AG53" i="5"/>
  <c r="AI53" i="5" s="1"/>
  <c r="AJ53" i="5" s="1"/>
  <c r="AD53" i="5"/>
  <c r="V225" i="6"/>
  <c r="AA228" i="7" s="1"/>
  <c r="AL228" i="7" s="1"/>
  <c r="Y228" i="7"/>
  <c r="AF206" i="7"/>
  <c r="AG206" i="7"/>
  <c r="Q206" i="7"/>
  <c r="R206" i="7" s="1"/>
  <c r="AX71" i="7"/>
  <c r="BA71" i="7" s="1"/>
  <c r="AZ71" i="7"/>
  <c r="AY71" i="7"/>
  <c r="AY166" i="7"/>
  <c r="AZ166" i="7"/>
  <c r="AX166" i="7"/>
  <c r="AY239" i="7"/>
  <c r="AX239" i="7"/>
  <c r="BA239" i="7" s="1"/>
  <c r="AZ239" i="7"/>
  <c r="AZ50" i="7"/>
  <c r="AY50" i="7"/>
  <c r="AX50" i="7"/>
  <c r="AH284" i="7"/>
  <c r="AI284" i="7" s="1"/>
  <c r="AJ284" i="7"/>
  <c r="AK284" i="7"/>
  <c r="AO284" i="7" s="1"/>
  <c r="AF123" i="7"/>
  <c r="Q123" i="7"/>
  <c r="R123" i="7" s="1"/>
  <c r="AG123" i="7"/>
  <c r="AF36" i="5"/>
  <c r="AG36" i="5"/>
  <c r="AI36" i="5" s="1"/>
  <c r="AJ36" i="5" s="1"/>
  <c r="AD36" i="5"/>
  <c r="AE36" i="5"/>
  <c r="BJ310" i="7"/>
  <c r="BD310" i="7"/>
  <c r="BC310" i="7"/>
  <c r="BB310" i="7"/>
  <c r="AE174" i="5"/>
  <c r="AD174" i="5"/>
  <c r="AF174" i="5"/>
  <c r="AG174" i="5"/>
  <c r="AI174" i="5" s="1"/>
  <c r="AJ174" i="5" s="1"/>
  <c r="AE285" i="5"/>
  <c r="AD285" i="5"/>
  <c r="AG285" i="5"/>
  <c r="AI285" i="5" s="1"/>
  <c r="AJ285" i="5" s="1"/>
  <c r="AF285" i="5"/>
  <c r="BC299" i="7"/>
  <c r="BJ299" i="7"/>
  <c r="BD299" i="7"/>
  <c r="BB299" i="7"/>
  <c r="AH194" i="7"/>
  <c r="AI194" i="7" s="1"/>
  <c r="AK194" i="7"/>
  <c r="AJ194" i="7"/>
  <c r="BN170" i="7"/>
  <c r="BL170" i="7"/>
  <c r="BF170" i="7"/>
  <c r="BO170" i="7"/>
  <c r="BP170" i="7" s="1"/>
  <c r="BE170" i="7"/>
  <c r="BG170" i="7"/>
  <c r="BK170" i="7"/>
  <c r="BM170" i="7"/>
  <c r="AG83" i="5"/>
  <c r="AI83" i="5" s="1"/>
  <c r="AJ83" i="5" s="1"/>
  <c r="AF83" i="5"/>
  <c r="AE83" i="5"/>
  <c r="AD83" i="5"/>
  <c r="AD220" i="5"/>
  <c r="AF220" i="5"/>
  <c r="AE220" i="5"/>
  <c r="AG220" i="5"/>
  <c r="AI220" i="5" s="1"/>
  <c r="AJ220" i="5" s="1"/>
  <c r="AG124" i="7"/>
  <c r="Q124" i="7"/>
  <c r="R124" i="7" s="1"/>
  <c r="AF124" i="7"/>
  <c r="AF275" i="5"/>
  <c r="AG275" i="5"/>
  <c r="AI275" i="5" s="1"/>
  <c r="AJ275" i="5" s="1"/>
  <c r="AD275" i="5"/>
  <c r="AE275" i="5"/>
  <c r="AD112" i="5"/>
  <c r="AE112" i="5"/>
  <c r="AF112" i="5"/>
  <c r="AG112" i="5"/>
  <c r="AI112" i="5" s="1"/>
  <c r="AJ112" i="5" s="1"/>
  <c r="AG108" i="5"/>
  <c r="AI108" i="5" s="1"/>
  <c r="AJ108" i="5" s="1"/>
  <c r="AF108" i="5"/>
  <c r="AE108" i="5"/>
  <c r="AD108" i="5"/>
  <c r="AF270" i="5"/>
  <c r="AG270" i="5"/>
  <c r="AI270" i="5" s="1"/>
  <c r="AJ270" i="5" s="1"/>
  <c r="AE270" i="5"/>
  <c r="AD270" i="5"/>
  <c r="AF204" i="7"/>
  <c r="Q204" i="7"/>
  <c r="R204" i="7" s="1"/>
  <c r="AG204" i="7"/>
  <c r="AH192" i="7"/>
  <c r="AI192" i="7" s="1"/>
  <c r="AK192" i="7"/>
  <c r="AO192" i="7" s="1"/>
  <c r="AJ192" i="7"/>
  <c r="AY187" i="7"/>
  <c r="AZ187" i="7"/>
  <c r="AX187" i="7"/>
  <c r="BA187" i="7" s="1"/>
  <c r="AX208" i="7"/>
  <c r="AZ208" i="7"/>
  <c r="AY208" i="7"/>
  <c r="AX121" i="7"/>
  <c r="BA121" i="7" s="1"/>
  <c r="AZ121" i="7"/>
  <c r="AY121" i="7"/>
  <c r="AX288" i="7"/>
  <c r="AZ288" i="7"/>
  <c r="AY288" i="7"/>
  <c r="AZ204" i="7"/>
  <c r="AY204" i="7"/>
  <c r="AX204" i="7"/>
  <c r="AX152" i="7"/>
  <c r="AY152" i="7"/>
  <c r="AZ152" i="7"/>
  <c r="AX271" i="7"/>
  <c r="BA271" i="7" s="1"/>
  <c r="AY271" i="7"/>
  <c r="AZ271" i="7"/>
  <c r="AG60" i="5"/>
  <c r="AI60" i="5" s="1"/>
  <c r="AJ60" i="5" s="1"/>
  <c r="AD60" i="5"/>
  <c r="AE60" i="5"/>
  <c r="AF60" i="5"/>
  <c r="AG283" i="5"/>
  <c r="AI283" i="5" s="1"/>
  <c r="AJ283" i="5" s="1"/>
  <c r="AF283" i="5"/>
  <c r="AD283" i="5"/>
  <c r="AE283" i="5"/>
  <c r="AG291" i="7"/>
  <c r="Q291" i="7"/>
  <c r="R291" i="7" s="1"/>
  <c r="AF291" i="7"/>
  <c r="AJ291" i="7"/>
  <c r="AH291" i="7"/>
  <c r="AI291" i="7" s="1"/>
  <c r="AK291" i="7"/>
  <c r="V290" i="6"/>
  <c r="AA293" i="7" s="1"/>
  <c r="AL293" i="7" s="1"/>
  <c r="Y293" i="7"/>
  <c r="AF97" i="7"/>
  <c r="Q97" i="7"/>
  <c r="R97" i="7" s="1"/>
  <c r="AG97" i="7"/>
  <c r="V94" i="6"/>
  <c r="AA97" i="7" s="1"/>
  <c r="AL97" i="7" s="1"/>
  <c r="Y97" i="7"/>
  <c r="AF71" i="5"/>
  <c r="AG71" i="5"/>
  <c r="AI71" i="5" s="1"/>
  <c r="AJ71" i="5" s="1"/>
  <c r="AE71" i="5"/>
  <c r="AD71" i="5"/>
  <c r="AD141" i="5"/>
  <c r="AE141" i="5"/>
  <c r="AG141" i="5"/>
  <c r="AI141" i="5" s="1"/>
  <c r="AJ141" i="5" s="1"/>
  <c r="AF141" i="5"/>
  <c r="AG294" i="7"/>
  <c r="AF294" i="7"/>
  <c r="Q294" i="7"/>
  <c r="R294" i="7" s="1"/>
  <c r="AG154" i="7"/>
  <c r="AF154" i="7"/>
  <c r="Q154" i="7"/>
  <c r="R154" i="7" s="1"/>
  <c r="AE154" i="5"/>
  <c r="AG154" i="5"/>
  <c r="AI154" i="5" s="1"/>
  <c r="AJ154" i="5" s="1"/>
  <c r="AD154" i="5"/>
  <c r="AF154" i="5"/>
  <c r="AF140" i="5"/>
  <c r="AG140" i="5"/>
  <c r="AI140" i="5" s="1"/>
  <c r="AJ140" i="5" s="1"/>
  <c r="AE140" i="5"/>
  <c r="AD140" i="5"/>
  <c r="Q267" i="7"/>
  <c r="R267" i="7" s="1"/>
  <c r="AF267" i="7"/>
  <c r="AG267" i="7"/>
  <c r="AG90" i="7"/>
  <c r="Q90" i="7"/>
  <c r="R90" i="7" s="1"/>
  <c r="AF90" i="7"/>
  <c r="X141" i="5"/>
  <c r="Q152" i="7"/>
  <c r="R152" i="7" s="1"/>
  <c r="AF152" i="7"/>
  <c r="AG152" i="7"/>
  <c r="AE160" i="5"/>
  <c r="AD160" i="5"/>
  <c r="AF160" i="5"/>
  <c r="AG160" i="5"/>
  <c r="AI160" i="5" s="1"/>
  <c r="AJ160" i="5" s="1"/>
  <c r="AY301" i="7"/>
  <c r="AX301" i="7"/>
  <c r="BA301" i="7" s="1"/>
  <c r="AZ301" i="7"/>
  <c r="AX122" i="7"/>
  <c r="AZ122" i="7"/>
  <c r="AY122" i="7"/>
  <c r="AX140" i="7"/>
  <c r="AY140" i="7"/>
  <c r="AZ140" i="7"/>
  <c r="AX28" i="7"/>
  <c r="BA28" i="7" s="1"/>
  <c r="AZ28" i="7"/>
  <c r="AY28" i="7"/>
  <c r="AY194" i="7"/>
  <c r="AZ194" i="7"/>
  <c r="AX194" i="7"/>
  <c r="AY105" i="7"/>
  <c r="AZ105" i="7"/>
  <c r="AX105" i="7"/>
  <c r="AX16" i="7"/>
  <c r="AY16" i="7"/>
  <c r="AZ16" i="7"/>
  <c r="AZ218" i="7"/>
  <c r="AY218" i="7"/>
  <c r="AX218" i="7"/>
  <c r="AZ107" i="7"/>
  <c r="AY107" i="7"/>
  <c r="AX107" i="7"/>
  <c r="AZ165" i="7"/>
  <c r="AX165" i="7"/>
  <c r="BA165" i="7" s="1"/>
  <c r="AY165" i="7"/>
  <c r="AX236" i="7"/>
  <c r="BA236" i="7" s="1"/>
  <c r="AZ236" i="7"/>
  <c r="AY236" i="7"/>
  <c r="AX158" i="7"/>
  <c r="AZ158" i="7"/>
  <c r="AY158" i="7"/>
  <c r="AZ211" i="7"/>
  <c r="AX211" i="7"/>
  <c r="BA211" i="7" s="1"/>
  <c r="AY211" i="7"/>
  <c r="AZ309" i="7"/>
  <c r="AY309" i="7"/>
  <c r="AX309" i="7"/>
  <c r="AY89" i="7"/>
  <c r="AX89" i="7"/>
  <c r="AZ89" i="7"/>
  <c r="AX234" i="7"/>
  <c r="BA234" i="7" s="1"/>
  <c r="AY234" i="7"/>
  <c r="AZ234" i="7"/>
  <c r="AZ113" i="7"/>
  <c r="AX113" i="7"/>
  <c r="BA113" i="7" s="1"/>
  <c r="AY113" i="7"/>
  <c r="AY257" i="7"/>
  <c r="AX257" i="7"/>
  <c r="BA257" i="7" s="1"/>
  <c r="AZ257" i="7"/>
  <c r="AX252" i="7"/>
  <c r="BA252" i="7" s="1"/>
  <c r="AZ252" i="7"/>
  <c r="AY252" i="7"/>
  <c r="AX68" i="7"/>
  <c r="AZ68" i="7"/>
  <c r="AY68" i="7"/>
  <c r="AX162" i="7"/>
  <c r="BA162" i="7" s="1"/>
  <c r="AY162" i="7"/>
  <c r="AZ162" i="7"/>
  <c r="AX110" i="7"/>
  <c r="AZ110" i="7"/>
  <c r="AY110" i="7"/>
  <c r="AX157" i="7"/>
  <c r="BA157" i="7" s="1"/>
  <c r="AY157" i="7"/>
  <c r="AZ157" i="7"/>
  <c r="AY75" i="7"/>
  <c r="AZ75" i="7"/>
  <c r="AX75" i="7"/>
  <c r="BA75" i="7" s="1"/>
  <c r="AZ104" i="7"/>
  <c r="AY104" i="7"/>
  <c r="AX104" i="7"/>
  <c r="BA104" i="7" s="1"/>
  <c r="AY206" i="7"/>
  <c r="AZ206" i="7"/>
  <c r="AX206" i="7"/>
  <c r="AY134" i="7"/>
  <c r="AX134" i="7"/>
  <c r="BA134" i="7" s="1"/>
  <c r="AZ134" i="7"/>
  <c r="AY283" i="7"/>
  <c r="AZ283" i="7"/>
  <c r="AX283" i="7"/>
  <c r="BA283" i="7" s="1"/>
  <c r="AX219" i="7"/>
  <c r="AZ219" i="7"/>
  <c r="AY219" i="7"/>
  <c r="AZ281" i="7"/>
  <c r="AY281" i="7"/>
  <c r="AX281" i="7"/>
  <c r="BA281" i="7" s="1"/>
  <c r="AX153" i="7"/>
  <c r="AZ153" i="7"/>
  <c r="AY153" i="7"/>
  <c r="AZ308" i="7"/>
  <c r="AX308" i="7"/>
  <c r="AY308" i="7"/>
  <c r="AX180" i="7"/>
  <c r="AY180" i="7"/>
  <c r="AZ180" i="7"/>
  <c r="AX61" i="7"/>
  <c r="BA61" i="7" s="1"/>
  <c r="AZ61" i="7"/>
  <c r="AY61" i="7"/>
  <c r="AX80" i="7"/>
  <c r="BA80" i="7" s="1"/>
  <c r="AZ80" i="7"/>
  <c r="AY80" i="7"/>
  <c r="Q243" i="7"/>
  <c r="R243" i="7" s="1"/>
  <c r="AG243" i="7"/>
  <c r="AD80" i="5"/>
  <c r="AE80" i="5"/>
  <c r="AF80" i="5"/>
  <c r="AG80" i="5"/>
  <c r="AI80" i="5" s="1"/>
  <c r="AJ80" i="5" s="1"/>
  <c r="AE232" i="5"/>
  <c r="AG232" i="5"/>
  <c r="AI232" i="5" s="1"/>
  <c r="AJ232" i="5" s="1"/>
  <c r="AF232" i="5"/>
  <c r="AD232" i="5"/>
  <c r="AD251" i="5"/>
  <c r="AE251" i="5"/>
  <c r="AG251" i="5"/>
  <c r="AI251" i="5" s="1"/>
  <c r="AJ251" i="5" s="1"/>
  <c r="AF251" i="5"/>
  <c r="V257" i="6"/>
  <c r="AA260" i="7" s="1"/>
  <c r="AL260" i="7" s="1"/>
  <c r="Y260" i="7"/>
  <c r="AE267" i="5"/>
  <c r="AF267" i="5"/>
  <c r="AD267" i="5"/>
  <c r="AG267" i="5"/>
  <c r="AI267" i="5" s="1"/>
  <c r="AJ267" i="5" s="1"/>
  <c r="X134" i="5"/>
  <c r="X161" i="5"/>
  <c r="V284" i="6"/>
  <c r="AA287" i="7" s="1"/>
  <c r="AL287" i="7" s="1"/>
  <c r="Y287" i="7"/>
  <c r="AF183" i="5"/>
  <c r="AG183" i="5"/>
  <c r="AI183" i="5" s="1"/>
  <c r="AJ183" i="5" s="1"/>
  <c r="AD183" i="5"/>
  <c r="AE183" i="5"/>
  <c r="AX200" i="7"/>
  <c r="AY200" i="7"/>
  <c r="AZ200" i="7"/>
  <c r="AE206" i="5"/>
  <c r="AD206" i="5"/>
  <c r="AF206" i="5"/>
  <c r="AG206" i="5"/>
  <c r="AI206" i="5" s="1"/>
  <c r="AJ206" i="5" s="1"/>
  <c r="AE280" i="5"/>
  <c r="AF280" i="5"/>
  <c r="AG280" i="5"/>
  <c r="AI280" i="5" s="1"/>
  <c r="AJ280" i="5" s="1"/>
  <c r="AD280" i="5"/>
  <c r="AX300" i="7"/>
  <c r="AY300" i="7"/>
  <c r="AZ300" i="7"/>
  <c r="AX264" i="7"/>
  <c r="AY264" i="7"/>
  <c r="AZ264" i="7"/>
  <c r="AY192" i="7"/>
  <c r="AX192" i="7"/>
  <c r="AZ192" i="7"/>
  <c r="AG39" i="5"/>
  <c r="AI39" i="5" s="1"/>
  <c r="AJ39" i="5" s="1"/>
  <c r="AD39" i="5"/>
  <c r="AF39" i="5"/>
  <c r="AE39" i="5"/>
  <c r="BB301" i="7"/>
  <c r="BJ301" i="7"/>
  <c r="BC301" i="7"/>
  <c r="BD301" i="7"/>
  <c r="AH292" i="7"/>
  <c r="AI292" i="7" s="1"/>
  <c r="AJ292" i="7"/>
  <c r="AK292" i="7"/>
  <c r="AG61" i="5"/>
  <c r="AI61" i="5" s="1"/>
  <c r="AJ61" i="5" s="1"/>
  <c r="AF61" i="5"/>
  <c r="AD61" i="5"/>
  <c r="AE61" i="5"/>
  <c r="AG168" i="5"/>
  <c r="AI168" i="5" s="1"/>
  <c r="AJ168" i="5" s="1"/>
  <c r="AF168" i="5"/>
  <c r="AD168" i="5"/>
  <c r="AE168" i="5"/>
  <c r="AK174" i="7"/>
  <c r="AN174" i="7" s="1"/>
  <c r="AJ174" i="7"/>
  <c r="AY243" i="7"/>
  <c r="AX243" i="7"/>
  <c r="AZ243" i="7"/>
  <c r="AX116" i="7"/>
  <c r="BA116" i="7" s="1"/>
  <c r="AY116" i="7"/>
  <c r="AZ116" i="7"/>
  <c r="AX292" i="7"/>
  <c r="AZ292" i="7"/>
  <c r="AY292" i="7"/>
  <c r="AZ259" i="7"/>
  <c r="AX259" i="7"/>
  <c r="AY259" i="7"/>
  <c r="AZ142" i="7"/>
  <c r="AY142" i="7"/>
  <c r="AX142" i="7"/>
  <c r="BM273" i="7"/>
  <c r="BL273" i="7"/>
  <c r="BO273" i="7"/>
  <c r="BP273" i="7" s="1"/>
  <c r="BG273" i="7"/>
  <c r="BF273" i="7"/>
  <c r="BN273" i="7"/>
  <c r="BE273" i="7"/>
  <c r="BK273" i="7"/>
  <c r="BD236" i="7"/>
  <c r="BB236" i="7"/>
  <c r="BC236" i="7"/>
  <c r="BJ236" i="7"/>
  <c r="AF249" i="5"/>
  <c r="AG249" i="5"/>
  <c r="AI249" i="5" s="1"/>
  <c r="AJ249" i="5" s="1"/>
  <c r="AE249" i="5"/>
  <c r="AD249" i="5"/>
  <c r="AF256" i="5"/>
  <c r="AG256" i="5"/>
  <c r="AI256" i="5" s="1"/>
  <c r="AJ256" i="5" s="1"/>
  <c r="AE256" i="5"/>
  <c r="AD256" i="5"/>
  <c r="BM243" i="7"/>
  <c r="BK37" i="7"/>
  <c r="BM37" i="7"/>
  <c r="AI34" i="6" s="1"/>
  <c r="AD199" i="5"/>
  <c r="BL284" i="7"/>
  <c r="BN284" i="7"/>
  <c r="BO107" i="7"/>
  <c r="BP107" i="7" s="1"/>
  <c r="BK107" i="7"/>
  <c r="BM30" i="7"/>
  <c r="AI27" i="6" s="1"/>
  <c r="BK30" i="7"/>
  <c r="BO184" i="7"/>
  <c r="BP184" i="7" s="1"/>
  <c r="BM184" i="7"/>
  <c r="BG260" i="7"/>
  <c r="BN42" i="7"/>
  <c r="BM42" i="7"/>
  <c r="AI39" i="6" s="1"/>
  <c r="X39" i="5"/>
  <c r="X256" i="5"/>
  <c r="X91" i="5"/>
  <c r="AF149" i="7"/>
  <c r="Q149" i="7"/>
  <c r="R149" i="7" s="1"/>
  <c r="AG149" i="7"/>
  <c r="AD139" i="5"/>
  <c r="AE139" i="5"/>
  <c r="AG139" i="5"/>
  <c r="AI139" i="5" s="1"/>
  <c r="AJ139" i="5" s="1"/>
  <c r="AF139" i="5"/>
  <c r="AJ287" i="7"/>
  <c r="AK287" i="7"/>
  <c r="AH287" i="7"/>
  <c r="AI287" i="7" s="1"/>
  <c r="AF277" i="7"/>
  <c r="Q277" i="7"/>
  <c r="R277" i="7" s="1"/>
  <c r="AG277" i="7"/>
  <c r="AF68" i="7"/>
  <c r="Q68" i="7"/>
  <c r="R68" i="7" s="1"/>
  <c r="AG68" i="7"/>
  <c r="AE269" i="5"/>
  <c r="AD269" i="5"/>
  <c r="AG269" i="5"/>
  <c r="AI269" i="5" s="1"/>
  <c r="AJ269" i="5" s="1"/>
  <c r="AF269" i="5"/>
  <c r="AX109" i="7"/>
  <c r="AZ109" i="7"/>
  <c r="AY109" i="7"/>
  <c r="AX103" i="7"/>
  <c r="AZ103" i="7"/>
  <c r="AY103" i="7"/>
  <c r="AY48" i="7"/>
  <c r="AX48" i="7"/>
  <c r="BA48" i="7" s="1"/>
  <c r="AZ48" i="7"/>
  <c r="AY228" i="7"/>
  <c r="AX228" i="7"/>
  <c r="AZ228" i="7"/>
  <c r="AZ212" i="7"/>
  <c r="AY212" i="7"/>
  <c r="AX212" i="7"/>
  <c r="AX305" i="7"/>
  <c r="AY305" i="7"/>
  <c r="AZ305" i="7"/>
  <c r="AE212" i="5"/>
  <c r="AF212" i="5"/>
  <c r="AG212" i="5"/>
  <c r="AI212" i="5" s="1"/>
  <c r="AJ212" i="5" s="1"/>
  <c r="AD212" i="5"/>
  <c r="AD37" i="5"/>
  <c r="AF37" i="5"/>
  <c r="AG37" i="5"/>
  <c r="AI37" i="5" s="1"/>
  <c r="AJ37" i="5" s="1"/>
  <c r="AE37" i="5"/>
  <c r="AG302" i="7"/>
  <c r="AF302" i="7"/>
  <c r="Q302" i="7"/>
  <c r="R302" i="7" s="1"/>
  <c r="AJ302" i="7"/>
  <c r="AK302" i="7"/>
  <c r="V271" i="6"/>
  <c r="AA274" i="7" s="1"/>
  <c r="AL274" i="7" s="1"/>
  <c r="Y274" i="7"/>
  <c r="AG277" i="5"/>
  <c r="AI277" i="5" s="1"/>
  <c r="AJ277" i="5" s="1"/>
  <c r="AF277" i="5"/>
  <c r="AE277" i="5"/>
  <c r="AD277" i="5"/>
  <c r="AF299" i="5"/>
  <c r="AG299" i="5"/>
  <c r="AI299" i="5" s="1"/>
  <c r="AJ299" i="5" s="1"/>
  <c r="AE299" i="5"/>
  <c r="AD299" i="5"/>
  <c r="AG66" i="7"/>
  <c r="AF66" i="7"/>
  <c r="Q66" i="7"/>
  <c r="R66" i="7" s="1"/>
  <c r="BN150" i="7"/>
  <c r="BK150" i="7"/>
  <c r="BO150" i="7"/>
  <c r="BP150" i="7" s="1"/>
  <c r="BE150" i="7"/>
  <c r="BL150" i="7"/>
  <c r="BF150" i="7"/>
  <c r="BG150" i="7"/>
  <c r="BM150" i="7"/>
  <c r="AD129" i="5"/>
  <c r="AE129" i="5"/>
  <c r="AF129" i="5"/>
  <c r="AG129" i="5"/>
  <c r="AI129" i="5" s="1"/>
  <c r="AJ129" i="5" s="1"/>
  <c r="AF200" i="5"/>
  <c r="AD200" i="5"/>
  <c r="AE200" i="5"/>
  <c r="AG200" i="5"/>
  <c r="AI200" i="5" s="1"/>
  <c r="AJ200" i="5" s="1"/>
  <c r="AF133" i="5"/>
  <c r="AG133" i="5"/>
  <c r="AI133" i="5" s="1"/>
  <c r="AJ133" i="5" s="1"/>
  <c r="AE133" i="5"/>
  <c r="AD133" i="5"/>
  <c r="AH108" i="7"/>
  <c r="AI108" i="7" s="1"/>
  <c r="AK108" i="7"/>
  <c r="AJ108" i="7"/>
  <c r="AE32" i="5"/>
  <c r="AD32" i="5"/>
  <c r="AG32" i="5"/>
  <c r="AI32" i="5" s="1"/>
  <c r="AJ32" i="5" s="1"/>
  <c r="AF32" i="5"/>
  <c r="AG179" i="5"/>
  <c r="AI179" i="5" s="1"/>
  <c r="AJ179" i="5" s="1"/>
  <c r="AF179" i="5"/>
  <c r="AE179" i="5"/>
  <c r="AD179" i="5"/>
  <c r="V203" i="6"/>
  <c r="AA206" i="7" s="1"/>
  <c r="AL206" i="7" s="1"/>
  <c r="Y206" i="7"/>
  <c r="AF201" i="7"/>
  <c r="Q201" i="7"/>
  <c r="R201" i="7" s="1"/>
  <c r="AG201" i="7"/>
  <c r="AF144" i="5"/>
  <c r="AE144" i="5"/>
  <c r="AD144" i="5"/>
  <c r="AG144" i="5"/>
  <c r="AI144" i="5" s="1"/>
  <c r="AJ144" i="5" s="1"/>
  <c r="AZ139" i="7"/>
  <c r="AY139" i="7"/>
  <c r="AX139" i="7"/>
  <c r="AX182" i="7"/>
  <c r="BA182" i="7" s="1"/>
  <c r="AY182" i="7"/>
  <c r="AZ182" i="7"/>
  <c r="AZ95" i="7"/>
  <c r="AY95" i="7"/>
  <c r="AX95" i="7"/>
  <c r="AX112" i="7"/>
  <c r="AZ112" i="7"/>
  <c r="AY112" i="7"/>
  <c r="AY284" i="7"/>
  <c r="AZ284" i="7"/>
  <c r="AX284" i="7"/>
  <c r="AY141" i="7"/>
  <c r="AX141" i="7"/>
  <c r="BA141" i="7" s="1"/>
  <c r="AZ141" i="7"/>
  <c r="AZ287" i="7"/>
  <c r="AY287" i="7"/>
  <c r="AX287" i="7"/>
  <c r="BO227" i="7"/>
  <c r="BP227" i="7" s="1"/>
  <c r="BG227" i="7"/>
  <c r="BF227" i="7"/>
  <c r="BK227" i="7"/>
  <c r="BN227" i="7"/>
  <c r="BE227" i="7"/>
  <c r="BM227" i="7"/>
  <c r="BL227" i="7"/>
  <c r="V211" i="6"/>
  <c r="AA214" i="7" s="1"/>
  <c r="AL214" i="7" s="1"/>
  <c r="Y214" i="7"/>
  <c r="AE184" i="5"/>
  <c r="AG184" i="5"/>
  <c r="AI184" i="5" s="1"/>
  <c r="AJ184" i="5" s="1"/>
  <c r="AD184" i="5"/>
  <c r="AF184" i="5"/>
  <c r="AO246" i="7"/>
  <c r="AQ246" i="7" s="1"/>
  <c r="AN246" i="7"/>
  <c r="AP246" i="7" s="1"/>
  <c r="AF242" i="5"/>
  <c r="AE242" i="5"/>
  <c r="AD242" i="5"/>
  <c r="AG242" i="5"/>
  <c r="AI242" i="5" s="1"/>
  <c r="AJ242" i="5" s="1"/>
  <c r="AF84" i="5"/>
  <c r="AD84" i="5"/>
  <c r="AE84" i="5"/>
  <c r="AG84" i="5"/>
  <c r="AI84" i="5" s="1"/>
  <c r="AJ84" i="5" s="1"/>
  <c r="Q292" i="7"/>
  <c r="R292" i="7" s="1"/>
  <c r="AF292" i="7"/>
  <c r="AG292" i="7"/>
  <c r="AG173" i="7"/>
  <c r="Q173" i="7"/>
  <c r="R173" i="7" s="1"/>
  <c r="AF173" i="7"/>
  <c r="BD240" i="7"/>
  <c r="BJ240" i="7"/>
  <c r="BB240" i="7"/>
  <c r="BC240" i="7"/>
  <c r="AG194" i="7"/>
  <c r="Q194" i="7"/>
  <c r="R194" i="7" s="1"/>
  <c r="AF194" i="7"/>
  <c r="AD259" i="5"/>
  <c r="AE259" i="5"/>
  <c r="AG259" i="5"/>
  <c r="AI259" i="5" s="1"/>
  <c r="AJ259" i="5" s="1"/>
  <c r="AF259" i="5"/>
  <c r="AF40" i="5"/>
  <c r="AE40" i="5"/>
  <c r="AG40" i="5"/>
  <c r="AI40" i="5" s="1"/>
  <c r="AJ40" i="5" s="1"/>
  <c r="AD40" i="5"/>
  <c r="AG305" i="5"/>
  <c r="AI305" i="5" s="1"/>
  <c r="AJ305" i="5" s="1"/>
  <c r="AF305" i="5"/>
  <c r="AE305" i="5"/>
  <c r="AD305" i="5"/>
  <c r="AD102" i="5"/>
  <c r="AE102" i="5"/>
  <c r="AG102" i="5"/>
  <c r="AI102" i="5" s="1"/>
  <c r="AJ102" i="5" s="1"/>
  <c r="AF102" i="5"/>
  <c r="AF196" i="5"/>
  <c r="AG196" i="5"/>
  <c r="AI196" i="5" s="1"/>
  <c r="AJ196" i="5" s="1"/>
  <c r="AE196" i="5"/>
  <c r="AD196" i="5"/>
  <c r="BO124" i="7"/>
  <c r="BP124" i="7" s="1"/>
  <c r="BF124" i="7"/>
  <c r="BL124" i="7"/>
  <c r="BM124" i="7"/>
  <c r="BN124" i="7"/>
  <c r="BG124" i="7"/>
  <c r="BK124" i="7"/>
  <c r="BE124" i="7"/>
  <c r="AG51" i="7"/>
  <c r="AF51" i="7"/>
  <c r="Q51" i="7"/>
  <c r="R51" i="7" s="1"/>
  <c r="V34" i="6"/>
  <c r="AA37" i="7" s="1"/>
  <c r="AL37" i="7" s="1"/>
  <c r="Y37" i="7"/>
  <c r="AG262" i="5"/>
  <c r="AI262" i="5" s="1"/>
  <c r="AJ262" i="5" s="1"/>
  <c r="AF262" i="5"/>
  <c r="AE262" i="5"/>
  <c r="AD262" i="5"/>
  <c r="AF218" i="7"/>
  <c r="Q218" i="7"/>
  <c r="R218" i="7" s="1"/>
  <c r="AG218" i="7"/>
  <c r="V201" i="6"/>
  <c r="AA204" i="7" s="1"/>
  <c r="AL204" i="7" s="1"/>
  <c r="AN204" i="7" s="1"/>
  <c r="AP204" i="7" s="1"/>
  <c r="Y204" i="7"/>
  <c r="AZ40" i="7"/>
  <c r="AX40" i="7"/>
  <c r="BA40" i="7" s="1"/>
  <c r="AY40" i="7"/>
  <c r="AX232" i="7"/>
  <c r="AY232" i="7"/>
  <c r="AZ232" i="7"/>
  <c r="AZ282" i="7"/>
  <c r="AY282" i="7"/>
  <c r="AX282" i="7"/>
  <c r="AZ241" i="7"/>
  <c r="AX241" i="7"/>
  <c r="AY241" i="7"/>
  <c r="AY82" i="7"/>
  <c r="AZ82" i="7"/>
  <c r="AX82" i="7"/>
  <c r="BA82" i="7" s="1"/>
  <c r="AX146" i="7"/>
  <c r="AY146" i="7"/>
  <c r="AZ146" i="7"/>
  <c r="AX286" i="7"/>
  <c r="AZ286" i="7"/>
  <c r="AY286" i="7"/>
  <c r="AG273" i="7"/>
  <c r="Q273" i="7"/>
  <c r="R273" i="7" s="1"/>
  <c r="AF273" i="7"/>
  <c r="AG230" i="7"/>
  <c r="AF230" i="7"/>
  <c r="Q230" i="7"/>
  <c r="R230" i="7" s="1"/>
  <c r="V209" i="6"/>
  <c r="AA212" i="7" s="1"/>
  <c r="AL212" i="7" s="1"/>
  <c r="AN212" i="7" s="1"/>
  <c r="Y212" i="7"/>
  <c r="AD210" i="5"/>
  <c r="AE210" i="5"/>
  <c r="AF210" i="5"/>
  <c r="AG210" i="5"/>
  <c r="AI210" i="5" s="1"/>
  <c r="AJ210" i="5" s="1"/>
  <c r="AF123" i="5"/>
  <c r="AG123" i="5"/>
  <c r="AI123" i="5" s="1"/>
  <c r="AJ123" i="5" s="1"/>
  <c r="AD123" i="5"/>
  <c r="AE123" i="5"/>
  <c r="V288" i="6"/>
  <c r="AA291" i="7" s="1"/>
  <c r="AL291" i="7" s="1"/>
  <c r="Y291" i="7"/>
  <c r="S104" i="6"/>
  <c r="X107" i="7" s="1"/>
  <c r="AO107" i="7" s="1"/>
  <c r="AQ107" i="7" s="1"/>
  <c r="V107" i="7"/>
  <c r="AG293" i="7"/>
  <c r="AF293" i="7"/>
  <c r="Q293" i="7"/>
  <c r="R293" i="7" s="1"/>
  <c r="AD188" i="5"/>
  <c r="AG188" i="5"/>
  <c r="AI188" i="5" s="1"/>
  <c r="AJ188" i="5" s="1"/>
  <c r="AF188" i="5"/>
  <c r="AE188" i="5"/>
  <c r="BD283" i="7"/>
  <c r="BB283" i="7"/>
  <c r="BC283" i="7"/>
  <c r="BJ283" i="7"/>
  <c r="AF186" i="7"/>
  <c r="AG186" i="7"/>
  <c r="Q186" i="7"/>
  <c r="R186" i="7" s="1"/>
  <c r="S151" i="6"/>
  <c r="X154" i="7" s="1"/>
  <c r="AN154" i="7" s="1"/>
  <c r="AP154" i="7" s="1"/>
  <c r="V154" i="7"/>
  <c r="AG204" i="5"/>
  <c r="AI204" i="5" s="1"/>
  <c r="AJ204" i="5" s="1"/>
  <c r="AF204" i="5"/>
  <c r="AE204" i="5"/>
  <c r="AD204" i="5"/>
  <c r="AH267" i="7"/>
  <c r="AI267" i="7" s="1"/>
  <c r="AJ267" i="7"/>
  <c r="AK267" i="7"/>
  <c r="Q144" i="7"/>
  <c r="R144" i="7" s="1"/>
  <c r="AG144" i="7"/>
  <c r="AF144" i="7"/>
  <c r="AD122" i="5"/>
  <c r="AG122" i="5"/>
  <c r="AI122" i="5" s="1"/>
  <c r="AJ122" i="5" s="1"/>
  <c r="AE122" i="5"/>
  <c r="AF122" i="5"/>
  <c r="AD33" i="5"/>
  <c r="AE33" i="5"/>
  <c r="AG33" i="5"/>
  <c r="AI33" i="5" s="1"/>
  <c r="AJ33" i="5" s="1"/>
  <c r="AF33" i="5"/>
  <c r="AG97" i="5"/>
  <c r="AI97" i="5" s="1"/>
  <c r="AJ97" i="5" s="1"/>
  <c r="AE97" i="5"/>
  <c r="AF97" i="5"/>
  <c r="AD97" i="5"/>
  <c r="AD125" i="5"/>
  <c r="AE125" i="5"/>
  <c r="AG125" i="5"/>
  <c r="AI125" i="5" s="1"/>
  <c r="AJ125" i="5" s="1"/>
  <c r="AF125" i="5"/>
  <c r="AZ149" i="7"/>
  <c r="AX149" i="7"/>
  <c r="AY149" i="7"/>
  <c r="AX225" i="7"/>
  <c r="BA225" i="7" s="1"/>
  <c r="AZ225" i="7"/>
  <c r="AY225" i="7"/>
  <c r="AY256" i="7"/>
  <c r="AZ256" i="7"/>
  <c r="AX256" i="7"/>
  <c r="AX123" i="7"/>
  <c r="AZ123" i="7"/>
  <c r="AY123" i="7"/>
  <c r="AY100" i="7"/>
  <c r="AZ100" i="7"/>
  <c r="AX100" i="7"/>
  <c r="AX143" i="7"/>
  <c r="BA143" i="7" s="1"/>
  <c r="AY143" i="7"/>
  <c r="AZ143" i="7"/>
  <c r="AX136" i="7"/>
  <c r="AY136" i="7"/>
  <c r="AZ136" i="7"/>
  <c r="AZ190" i="7"/>
  <c r="AX190" i="7"/>
  <c r="BA190" i="7" s="1"/>
  <c r="AY190" i="7"/>
  <c r="AZ277" i="7"/>
  <c r="AX277" i="7"/>
  <c r="AY277" i="7"/>
  <c r="AX54" i="7"/>
  <c r="AY54" i="7"/>
  <c r="AZ54" i="7"/>
  <c r="AZ273" i="7"/>
  <c r="AY273" i="7"/>
  <c r="AX273" i="7"/>
  <c r="AY191" i="7"/>
  <c r="AZ191" i="7"/>
  <c r="AX191" i="7"/>
  <c r="AX210" i="7"/>
  <c r="BA210" i="7" s="1"/>
  <c r="AZ210" i="7"/>
  <c r="AY210" i="7"/>
  <c r="AZ133" i="7"/>
  <c r="AY133" i="7"/>
  <c r="AX133" i="7"/>
  <c r="AY45" i="7"/>
  <c r="AX45" i="7"/>
  <c r="AZ45" i="7"/>
  <c r="AY38" i="7"/>
  <c r="AZ38" i="7"/>
  <c r="AX38" i="7"/>
  <c r="AY167" i="7"/>
  <c r="AX167" i="7"/>
  <c r="BA167" i="7" s="1"/>
  <c r="AZ167" i="7"/>
  <c r="AZ226" i="7"/>
  <c r="AY226" i="7"/>
  <c r="AX226" i="7"/>
  <c r="AX97" i="7"/>
  <c r="AZ97" i="7"/>
  <c r="AY97" i="7"/>
  <c r="AX69" i="7"/>
  <c r="AZ69" i="7"/>
  <c r="AY69" i="7"/>
  <c r="AX130" i="7"/>
  <c r="AZ130" i="7"/>
  <c r="AY130" i="7"/>
  <c r="AY267" i="7"/>
  <c r="AZ267" i="7"/>
  <c r="AX267" i="7"/>
  <c r="AX203" i="7"/>
  <c r="AZ203" i="7"/>
  <c r="AY203" i="7"/>
  <c r="AZ117" i="7"/>
  <c r="AY117" i="7"/>
  <c r="AX117" i="7"/>
  <c r="AZ265" i="7"/>
  <c r="AY265" i="7"/>
  <c r="AX265" i="7"/>
  <c r="BA265" i="7" s="1"/>
  <c r="AX101" i="7"/>
  <c r="BA101" i="7" s="1"/>
  <c r="AZ101" i="7"/>
  <c r="AY101" i="7"/>
  <c r="AX64" i="7"/>
  <c r="BA64" i="7" s="1"/>
  <c r="AY64" i="7"/>
  <c r="AZ64" i="7"/>
  <c r="AY70" i="7"/>
  <c r="AZ70" i="7"/>
  <c r="AX70" i="7"/>
  <c r="BA70" i="7" s="1"/>
  <c r="AX253" i="7"/>
  <c r="BA253" i="7" s="1"/>
  <c r="AY253" i="7"/>
  <c r="AZ253" i="7"/>
  <c r="AZ57" i="7"/>
  <c r="AX57" i="7"/>
  <c r="AY57" i="7"/>
  <c r="AZ217" i="7"/>
  <c r="AY217" i="7"/>
  <c r="AX217" i="7"/>
  <c r="AY183" i="7"/>
  <c r="AZ183" i="7"/>
  <c r="AX183" i="7"/>
  <c r="AY262" i="7"/>
  <c r="AZ262" i="7"/>
  <c r="AX262" i="7"/>
  <c r="AG78" i="7"/>
  <c r="AF78" i="7"/>
  <c r="Q78" i="7"/>
  <c r="R78" i="7" s="1"/>
  <c r="AE64" i="5"/>
  <c r="AF64" i="5"/>
  <c r="AD64" i="5"/>
  <c r="X64" i="5"/>
  <c r="AG64" i="5"/>
  <c r="AI64" i="5" s="1"/>
  <c r="AJ64" i="5" s="1"/>
  <c r="AE276" i="5"/>
  <c r="AF276" i="5"/>
  <c r="AD276" i="5"/>
  <c r="AG276" i="5"/>
  <c r="AI276" i="5" s="1"/>
  <c r="AJ276" i="5" s="1"/>
  <c r="AF216" i="5"/>
  <c r="AG216" i="5"/>
  <c r="AI216" i="5" s="1"/>
  <c r="AJ216" i="5" s="1"/>
  <c r="AD216" i="5"/>
  <c r="AE216" i="5"/>
  <c r="AH255" i="7"/>
  <c r="AI255" i="7" s="1"/>
  <c r="AK255" i="7"/>
  <c r="AJ255" i="7"/>
  <c r="AF138" i="5"/>
  <c r="AG138" i="5"/>
  <c r="AI138" i="5" s="1"/>
  <c r="AJ138" i="5" s="1"/>
  <c r="AD138" i="5"/>
  <c r="AE138" i="5"/>
  <c r="V145" i="6"/>
  <c r="AA148" i="7" s="1"/>
  <c r="AL148" i="7" s="1"/>
  <c r="AN148" i="7" s="1"/>
  <c r="Y148" i="7"/>
  <c r="AE278" i="5"/>
  <c r="AF278" i="5"/>
  <c r="AD278" i="5"/>
  <c r="AG278" i="5"/>
  <c r="AI278" i="5" s="1"/>
  <c r="AJ278" i="5" s="1"/>
  <c r="BB271" i="7"/>
  <c r="BD271" i="7"/>
  <c r="BJ271" i="7"/>
  <c r="BC271" i="7"/>
  <c r="AG284" i="5"/>
  <c r="AI284" i="5" s="1"/>
  <c r="AJ284" i="5" s="1"/>
  <c r="AF284" i="5"/>
  <c r="AD284" i="5"/>
  <c r="AE284" i="5"/>
  <c r="AG30" i="5"/>
  <c r="AI30" i="5" s="1"/>
  <c r="AJ30" i="5" s="1"/>
  <c r="AE30" i="5"/>
  <c r="AF30" i="5"/>
  <c r="AD30" i="5"/>
  <c r="S12" i="5"/>
  <c r="C8" i="11"/>
  <c r="T12" i="5"/>
  <c r="C9" i="11"/>
  <c r="AG239" i="5"/>
  <c r="AI239" i="5" s="1"/>
  <c r="AJ239" i="5" s="1"/>
  <c r="AD239" i="5"/>
  <c r="AE239" i="5"/>
  <c r="AF239" i="5"/>
  <c r="X239" i="5"/>
  <c r="S22" i="5"/>
  <c r="T22" i="5"/>
  <c r="U22" i="5"/>
  <c r="AO281" i="7"/>
  <c r="AQ281" i="7" s="1"/>
  <c r="AN281" i="7"/>
  <c r="AP281" i="7" s="1"/>
  <c r="AO234" i="7"/>
  <c r="AQ234" i="7" s="1"/>
  <c r="AN234" i="7"/>
  <c r="AP234" i="7" s="1"/>
  <c r="AN130" i="7"/>
  <c r="AO130" i="7"/>
  <c r="AN106" i="7"/>
  <c r="AP106" i="7" s="1"/>
  <c r="AO106" i="7"/>
  <c r="AQ106" i="7" s="1"/>
  <c r="AN70" i="7"/>
  <c r="AP70" i="7" s="1"/>
  <c r="AO70" i="7"/>
  <c r="AQ70" i="7" s="1"/>
  <c r="AE152" i="5"/>
  <c r="AG152" i="5"/>
  <c r="AI152" i="5" s="1"/>
  <c r="AJ152" i="5" s="1"/>
  <c r="AD152" i="5"/>
  <c r="AF152" i="5"/>
  <c r="X152" i="5"/>
  <c r="AF106" i="5"/>
  <c r="AE106" i="5"/>
  <c r="AG106" i="5"/>
  <c r="AI106" i="5" s="1"/>
  <c r="AJ106" i="5" s="1"/>
  <c r="AD106" i="5"/>
  <c r="AF82" i="5"/>
  <c r="AE82" i="5"/>
  <c r="AD82" i="5"/>
  <c r="AG82" i="5"/>
  <c r="AI82" i="5" s="1"/>
  <c r="AJ82" i="5" s="1"/>
  <c r="AO190" i="7"/>
  <c r="AQ190" i="7" s="1"/>
  <c r="X82" i="5"/>
  <c r="AO252" i="7"/>
  <c r="AQ252" i="7" s="1"/>
  <c r="AN252" i="7"/>
  <c r="AP252" i="7" s="1"/>
  <c r="AO189" i="7"/>
  <c r="AQ189" i="7" s="1"/>
  <c r="AN189" i="7"/>
  <c r="AP189" i="7" s="1"/>
  <c r="AN152" i="7"/>
  <c r="AO152" i="7"/>
  <c r="AN199" i="7"/>
  <c r="AP199" i="7" s="1"/>
  <c r="AO199" i="7"/>
  <c r="AQ199" i="7" s="1"/>
  <c r="AN223" i="7"/>
  <c r="AP223" i="7" s="1"/>
  <c r="AO223" i="7"/>
  <c r="AQ223" i="7" s="1"/>
  <c r="AO134" i="7"/>
  <c r="AQ134" i="7" s="1"/>
  <c r="AN134" i="7"/>
  <c r="AP134" i="7" s="1"/>
  <c r="AN142" i="7"/>
  <c r="AO142" i="7"/>
  <c r="AN71" i="7"/>
  <c r="AP71" i="7" s="1"/>
  <c r="AO71" i="7"/>
  <c r="AQ71" i="7" s="1"/>
  <c r="AN48" i="7"/>
  <c r="AP48" i="7" s="1"/>
  <c r="AO48" i="7"/>
  <c r="AQ48" i="7" s="1"/>
  <c r="AO58" i="7"/>
  <c r="AQ58" i="7" s="1"/>
  <c r="AG189" i="5"/>
  <c r="AI189" i="5" s="1"/>
  <c r="AJ189" i="5" s="1"/>
  <c r="AF189" i="5"/>
  <c r="AE189" i="5"/>
  <c r="AD189" i="5"/>
  <c r="AG142" i="5"/>
  <c r="AI142" i="5" s="1"/>
  <c r="AJ142" i="5" s="1"/>
  <c r="AD142" i="5"/>
  <c r="AF142" i="5"/>
  <c r="AE142" i="5"/>
  <c r="X142" i="5"/>
  <c r="AN253" i="7"/>
  <c r="AP253" i="7" s="1"/>
  <c r="AN182" i="7"/>
  <c r="AP182" i="7" s="1"/>
  <c r="AR182" i="7" s="1"/>
  <c r="AO217" i="7"/>
  <c r="AQ217" i="7" s="1"/>
  <c r="AO125" i="7"/>
  <c r="AD286" i="5"/>
  <c r="AE286" i="5"/>
  <c r="AF286" i="5"/>
  <c r="AG286" i="5"/>
  <c r="AI286" i="5" s="1"/>
  <c r="AJ286" i="5" s="1"/>
  <c r="AG254" i="5"/>
  <c r="AI254" i="5" s="1"/>
  <c r="AJ254" i="5" s="1"/>
  <c r="AE254" i="5"/>
  <c r="AF254" i="5"/>
  <c r="AD254" i="5"/>
  <c r="AF66" i="5"/>
  <c r="AE66" i="5"/>
  <c r="AD66" i="5"/>
  <c r="AG66" i="5"/>
  <c r="AI66" i="5" s="1"/>
  <c r="AJ66" i="5" s="1"/>
  <c r="AO308" i="7"/>
  <c r="AN308" i="7"/>
  <c r="AO304" i="7"/>
  <c r="AN304" i="7"/>
  <c r="AO250" i="7"/>
  <c r="AQ250" i="7" s="1"/>
  <c r="AN250" i="7"/>
  <c r="AP250" i="7" s="1"/>
  <c r="AN210" i="7"/>
  <c r="AP210" i="7" s="1"/>
  <c r="AO210" i="7"/>
  <c r="AQ210" i="7" s="1"/>
  <c r="AO227" i="7"/>
  <c r="AQ227" i="7" s="1"/>
  <c r="AO47" i="7"/>
  <c r="AO41" i="7"/>
  <c r="AN76" i="7"/>
  <c r="AP76" i="7" s="1"/>
  <c r="AO143" i="7"/>
  <c r="AQ143" i="7" s="1"/>
  <c r="AN143" i="7"/>
  <c r="AP143" i="7" s="1"/>
  <c r="AF308" i="5"/>
  <c r="AE308" i="5"/>
  <c r="AD308" i="5"/>
  <c r="AG308" i="5"/>
  <c r="AI308" i="5" s="1"/>
  <c r="AJ308" i="5" s="1"/>
  <c r="AN315" i="7"/>
  <c r="AO315" i="7"/>
  <c r="AE219" i="5"/>
  <c r="AD219" i="5"/>
  <c r="AG219" i="5"/>
  <c r="AI219" i="5" s="1"/>
  <c r="AJ219" i="5" s="1"/>
  <c r="AF219" i="5"/>
  <c r="AN176" i="7"/>
  <c r="AP176" i="7" s="1"/>
  <c r="AO176" i="7"/>
  <c r="AQ176" i="7" s="1"/>
  <c r="AO156" i="7"/>
  <c r="AN221" i="7"/>
  <c r="AP221" i="7" s="1"/>
  <c r="AO221" i="7"/>
  <c r="AQ221" i="7" s="1"/>
  <c r="AN205" i="7"/>
  <c r="AP205" i="7" s="1"/>
  <c r="AO205" i="7"/>
  <c r="AQ205" i="7" s="1"/>
  <c r="AN96" i="7"/>
  <c r="AP96" i="7" s="1"/>
  <c r="AO96" i="7"/>
  <c r="AQ96" i="7" s="1"/>
  <c r="AD311" i="5"/>
  <c r="AG311" i="5"/>
  <c r="AI311" i="5" s="1"/>
  <c r="AJ311" i="5" s="1"/>
  <c r="AE311" i="5"/>
  <c r="AF311" i="5"/>
  <c r="AG34" i="5"/>
  <c r="AI34" i="5" s="1"/>
  <c r="AJ34" i="5" s="1"/>
  <c r="AE34" i="5"/>
  <c r="AF34" i="5"/>
  <c r="AD34" i="5"/>
  <c r="AE132" i="5"/>
  <c r="AD132" i="5"/>
  <c r="AF132" i="5"/>
  <c r="AG132" i="5"/>
  <c r="AI132" i="5" s="1"/>
  <c r="AJ132" i="5" s="1"/>
  <c r="AO233" i="7"/>
  <c r="AQ233" i="7" s="1"/>
  <c r="AO268" i="7"/>
  <c r="AQ268" i="7" s="1"/>
  <c r="AN268" i="7"/>
  <c r="AP268" i="7" s="1"/>
  <c r="AN145" i="7"/>
  <c r="AP145" i="7" s="1"/>
  <c r="AO160" i="7"/>
  <c r="AQ160" i="7" s="1"/>
  <c r="AN160" i="7"/>
  <c r="AP160" i="7" s="1"/>
  <c r="AO116" i="7"/>
  <c r="AQ116" i="7" s="1"/>
  <c r="T15" i="5"/>
  <c r="S15" i="5"/>
  <c r="U15" i="5"/>
  <c r="X308" i="5"/>
  <c r="X311" i="5"/>
  <c r="AN307" i="7"/>
  <c r="AP307" i="7" s="1"/>
  <c r="AO307" i="7"/>
  <c r="AQ307" i="7" s="1"/>
  <c r="AO285" i="7"/>
  <c r="AQ285" i="7" s="1"/>
  <c r="AO261" i="7"/>
  <c r="AQ261" i="7" s="1"/>
  <c r="AG47" i="5"/>
  <c r="AI47" i="5" s="1"/>
  <c r="AJ47" i="5" s="1"/>
  <c r="AF47" i="5"/>
  <c r="AE47" i="5"/>
  <c r="AD47" i="5"/>
  <c r="AD288" i="5"/>
  <c r="AG288" i="5"/>
  <c r="AI288" i="5" s="1"/>
  <c r="AJ288" i="5" s="1"/>
  <c r="AE288" i="5"/>
  <c r="AF288" i="5"/>
  <c r="X288" i="5"/>
  <c r="X106" i="5"/>
  <c r="AO181" i="7"/>
  <c r="AQ181" i="7" s="1"/>
  <c r="AN181" i="7"/>
  <c r="AP181" i="7" s="1"/>
  <c r="AO74" i="7"/>
  <c r="AQ74" i="7" s="1"/>
  <c r="AO238" i="7"/>
  <c r="AN209" i="7"/>
  <c r="AP209" i="7" s="1"/>
  <c r="AO209" i="7"/>
  <c r="AQ209" i="7" s="1"/>
  <c r="AN53" i="7"/>
  <c r="AP53" i="7" s="1"/>
  <c r="AO53" i="7"/>
  <c r="AQ53" i="7" s="1"/>
  <c r="AD68" i="5"/>
  <c r="AF68" i="5"/>
  <c r="AG68" i="5"/>
  <c r="AI68" i="5" s="1"/>
  <c r="AJ68" i="5" s="1"/>
  <c r="AE68" i="5"/>
  <c r="AO28" i="7"/>
  <c r="AQ28" i="7" s="1"/>
  <c r="AN28" i="7"/>
  <c r="AP28" i="7" s="1"/>
  <c r="AO243" i="7"/>
  <c r="AO289" i="7"/>
  <c r="AQ289" i="7" s="1"/>
  <c r="AN289" i="7"/>
  <c r="AP289" i="7" s="1"/>
  <c r="AO118" i="7"/>
  <c r="AN193" i="7"/>
  <c r="AP193" i="7" s="1"/>
  <c r="AO193" i="7"/>
  <c r="AQ193" i="7" s="1"/>
  <c r="AO127" i="7"/>
  <c r="AQ127" i="7" s="1"/>
  <c r="AN127" i="7"/>
  <c r="AP127" i="7" s="1"/>
  <c r="AN177" i="7"/>
  <c r="AP177" i="7" s="1"/>
  <c r="AO177" i="7"/>
  <c r="AQ177" i="7" s="1"/>
  <c r="AD105" i="5"/>
  <c r="AE105" i="5"/>
  <c r="AG105" i="5"/>
  <c r="AI105" i="5" s="1"/>
  <c r="AJ105" i="5" s="1"/>
  <c r="AF105" i="5"/>
  <c r="X105" i="5"/>
  <c r="AO159" i="7"/>
  <c r="AQ159" i="7" s="1"/>
  <c r="AN159" i="7"/>
  <c r="AP159" i="7" s="1"/>
  <c r="AO197" i="7"/>
  <c r="AN151" i="7"/>
  <c r="AP151" i="7" s="1"/>
  <c r="AO151" i="7"/>
  <c r="AQ151" i="7" s="1"/>
  <c r="AN104" i="7"/>
  <c r="AP104" i="7" s="1"/>
  <c r="AO104" i="7"/>
  <c r="AQ104" i="7" s="1"/>
  <c r="AN98" i="7"/>
  <c r="AP98" i="7" s="1"/>
  <c r="AO98" i="7"/>
  <c r="AQ98" i="7" s="1"/>
  <c r="AG48" i="5"/>
  <c r="AI48" i="5" s="1"/>
  <c r="AJ48" i="5" s="1"/>
  <c r="AD48" i="5"/>
  <c r="AE48" i="5"/>
  <c r="AF48" i="5"/>
  <c r="X48" i="5"/>
  <c r="AE85" i="5"/>
  <c r="AD85" i="5"/>
  <c r="AF85" i="5"/>
  <c r="AG85" i="5"/>
  <c r="AI85" i="5" s="1"/>
  <c r="AJ85" i="5" s="1"/>
  <c r="AO139" i="7"/>
  <c r="AE192" i="5"/>
  <c r="AD192" i="5"/>
  <c r="AG192" i="5"/>
  <c r="AI192" i="5" s="1"/>
  <c r="AJ192" i="5" s="1"/>
  <c r="AF192" i="5"/>
  <c r="X192" i="5"/>
  <c r="AN303" i="7"/>
  <c r="AP303" i="7" s="1"/>
  <c r="AO303" i="7"/>
  <c r="AQ303" i="7" s="1"/>
  <c r="AN168" i="7"/>
  <c r="AP168" i="7" s="1"/>
  <c r="AO168" i="7"/>
  <c r="AQ168" i="7" s="1"/>
  <c r="AO141" i="7"/>
  <c r="AQ141" i="7" s="1"/>
  <c r="AN141" i="7"/>
  <c r="AP141" i="7" s="1"/>
  <c r="AN147" i="7"/>
  <c r="AP147" i="7" s="1"/>
  <c r="AO147" i="7"/>
  <c r="AQ147" i="7" s="1"/>
  <c r="AN113" i="7"/>
  <c r="AP113" i="7" s="1"/>
  <c r="AO113" i="7"/>
  <c r="AQ113" i="7" s="1"/>
  <c r="AN101" i="7"/>
  <c r="AP101" i="7" s="1"/>
  <c r="AO101" i="7"/>
  <c r="AQ101" i="7" s="1"/>
  <c r="AN73" i="7"/>
  <c r="AP73" i="7" s="1"/>
  <c r="AO73" i="7"/>
  <c r="AQ73" i="7" s="1"/>
  <c r="AO52" i="7"/>
  <c r="AO44" i="7"/>
  <c r="AN44" i="7"/>
  <c r="X189" i="5"/>
  <c r="AO165" i="7"/>
  <c r="AQ165" i="7" s="1"/>
  <c r="AN165" i="7"/>
  <c r="AP165" i="7" s="1"/>
  <c r="AO85" i="7"/>
  <c r="AQ85" i="7" s="1"/>
  <c r="AF243" i="5"/>
  <c r="AD243" i="5"/>
  <c r="AE243" i="5"/>
  <c r="AG243" i="5"/>
  <c r="AI243" i="5" s="1"/>
  <c r="AJ243" i="5" s="1"/>
  <c r="AN299" i="7"/>
  <c r="AP299" i="7" s="1"/>
  <c r="AO299" i="7"/>
  <c r="AQ299" i="7" s="1"/>
  <c r="AO187" i="7"/>
  <c r="AQ187" i="7" s="1"/>
  <c r="AN187" i="7"/>
  <c r="AP187" i="7" s="1"/>
  <c r="AO32" i="7"/>
  <c r="AQ32" i="7" s="1"/>
  <c r="AN32" i="7"/>
  <c r="AP32" i="7" s="1"/>
  <c r="AN216" i="7"/>
  <c r="AP216" i="7" s="1"/>
  <c r="AO216" i="7"/>
  <c r="AQ216" i="7" s="1"/>
  <c r="AO212" i="7"/>
  <c r="AO204" i="7"/>
  <c r="AQ204" i="7" s="1"/>
  <c r="AN185" i="7"/>
  <c r="AO185" i="7"/>
  <c r="AN178" i="7"/>
  <c r="AP178" i="7" s="1"/>
  <c r="AO178" i="7"/>
  <c r="AQ178" i="7" s="1"/>
  <c r="AN162" i="7"/>
  <c r="AP162" i="7" s="1"/>
  <c r="AO162" i="7"/>
  <c r="AQ162" i="7" s="1"/>
  <c r="AO148" i="7"/>
  <c r="AN79" i="7"/>
  <c r="AO79" i="7"/>
  <c r="AO65" i="7"/>
  <c r="AQ65" i="7" s="1"/>
  <c r="AN65" i="7"/>
  <c r="AP65" i="7" s="1"/>
  <c r="AF264" i="5"/>
  <c r="AE264" i="5"/>
  <c r="AG264" i="5"/>
  <c r="AI264" i="5" s="1"/>
  <c r="AJ264" i="5" s="1"/>
  <c r="AD264" i="5"/>
  <c r="X264" i="5"/>
  <c r="AO215" i="7"/>
  <c r="AN207" i="7"/>
  <c r="AP207" i="7" s="1"/>
  <c r="AO207" i="7"/>
  <c r="AQ207" i="7" s="1"/>
  <c r="AO99" i="7"/>
  <c r="AN62" i="7"/>
  <c r="AP62" i="7" s="1"/>
  <c r="AO62" i="7"/>
  <c r="AQ62" i="7" s="1"/>
  <c r="AN43" i="7"/>
  <c r="AP43" i="7" s="1"/>
  <c r="AO43" i="7"/>
  <c r="AQ43" i="7" s="1"/>
  <c r="AN39" i="7"/>
  <c r="AO39" i="7"/>
  <c r="X132" i="5"/>
  <c r="AG266" i="5"/>
  <c r="AI266" i="5" s="1"/>
  <c r="AJ266" i="5" s="1"/>
  <c r="AE266" i="5"/>
  <c r="AF266" i="5"/>
  <c r="AD266" i="5"/>
  <c r="X266" i="5"/>
  <c r="AO123" i="7"/>
  <c r="AN211" i="7"/>
  <c r="AP211" i="7" s="1"/>
  <c r="AO211" i="7"/>
  <c r="AQ211" i="7" s="1"/>
  <c r="AO183" i="7"/>
  <c r="AN183" i="7"/>
  <c r="AO167" i="7"/>
  <c r="AQ167" i="7" s="1"/>
  <c r="AN167" i="7"/>
  <c r="AP167" i="7" s="1"/>
  <c r="AO180" i="7"/>
  <c r="AN114" i="7"/>
  <c r="AP114" i="7" s="1"/>
  <c r="AO114" i="7"/>
  <c r="AQ114" i="7" s="1"/>
  <c r="AN61" i="7"/>
  <c r="AP61" i="7" s="1"/>
  <c r="AO61" i="7"/>
  <c r="AQ61" i="7" s="1"/>
  <c r="AN59" i="7"/>
  <c r="AP59" i="7" s="1"/>
  <c r="AR59" i="7" s="1"/>
  <c r="X68" i="5"/>
  <c r="AN121" i="7"/>
  <c r="AP121" i="7" s="1"/>
  <c r="AO121" i="7"/>
  <c r="AQ121" i="7" s="1"/>
  <c r="AN225" i="7"/>
  <c r="AP225" i="7" s="1"/>
  <c r="AO225" i="7"/>
  <c r="AQ225" i="7" s="1"/>
  <c r="AN63" i="7"/>
  <c r="AP63" i="7" s="1"/>
  <c r="AR63" i="7" s="1"/>
  <c r="C15" i="12" l="1"/>
  <c r="X49" i="5"/>
  <c r="AE49" i="5"/>
  <c r="AD49" i="5"/>
  <c r="AF49" i="5"/>
  <c r="AG49" i="5"/>
  <c r="AI49" i="5" s="1"/>
  <c r="AJ49" i="5" s="1"/>
  <c r="AD173" i="5"/>
  <c r="AF173" i="5"/>
  <c r="X173" i="5"/>
  <c r="AG173" i="5"/>
  <c r="AI173" i="5" s="1"/>
  <c r="AJ173" i="5" s="1"/>
  <c r="AE173" i="5"/>
  <c r="AR72" i="7"/>
  <c r="AT72" i="7" s="1"/>
  <c r="AC69" i="6" s="1"/>
  <c r="AP125" i="7"/>
  <c r="AO112" i="7"/>
  <c r="AQ112" i="7" s="1"/>
  <c r="AN200" i="7"/>
  <c r="AP200" i="7" s="1"/>
  <c r="AN191" i="7"/>
  <c r="AP191" i="7" s="1"/>
  <c r="AO200" i="7"/>
  <c r="AQ200" i="7" s="1"/>
  <c r="AO196" i="7"/>
  <c r="AQ196" i="7" s="1"/>
  <c r="AO51" i="7"/>
  <c r="AQ51" i="7" s="1"/>
  <c r="AO251" i="7"/>
  <c r="AQ251" i="7" s="1"/>
  <c r="AO117" i="7"/>
  <c r="AQ117" i="7" s="1"/>
  <c r="AP39" i="7"/>
  <c r="AQ47" i="7"/>
  <c r="AR47" i="7" s="1"/>
  <c r="AQ125" i="7"/>
  <c r="BC164" i="7"/>
  <c r="AN222" i="7"/>
  <c r="AP222" i="7" s="1"/>
  <c r="AO274" i="7"/>
  <c r="AQ274" i="7" s="1"/>
  <c r="AO92" i="7"/>
  <c r="AQ92" i="7" s="1"/>
  <c r="BD110" i="7"/>
  <c r="AO150" i="7"/>
  <c r="AQ150" i="7" s="1"/>
  <c r="BB110" i="7"/>
  <c r="BA110" i="7"/>
  <c r="AQ39" i="7"/>
  <c r="AQ238" i="7"/>
  <c r="BC110" i="7"/>
  <c r="AP308" i="7"/>
  <c r="BJ117" i="7"/>
  <c r="AO120" i="7"/>
  <c r="AQ120" i="7" s="1"/>
  <c r="AN50" i="7"/>
  <c r="AP50" i="7" s="1"/>
  <c r="AQ130" i="7"/>
  <c r="AN93" i="7"/>
  <c r="AP93" i="7" s="1"/>
  <c r="AR93" i="7" s="1"/>
  <c r="AN77" i="7"/>
  <c r="AP77" i="7" s="1"/>
  <c r="AN49" i="7"/>
  <c r="AP49" i="7" s="1"/>
  <c r="AR49" i="7" s="1"/>
  <c r="AO119" i="7"/>
  <c r="AQ119" i="7" s="1"/>
  <c r="AO68" i="7"/>
  <c r="AQ68" i="7" s="1"/>
  <c r="AO138" i="7"/>
  <c r="AQ138" i="7" s="1"/>
  <c r="AR138" i="7" s="1"/>
  <c r="AT138" i="7" s="1"/>
  <c r="AQ315" i="7"/>
  <c r="BJ112" i="7"/>
  <c r="AN300" i="7"/>
  <c r="AP300" i="7" s="1"/>
  <c r="AR300" i="7" s="1"/>
  <c r="AS300" i="7" s="1"/>
  <c r="BJ295" i="7"/>
  <c r="AQ215" i="7"/>
  <c r="AO77" i="7"/>
  <c r="AQ77" i="7" s="1"/>
  <c r="AQ197" i="7"/>
  <c r="AO311" i="7"/>
  <c r="AQ311" i="7" s="1"/>
  <c r="BD295" i="7"/>
  <c r="BC47" i="7"/>
  <c r="AQ50" i="7"/>
  <c r="BA112" i="7"/>
  <c r="BD112" i="7"/>
  <c r="AN218" i="7"/>
  <c r="AP218" i="7" s="1"/>
  <c r="AR218" i="7" s="1"/>
  <c r="BB180" i="7"/>
  <c r="AR60" i="7"/>
  <c r="AA57" i="6" s="1"/>
  <c r="BA295" i="7"/>
  <c r="AN33" i="7"/>
  <c r="AP33" i="7" s="1"/>
  <c r="AR145" i="7"/>
  <c r="AT145" i="7" s="1"/>
  <c r="BC295" i="7"/>
  <c r="BB112" i="7"/>
  <c r="BJ180" i="7"/>
  <c r="BA47" i="7"/>
  <c r="AN203" i="7"/>
  <c r="AP203" i="7" s="1"/>
  <c r="AP315" i="7"/>
  <c r="AR271" i="7"/>
  <c r="AS271" i="7" s="1"/>
  <c r="AQ226" i="7"/>
  <c r="AO254" i="7"/>
  <c r="AQ254" i="7" s="1"/>
  <c r="AO110" i="7"/>
  <c r="AQ110" i="7" s="1"/>
  <c r="AP197" i="7"/>
  <c r="AN264" i="7"/>
  <c r="AP264" i="7" s="1"/>
  <c r="AP238" i="7"/>
  <c r="AN153" i="7"/>
  <c r="AP153" i="7" s="1"/>
  <c r="AN175" i="7"/>
  <c r="AP175" i="7" s="1"/>
  <c r="AR175" i="7" s="1"/>
  <c r="AP156" i="7"/>
  <c r="AQ156" i="7"/>
  <c r="AP130" i="7"/>
  <c r="AR263" i="7"/>
  <c r="AS263" i="7" s="1"/>
  <c r="AN146" i="7"/>
  <c r="AP146" i="7" s="1"/>
  <c r="AP183" i="7"/>
  <c r="AQ212" i="7"/>
  <c r="BD52" i="7"/>
  <c r="AN201" i="7"/>
  <c r="AP201" i="7" s="1"/>
  <c r="AR201" i="7" s="1"/>
  <c r="AQ142" i="7"/>
  <c r="AN108" i="7"/>
  <c r="AP108" i="7" s="1"/>
  <c r="BC278" i="7"/>
  <c r="AN36" i="7"/>
  <c r="AP36" i="7" s="1"/>
  <c r="AQ139" i="7"/>
  <c r="AN136" i="7"/>
  <c r="AP136" i="7" s="1"/>
  <c r="AQ34" i="7"/>
  <c r="BB142" i="7"/>
  <c r="BA164" i="7"/>
  <c r="AP99" i="7"/>
  <c r="AO213" i="7"/>
  <c r="AQ213" i="7" s="1"/>
  <c r="AR213" i="7" s="1"/>
  <c r="AQ308" i="7"/>
  <c r="BA142" i="7"/>
  <c r="BD278" i="7"/>
  <c r="AN235" i="7"/>
  <c r="AP235" i="7" s="1"/>
  <c r="BA52" i="7"/>
  <c r="AO203" i="7"/>
  <c r="AQ203" i="7" s="1"/>
  <c r="AO95" i="7"/>
  <c r="AQ95" i="7" s="1"/>
  <c r="AR95" i="7" s="1"/>
  <c r="AS95" i="7" s="1"/>
  <c r="AB92" i="6" s="1"/>
  <c r="AP212" i="7"/>
  <c r="BD164" i="7"/>
  <c r="BD117" i="7"/>
  <c r="BJ278" i="7"/>
  <c r="AO194" i="7"/>
  <c r="AQ194" i="7" s="1"/>
  <c r="BB52" i="7"/>
  <c r="BD142" i="7"/>
  <c r="AO179" i="7"/>
  <c r="AQ179" i="7" s="1"/>
  <c r="AO256" i="7"/>
  <c r="AQ256" i="7" s="1"/>
  <c r="AO248" i="7"/>
  <c r="AQ248" i="7" s="1"/>
  <c r="AN208" i="7"/>
  <c r="AP208" i="7" s="1"/>
  <c r="AR208" i="7" s="1"/>
  <c r="AQ183" i="7"/>
  <c r="AP142" i="7"/>
  <c r="BJ164" i="7"/>
  <c r="BC117" i="7"/>
  <c r="BA278" i="7"/>
  <c r="BJ52" i="7"/>
  <c r="BC142" i="7"/>
  <c r="AO103" i="7"/>
  <c r="AQ103" i="7" s="1"/>
  <c r="AQ99" i="7"/>
  <c r="AQ52" i="7"/>
  <c r="BA117" i="7"/>
  <c r="AN110" i="7"/>
  <c r="AP110" i="7" s="1"/>
  <c r="AR84" i="7"/>
  <c r="AT84" i="7" s="1"/>
  <c r="AC81" i="6" s="1"/>
  <c r="AP52" i="7"/>
  <c r="AN254" i="7"/>
  <c r="AP254" i="7" s="1"/>
  <c r="AQ224" i="7"/>
  <c r="AQ111" i="7"/>
  <c r="AO153" i="7"/>
  <c r="AQ153" i="7" s="1"/>
  <c r="AQ148" i="7"/>
  <c r="AP148" i="7"/>
  <c r="BD180" i="7"/>
  <c r="BA180" i="7"/>
  <c r="AN286" i="7"/>
  <c r="AP286" i="7" s="1"/>
  <c r="AO137" i="7"/>
  <c r="AQ137" i="7" s="1"/>
  <c r="AO312" i="7"/>
  <c r="AQ312" i="7" s="1"/>
  <c r="BA62" i="7"/>
  <c r="AN195" i="7"/>
  <c r="AP195" i="7" s="1"/>
  <c r="AR195" i="7" s="1"/>
  <c r="AS195" i="7" s="1"/>
  <c r="AP79" i="7"/>
  <c r="AN51" i="7"/>
  <c r="AP51" i="7" s="1"/>
  <c r="AN86" i="7"/>
  <c r="AP86" i="7" s="1"/>
  <c r="AN155" i="7"/>
  <c r="AP155" i="7" s="1"/>
  <c r="AR155" i="7" s="1"/>
  <c r="BB237" i="7"/>
  <c r="BA128" i="7"/>
  <c r="AQ79" i="7"/>
  <c r="AO306" i="7"/>
  <c r="AQ306" i="7" s="1"/>
  <c r="BD102" i="7"/>
  <c r="AN128" i="7"/>
  <c r="AP128" i="7" s="1"/>
  <c r="BB247" i="7"/>
  <c r="AN129" i="7"/>
  <c r="AP129" i="7" s="1"/>
  <c r="AR129" i="7" s="1"/>
  <c r="AT129" i="7" s="1"/>
  <c r="AN295" i="7"/>
  <c r="AP295" i="7" s="1"/>
  <c r="AQ304" i="7"/>
  <c r="BB41" i="7"/>
  <c r="AQ240" i="7"/>
  <c r="AR239" i="7"/>
  <c r="AS239" i="7" s="1"/>
  <c r="AQ100" i="7"/>
  <c r="AN196" i="7"/>
  <c r="AP196" i="7" s="1"/>
  <c r="AN173" i="7"/>
  <c r="AP173" i="7" s="1"/>
  <c r="BB47" i="7"/>
  <c r="AN229" i="7"/>
  <c r="AP229" i="7" s="1"/>
  <c r="AR229" i="7" s="1"/>
  <c r="AT229" i="7" s="1"/>
  <c r="BA57" i="7"/>
  <c r="AN97" i="7"/>
  <c r="AP97" i="7" s="1"/>
  <c r="AR97" i="7" s="1"/>
  <c r="AP139" i="7"/>
  <c r="BA102" i="7"/>
  <c r="AO140" i="7"/>
  <c r="AQ140" i="7" s="1"/>
  <c r="BA244" i="7"/>
  <c r="BA125" i="7"/>
  <c r="BA115" i="7"/>
  <c r="AN170" i="7"/>
  <c r="AP170" i="7" s="1"/>
  <c r="AR170" i="7" s="1"/>
  <c r="AS170" i="7" s="1"/>
  <c r="AO198" i="7"/>
  <c r="AQ198" i="7" s="1"/>
  <c r="AN270" i="7"/>
  <c r="AP270" i="7" s="1"/>
  <c r="AR270" i="7" s="1"/>
  <c r="AT270" i="7" s="1"/>
  <c r="BD47" i="7"/>
  <c r="AN89" i="7"/>
  <c r="AP89" i="7" s="1"/>
  <c r="AR89" i="7" s="1"/>
  <c r="AQ118" i="7"/>
  <c r="AN309" i="7"/>
  <c r="AP309" i="7" s="1"/>
  <c r="AR249" i="7"/>
  <c r="AS249" i="7" s="1"/>
  <c r="AN34" i="7"/>
  <c r="AP34" i="7" s="1"/>
  <c r="AP118" i="7"/>
  <c r="AN166" i="7"/>
  <c r="AP166" i="7" s="1"/>
  <c r="AN111" i="7"/>
  <c r="AP111" i="7" s="1"/>
  <c r="AN117" i="7"/>
  <c r="AP117" i="7" s="1"/>
  <c r="AO287" i="7"/>
  <c r="AQ287" i="7" s="1"/>
  <c r="AO191" i="7"/>
  <c r="AQ191" i="7" s="1"/>
  <c r="AO173" i="7"/>
  <c r="AQ173" i="7" s="1"/>
  <c r="AO161" i="7"/>
  <c r="AQ161" i="7" s="1"/>
  <c r="AQ266" i="7"/>
  <c r="AP215" i="7"/>
  <c r="AN312" i="7"/>
  <c r="AP312" i="7" s="1"/>
  <c r="AO86" i="7"/>
  <c r="AQ86" i="7" s="1"/>
  <c r="BD237" i="7"/>
  <c r="AN266" i="7"/>
  <c r="AP266" i="7" s="1"/>
  <c r="AP311" i="7"/>
  <c r="AO235" i="7"/>
  <c r="AQ235" i="7" s="1"/>
  <c r="BJ237" i="7"/>
  <c r="BA259" i="7"/>
  <c r="BA41" i="7"/>
  <c r="AP304" i="7"/>
  <c r="BC41" i="7"/>
  <c r="AN269" i="7"/>
  <c r="AP269" i="7" s="1"/>
  <c r="AO282" i="7"/>
  <c r="AQ282" i="7" s="1"/>
  <c r="AN100" i="7"/>
  <c r="AP100" i="7" s="1"/>
  <c r="AO206" i="7"/>
  <c r="AQ206" i="7" s="1"/>
  <c r="AN105" i="7"/>
  <c r="AP105" i="7" s="1"/>
  <c r="BA54" i="7"/>
  <c r="BA100" i="7"/>
  <c r="BA237" i="7"/>
  <c r="BA258" i="7"/>
  <c r="AN231" i="7"/>
  <c r="AP231" i="7" s="1"/>
  <c r="AN54" i="7"/>
  <c r="AP54" i="7" s="1"/>
  <c r="AN258" i="7"/>
  <c r="AP258" i="7" s="1"/>
  <c r="AR258" i="7" s="1"/>
  <c r="BB158" i="7"/>
  <c r="BD158" i="7"/>
  <c r="AN230" i="7"/>
  <c r="AP230" i="7" s="1"/>
  <c r="AO230" i="7"/>
  <c r="AQ230" i="7" s="1"/>
  <c r="AN220" i="7"/>
  <c r="AP220" i="7" s="1"/>
  <c r="AO220" i="7"/>
  <c r="AQ220" i="7" s="1"/>
  <c r="BB231" i="7"/>
  <c r="BJ231" i="7"/>
  <c r="BD231" i="7"/>
  <c r="BA29" i="7"/>
  <c r="AN224" i="7"/>
  <c r="AP224" i="7" s="1"/>
  <c r="AO83" i="7"/>
  <c r="AQ83" i="7" s="1"/>
  <c r="AN83" i="7"/>
  <c r="AP83" i="7" s="1"/>
  <c r="AN237" i="7"/>
  <c r="AP237" i="7" s="1"/>
  <c r="AR237" i="7" s="1"/>
  <c r="AT237" i="7" s="1"/>
  <c r="BD279" i="7"/>
  <c r="BB279" i="7"/>
  <c r="AN296" i="7"/>
  <c r="AP296" i="7" s="1"/>
  <c r="AR296" i="7" s="1"/>
  <c r="AN112" i="7"/>
  <c r="AP112" i="7" s="1"/>
  <c r="AQ152" i="7"/>
  <c r="BB125" i="7"/>
  <c r="BB102" i="7"/>
  <c r="BC102" i="7"/>
  <c r="AN305" i="7"/>
  <c r="AP305" i="7" s="1"/>
  <c r="AO305" i="7"/>
  <c r="AQ305" i="7" s="1"/>
  <c r="AQ44" i="7"/>
  <c r="AO105" i="7"/>
  <c r="AQ105" i="7" s="1"/>
  <c r="AO136" i="7"/>
  <c r="AQ136" i="7" s="1"/>
  <c r="AO172" i="7"/>
  <c r="AQ172" i="7" s="1"/>
  <c r="AR172" i="7" s="1"/>
  <c r="AT172" i="7" s="1"/>
  <c r="BC231" i="7"/>
  <c r="AR232" i="7"/>
  <c r="AT232" i="7" s="1"/>
  <c r="BJ315" i="7"/>
  <c r="BD315" i="7"/>
  <c r="AO54" i="7"/>
  <c r="AQ54" i="7" s="1"/>
  <c r="BC315" i="7"/>
  <c r="AR64" i="7"/>
  <c r="AQ180" i="7"/>
  <c r="AP185" i="7"/>
  <c r="AR261" i="7"/>
  <c r="AS261" i="7" s="1"/>
  <c r="AR190" i="7"/>
  <c r="AT190" i="7" s="1"/>
  <c r="BA288" i="7"/>
  <c r="BA315" i="7"/>
  <c r="BA231" i="7"/>
  <c r="BA85" i="7"/>
  <c r="AQ128" i="7"/>
  <c r="AR55" i="7"/>
  <c r="AA52" i="6" s="1"/>
  <c r="AR67" i="7"/>
  <c r="AS67" i="7" s="1"/>
  <c r="AB64" i="6" s="1"/>
  <c r="AR56" i="7"/>
  <c r="AA53" i="6" s="1"/>
  <c r="AO115" i="7"/>
  <c r="AQ115" i="7" s="1"/>
  <c r="AN242" i="7"/>
  <c r="AP242" i="7" s="1"/>
  <c r="AO188" i="7"/>
  <c r="AQ188" i="7" s="1"/>
  <c r="AN29" i="7"/>
  <c r="AP29" i="7" s="1"/>
  <c r="AN35" i="7"/>
  <c r="AP35" i="7" s="1"/>
  <c r="AP57" i="7"/>
  <c r="AN92" i="7"/>
  <c r="AP92" i="7" s="1"/>
  <c r="BA105" i="7"/>
  <c r="AN133" i="7"/>
  <c r="AP133" i="7" s="1"/>
  <c r="AR133" i="7" s="1"/>
  <c r="AR75" i="7"/>
  <c r="AA72" i="6" s="1"/>
  <c r="AN102" i="7"/>
  <c r="AP102" i="7" s="1"/>
  <c r="AQ36" i="7"/>
  <c r="AO90" i="7"/>
  <c r="AQ90" i="7" s="1"/>
  <c r="AN90" i="7"/>
  <c r="AP90" i="7" s="1"/>
  <c r="AO69" i="7"/>
  <c r="AQ69" i="7" s="1"/>
  <c r="AN69" i="7"/>
  <c r="AP69" i="7" s="1"/>
  <c r="AN158" i="7"/>
  <c r="AP158" i="7" s="1"/>
  <c r="AO158" i="7"/>
  <c r="AQ158" i="7" s="1"/>
  <c r="AN31" i="7"/>
  <c r="AP31" i="7" s="1"/>
  <c r="AR31" i="7" s="1"/>
  <c r="AO264" i="7"/>
  <c r="AQ264" i="7" s="1"/>
  <c r="AN122" i="7"/>
  <c r="AP122" i="7" s="1"/>
  <c r="BA83" i="7"/>
  <c r="AO242" i="7"/>
  <c r="AQ242" i="7" s="1"/>
  <c r="BC83" i="7"/>
  <c r="BB83" i="7"/>
  <c r="BD215" i="7"/>
  <c r="BJ215" i="7"/>
  <c r="AO279" i="7"/>
  <c r="AQ279" i="7" s="1"/>
  <c r="AN279" i="7"/>
  <c r="AP279" i="7" s="1"/>
  <c r="AO169" i="7"/>
  <c r="AQ169" i="7" s="1"/>
  <c r="AN169" i="7"/>
  <c r="AP169" i="7" s="1"/>
  <c r="BD35" i="7"/>
  <c r="BJ35" i="7"/>
  <c r="AO35" i="7"/>
  <c r="AQ35" i="7" s="1"/>
  <c r="BB35" i="7"/>
  <c r="BC215" i="7"/>
  <c r="AO29" i="7"/>
  <c r="AQ29" i="7" s="1"/>
  <c r="AO164" i="7"/>
  <c r="AQ164" i="7" s="1"/>
  <c r="AN164" i="7"/>
  <c r="AP164" i="7" s="1"/>
  <c r="AN241" i="7"/>
  <c r="AP241" i="7" s="1"/>
  <c r="AO241" i="7"/>
  <c r="AQ241" i="7" s="1"/>
  <c r="AO245" i="7"/>
  <c r="AQ245" i="7" s="1"/>
  <c r="AN245" i="7"/>
  <c r="AP245" i="7" s="1"/>
  <c r="AP41" i="7"/>
  <c r="BC58" i="7"/>
  <c r="BB58" i="7"/>
  <c r="AO57" i="7"/>
  <c r="AQ57" i="7" s="1"/>
  <c r="BA136" i="7"/>
  <c r="BJ58" i="7"/>
  <c r="BB215" i="7"/>
  <c r="AN290" i="7"/>
  <c r="AP290" i="7" s="1"/>
  <c r="AN240" i="7"/>
  <c r="AP240" i="7" s="1"/>
  <c r="BD83" i="7"/>
  <c r="AO231" i="7"/>
  <c r="AQ231" i="7" s="1"/>
  <c r="AP132" i="7"/>
  <c r="BA109" i="7"/>
  <c r="BA251" i="7"/>
  <c r="AN226" i="7"/>
  <c r="AP226" i="7" s="1"/>
  <c r="BA33" i="7"/>
  <c r="BA58" i="7"/>
  <c r="AR80" i="7"/>
  <c r="AA77" i="6" s="1"/>
  <c r="AQ185" i="7"/>
  <c r="AP44" i="7"/>
  <c r="AQ109" i="7"/>
  <c r="AN120" i="7"/>
  <c r="AP120" i="7" s="1"/>
  <c r="AN255" i="7"/>
  <c r="AP255" i="7" s="1"/>
  <c r="BA217" i="7"/>
  <c r="BA146" i="7"/>
  <c r="BA232" i="7"/>
  <c r="AN206" i="7"/>
  <c r="AP206" i="7" s="1"/>
  <c r="BJ41" i="7"/>
  <c r="BA153" i="7"/>
  <c r="AN149" i="7"/>
  <c r="AP149" i="7" s="1"/>
  <c r="BA132" i="7"/>
  <c r="BA35" i="7"/>
  <c r="BA279" i="7"/>
  <c r="BA229" i="7"/>
  <c r="AP180" i="7"/>
  <c r="AP251" i="7"/>
  <c r="AR91" i="7"/>
  <c r="AR310" i="7"/>
  <c r="AS310" i="7" s="1"/>
  <c r="AQ135" i="7"/>
  <c r="AN109" i="7"/>
  <c r="AP109" i="7" s="1"/>
  <c r="AR76" i="7"/>
  <c r="AS76" i="7" s="1"/>
  <c r="AB73" i="6" s="1"/>
  <c r="BA215" i="7"/>
  <c r="BJ161" i="7"/>
  <c r="BB161" i="7"/>
  <c r="BC161" i="7"/>
  <c r="BD161" i="7"/>
  <c r="BJ57" i="7"/>
  <c r="BD57" i="7"/>
  <c r="BC57" i="7"/>
  <c r="BB57" i="7"/>
  <c r="AN37" i="7"/>
  <c r="AP37" i="7" s="1"/>
  <c r="AN188" i="7"/>
  <c r="AP188" i="7" s="1"/>
  <c r="AR313" i="7"/>
  <c r="AS313" i="7" s="1"/>
  <c r="AR167" i="7"/>
  <c r="AT167" i="7" s="1"/>
  <c r="AR285" i="7"/>
  <c r="AT285" i="7" s="1"/>
  <c r="AO122" i="7"/>
  <c r="AQ122" i="7" s="1"/>
  <c r="AQ41" i="7"/>
  <c r="AN115" i="7"/>
  <c r="AP115" i="7" s="1"/>
  <c r="BA95" i="7"/>
  <c r="BA200" i="7"/>
  <c r="BA158" i="7"/>
  <c r="BA208" i="7"/>
  <c r="BA296" i="7"/>
  <c r="BC125" i="7"/>
  <c r="BC158" i="7"/>
  <c r="BA161" i="7"/>
  <c r="BA79" i="7"/>
  <c r="BA196" i="7"/>
  <c r="BA179" i="7"/>
  <c r="AQ132" i="7"/>
  <c r="AO262" i="7"/>
  <c r="AQ262" i="7" s="1"/>
  <c r="AN301" i="7"/>
  <c r="AP301" i="7" s="1"/>
  <c r="AN161" i="7"/>
  <c r="AP161" i="7" s="1"/>
  <c r="AR265" i="7"/>
  <c r="AN81" i="7"/>
  <c r="AP81" i="7" s="1"/>
  <c r="BJ297" i="7"/>
  <c r="BC297" i="7"/>
  <c r="AQ123" i="7"/>
  <c r="BD163" i="7"/>
  <c r="AN186" i="7"/>
  <c r="AP186" i="7" s="1"/>
  <c r="BJ125" i="7"/>
  <c r="BJ158" i="7"/>
  <c r="BA297" i="7"/>
  <c r="AO244" i="7"/>
  <c r="AQ244" i="7" s="1"/>
  <c r="BC136" i="7"/>
  <c r="BB136" i="7"/>
  <c r="BJ136" i="7"/>
  <c r="BD136" i="7"/>
  <c r="BJ203" i="7"/>
  <c r="BA254" i="7"/>
  <c r="AR87" i="7"/>
  <c r="AT87" i="7" s="1"/>
  <c r="AC84" i="6" s="1"/>
  <c r="BD297" i="7"/>
  <c r="AQ301" i="7"/>
  <c r="AQ102" i="7"/>
  <c r="AO260" i="7"/>
  <c r="AQ260" i="7" s="1"/>
  <c r="AO219" i="7"/>
  <c r="AQ219" i="7" s="1"/>
  <c r="BJ279" i="7"/>
  <c r="BC279" i="7"/>
  <c r="AN228" i="7"/>
  <c r="AP228" i="7" s="1"/>
  <c r="AP140" i="7"/>
  <c r="AR88" i="7"/>
  <c r="AS88" i="7" s="1"/>
  <c r="AB85" i="6" s="1"/>
  <c r="AO259" i="7"/>
  <c r="AQ259" i="7" s="1"/>
  <c r="AN244" i="7"/>
  <c r="AP244" i="7" s="1"/>
  <c r="AQ66" i="7"/>
  <c r="AQ290" i="7"/>
  <c r="BA290" i="7"/>
  <c r="AN262" i="7"/>
  <c r="AP262" i="7" s="1"/>
  <c r="AP123" i="7"/>
  <c r="AR275" i="7"/>
  <c r="AN214" i="7"/>
  <c r="AP214" i="7" s="1"/>
  <c r="AR214" i="7" s="1"/>
  <c r="BJ163" i="7"/>
  <c r="BA309" i="7"/>
  <c r="BA166" i="7"/>
  <c r="BA137" i="7"/>
  <c r="BA224" i="7"/>
  <c r="BA119" i="7"/>
  <c r="AR157" i="7"/>
  <c r="AT157" i="7" s="1"/>
  <c r="BA138" i="7"/>
  <c r="AN219" i="7"/>
  <c r="AP219" i="7" s="1"/>
  <c r="AP247" i="7"/>
  <c r="AN103" i="7"/>
  <c r="AP103" i="7" s="1"/>
  <c r="AP259" i="7"/>
  <c r="AN163" i="7"/>
  <c r="AP163" i="7" s="1"/>
  <c r="AR163" i="7" s="1"/>
  <c r="AS163" i="7" s="1"/>
  <c r="AO33" i="7"/>
  <c r="AQ33" i="7" s="1"/>
  <c r="BD132" i="7"/>
  <c r="BB132" i="7"/>
  <c r="BC132" i="7"/>
  <c r="BJ132" i="7"/>
  <c r="BC49" i="7"/>
  <c r="BJ49" i="7"/>
  <c r="BB49" i="7"/>
  <c r="BD49" i="7"/>
  <c r="BB185" i="7"/>
  <c r="BJ185" i="7"/>
  <c r="BC185" i="7"/>
  <c r="BD185" i="7"/>
  <c r="AN192" i="7"/>
  <c r="AP192" i="7" s="1"/>
  <c r="AN150" i="7"/>
  <c r="AP150" i="7" s="1"/>
  <c r="BB163" i="7"/>
  <c r="BA305" i="7"/>
  <c r="AO292" i="7"/>
  <c r="AQ292" i="7" s="1"/>
  <c r="BA50" i="7"/>
  <c r="BA111" i="7"/>
  <c r="BA242" i="7"/>
  <c r="BA163" i="7"/>
  <c r="BA270" i="7"/>
  <c r="BA198" i="7"/>
  <c r="AR236" i="7"/>
  <c r="AR257" i="7"/>
  <c r="AT257" i="7" s="1"/>
  <c r="AQ166" i="7"/>
  <c r="BC290" i="7"/>
  <c r="BJ290" i="7"/>
  <c r="BB290" i="7"/>
  <c r="BD290" i="7"/>
  <c r="BC305" i="7"/>
  <c r="BD305" i="7"/>
  <c r="BB305" i="7"/>
  <c r="BJ305" i="7"/>
  <c r="BB232" i="7"/>
  <c r="BD232" i="7"/>
  <c r="BC232" i="7"/>
  <c r="BJ232" i="7"/>
  <c r="BB133" i="7"/>
  <c r="BA308" i="7"/>
  <c r="AR82" i="7"/>
  <c r="AT82" i="7" s="1"/>
  <c r="AC79" i="6" s="1"/>
  <c r="BA185" i="7"/>
  <c r="BA49" i="7"/>
  <c r="AP243" i="7"/>
  <c r="BJ95" i="7"/>
  <c r="BD95" i="7"/>
  <c r="BB95" i="7"/>
  <c r="BC95" i="7"/>
  <c r="BD128" i="7"/>
  <c r="BC128" i="7"/>
  <c r="BB128" i="7"/>
  <c r="BJ128" i="7"/>
  <c r="BD36" i="7"/>
  <c r="BJ36" i="7"/>
  <c r="BC36" i="7"/>
  <c r="BB36" i="7"/>
  <c r="AR225" i="7"/>
  <c r="AT225" i="7" s="1"/>
  <c r="AN66" i="7"/>
  <c r="AP66" i="7" s="1"/>
  <c r="AP152" i="7"/>
  <c r="AO295" i="7"/>
  <c r="AQ295" i="7" s="1"/>
  <c r="AA91" i="6"/>
  <c r="BA203" i="7"/>
  <c r="BA89" i="7"/>
  <c r="AR297" i="7"/>
  <c r="AT297" i="7" s="1"/>
  <c r="BA269" i="7"/>
  <c r="BA311" i="7"/>
  <c r="BA248" i="7"/>
  <c r="BD203" i="7"/>
  <c r="AR131" i="7"/>
  <c r="AS131" i="7" s="1"/>
  <c r="BA220" i="7"/>
  <c r="BA245" i="7"/>
  <c r="AP288" i="7"/>
  <c r="BJ247" i="7"/>
  <c r="AR278" i="7"/>
  <c r="AT278" i="7" s="1"/>
  <c r="BC33" i="7"/>
  <c r="BD33" i="7"/>
  <c r="BB33" i="7"/>
  <c r="BJ33" i="7"/>
  <c r="BJ208" i="7"/>
  <c r="BB208" i="7"/>
  <c r="BC208" i="7"/>
  <c r="BD208" i="7"/>
  <c r="F100" i="2"/>
  <c r="B100" i="2"/>
  <c r="A101" i="2"/>
  <c r="Z78" i="2"/>
  <c r="W78" i="2"/>
  <c r="V78" i="2"/>
  <c r="Q78" i="2" s="1"/>
  <c r="X78" i="2"/>
  <c r="Y78" i="2"/>
  <c r="BD100" i="7"/>
  <c r="BC100" i="7"/>
  <c r="BJ100" i="7"/>
  <c r="BB100" i="7"/>
  <c r="BA130" i="7"/>
  <c r="BC203" i="7"/>
  <c r="BA44" i="7"/>
  <c r="BA247" i="7"/>
  <c r="BA36" i="7"/>
  <c r="BA213" i="7"/>
  <c r="BC247" i="7"/>
  <c r="AR202" i="7"/>
  <c r="AT202" i="7" s="1"/>
  <c r="AN248" i="7"/>
  <c r="AP248" i="7" s="1"/>
  <c r="AN272" i="7"/>
  <c r="AP272" i="7" s="1"/>
  <c r="AR272" i="7" s="1"/>
  <c r="AS272" i="7" s="1"/>
  <c r="BJ138" i="7"/>
  <c r="BB138" i="7"/>
  <c r="BC138" i="7"/>
  <c r="BD138" i="7"/>
  <c r="N80" i="2"/>
  <c r="O79" i="2"/>
  <c r="P79" i="2"/>
  <c r="BJ85" i="7"/>
  <c r="BD85" i="7"/>
  <c r="BB85" i="7"/>
  <c r="BC85" i="7"/>
  <c r="BJ166" i="7"/>
  <c r="BD166" i="7"/>
  <c r="BC166" i="7"/>
  <c r="BB166" i="7"/>
  <c r="AQ222" i="7"/>
  <c r="BA241" i="7"/>
  <c r="BA266" i="7"/>
  <c r="AN282" i="7"/>
  <c r="AP282" i="7" s="1"/>
  <c r="AQ309" i="7"/>
  <c r="BJ86" i="7"/>
  <c r="BC86" i="7"/>
  <c r="BD86" i="7"/>
  <c r="BB86" i="7"/>
  <c r="AN78" i="7"/>
  <c r="AP78" i="7" s="1"/>
  <c r="AR78" i="7" s="1"/>
  <c r="AS280" i="7"/>
  <c r="AN287" i="7"/>
  <c r="AP287" i="7" s="1"/>
  <c r="BA69" i="7"/>
  <c r="BA133" i="7"/>
  <c r="BD133" i="7"/>
  <c r="AO149" i="7"/>
  <c r="AQ149" i="7" s="1"/>
  <c r="AN260" i="7"/>
  <c r="AP260" i="7" s="1"/>
  <c r="AR314" i="7"/>
  <c r="BA77" i="7"/>
  <c r="BA238" i="7"/>
  <c r="AQ276" i="7"/>
  <c r="BJ105" i="7"/>
  <c r="BD105" i="7"/>
  <c r="BC105" i="7"/>
  <c r="BB105" i="7"/>
  <c r="BC251" i="7"/>
  <c r="BB251" i="7"/>
  <c r="BJ251" i="7"/>
  <c r="BD251" i="7"/>
  <c r="BC229" i="7"/>
  <c r="BJ229" i="7"/>
  <c r="BB229" i="7"/>
  <c r="BD229" i="7"/>
  <c r="BC259" i="7"/>
  <c r="BJ259" i="7"/>
  <c r="BB259" i="7"/>
  <c r="BD259" i="7"/>
  <c r="BC196" i="7"/>
  <c r="BD196" i="7"/>
  <c r="BB196" i="7"/>
  <c r="BJ196" i="7"/>
  <c r="BJ54" i="7"/>
  <c r="BC54" i="7"/>
  <c r="BB54" i="7"/>
  <c r="BD54" i="7"/>
  <c r="BC79" i="7"/>
  <c r="BB79" i="7"/>
  <c r="BJ79" i="7"/>
  <c r="BD79" i="7"/>
  <c r="AR143" i="7"/>
  <c r="AT143" i="7" s="1"/>
  <c r="AR234" i="7"/>
  <c r="AS234" i="7" s="1"/>
  <c r="BC133" i="7"/>
  <c r="AN274" i="7"/>
  <c r="AP274" i="7" s="1"/>
  <c r="BA103" i="7"/>
  <c r="BA86" i="7"/>
  <c r="AN107" i="7"/>
  <c r="AP107" i="7" s="1"/>
  <c r="AR107" i="7" s="1"/>
  <c r="AS107" i="7" s="1"/>
  <c r="AB104" i="6" s="1"/>
  <c r="AN119" i="7"/>
  <c r="AP119" i="7" s="1"/>
  <c r="AR283" i="7"/>
  <c r="AS283" i="7" s="1"/>
  <c r="BC213" i="7"/>
  <c r="BB213" i="7"/>
  <c r="BD213" i="7"/>
  <c r="BJ213" i="7"/>
  <c r="BB120" i="7"/>
  <c r="BJ120" i="7"/>
  <c r="BC120" i="7"/>
  <c r="BD120" i="7"/>
  <c r="BJ115" i="7"/>
  <c r="BD115" i="7"/>
  <c r="BB115" i="7"/>
  <c r="BC115" i="7"/>
  <c r="BJ111" i="7"/>
  <c r="BB111" i="7"/>
  <c r="BC111" i="7"/>
  <c r="BD111" i="7"/>
  <c r="AQ243" i="7"/>
  <c r="AR116" i="7"/>
  <c r="AS116" i="7" s="1"/>
  <c r="AQ192" i="7"/>
  <c r="BA120" i="7"/>
  <c r="AN135" i="7"/>
  <c r="AP135" i="7" s="1"/>
  <c r="BJ244" i="7"/>
  <c r="BD244" i="7"/>
  <c r="BC244" i="7"/>
  <c r="BB244" i="7"/>
  <c r="BD296" i="7"/>
  <c r="BJ296" i="7"/>
  <c r="BC296" i="7"/>
  <c r="BB296" i="7"/>
  <c r="BB109" i="7"/>
  <c r="BD109" i="7"/>
  <c r="BC109" i="7"/>
  <c r="BJ109" i="7"/>
  <c r="BC276" i="7"/>
  <c r="BB276" i="7"/>
  <c r="BD276" i="7"/>
  <c r="BJ276" i="7"/>
  <c r="BC135" i="7"/>
  <c r="BJ135" i="7"/>
  <c r="BB135" i="7"/>
  <c r="BD135" i="7"/>
  <c r="BC242" i="7"/>
  <c r="BB242" i="7"/>
  <c r="BD242" i="7"/>
  <c r="BJ242" i="7"/>
  <c r="BJ81" i="7"/>
  <c r="BD81" i="7"/>
  <c r="BB81" i="7"/>
  <c r="BC81" i="7"/>
  <c r="BB50" i="7"/>
  <c r="BC50" i="7"/>
  <c r="BD50" i="7"/>
  <c r="BJ50" i="7"/>
  <c r="BD191" i="7"/>
  <c r="BC191" i="7"/>
  <c r="BB191" i="7"/>
  <c r="BJ191" i="7"/>
  <c r="BC172" i="7"/>
  <c r="BD172" i="7"/>
  <c r="BJ172" i="7"/>
  <c r="BB172" i="7"/>
  <c r="BB272" i="7"/>
  <c r="BC272" i="7"/>
  <c r="BD272" i="7"/>
  <c r="BJ272" i="7"/>
  <c r="BJ286" i="7"/>
  <c r="BC286" i="7"/>
  <c r="BB286" i="7"/>
  <c r="BD286" i="7"/>
  <c r="BJ183" i="7"/>
  <c r="BC183" i="7"/>
  <c r="BD183" i="7"/>
  <c r="BB183" i="7"/>
  <c r="BC224" i="7"/>
  <c r="BB224" i="7"/>
  <c r="BD224" i="7"/>
  <c r="BJ224" i="7"/>
  <c r="BD304" i="7"/>
  <c r="BC304" i="7"/>
  <c r="BJ304" i="7"/>
  <c r="BB304" i="7"/>
  <c r="BC300" i="7"/>
  <c r="BJ300" i="7"/>
  <c r="BD300" i="7"/>
  <c r="BB300" i="7"/>
  <c r="BJ264" i="7"/>
  <c r="BC264" i="7"/>
  <c r="BD264" i="7"/>
  <c r="BB264" i="7"/>
  <c r="BB126" i="7"/>
  <c r="BD126" i="7"/>
  <c r="BJ126" i="7"/>
  <c r="BC126" i="7"/>
  <c r="AN68" i="7"/>
  <c r="AP68" i="7" s="1"/>
  <c r="AS94" i="7"/>
  <c r="AB91" i="6" s="1"/>
  <c r="BA183" i="7"/>
  <c r="BA286" i="7"/>
  <c r="BA300" i="7"/>
  <c r="BA140" i="7"/>
  <c r="BA172" i="7"/>
  <c r="BB175" i="7"/>
  <c r="BJ175" i="7"/>
  <c r="BC175" i="7"/>
  <c r="BD175" i="7"/>
  <c r="BJ254" i="7"/>
  <c r="BD254" i="7"/>
  <c r="BB254" i="7"/>
  <c r="BC254" i="7"/>
  <c r="BC200" i="7"/>
  <c r="BD200" i="7"/>
  <c r="BJ200" i="7"/>
  <c r="BB200" i="7"/>
  <c r="BD188" i="7"/>
  <c r="BC188" i="7"/>
  <c r="BJ188" i="7"/>
  <c r="BB188" i="7"/>
  <c r="BJ99" i="7"/>
  <c r="BB99" i="7"/>
  <c r="BD99" i="7"/>
  <c r="BC99" i="7"/>
  <c r="BJ282" i="7"/>
  <c r="BB282" i="7"/>
  <c r="BD282" i="7"/>
  <c r="BC282" i="7"/>
  <c r="BJ269" i="7"/>
  <c r="BD269" i="7"/>
  <c r="BC269" i="7"/>
  <c r="BB269" i="7"/>
  <c r="AQ228" i="7"/>
  <c r="AN137" i="7"/>
  <c r="AP137" i="7" s="1"/>
  <c r="AN256" i="7"/>
  <c r="AP256" i="7" s="1"/>
  <c r="AO146" i="7"/>
  <c r="AQ146" i="7" s="1"/>
  <c r="AO286" i="7"/>
  <c r="AQ286" i="7" s="1"/>
  <c r="AR253" i="7"/>
  <c r="AS253" i="7" s="1"/>
  <c r="AR70" i="7"/>
  <c r="AA67" i="6" s="1"/>
  <c r="BA264" i="7"/>
  <c r="AO186" i="7"/>
  <c r="AQ186" i="7" s="1"/>
  <c r="AO255" i="7"/>
  <c r="AQ255" i="7" s="1"/>
  <c r="BA81" i="7"/>
  <c r="BA276" i="7"/>
  <c r="BA156" i="7"/>
  <c r="BA135" i="7"/>
  <c r="BA175" i="7"/>
  <c r="BA92" i="7"/>
  <c r="BB103" i="7"/>
  <c r="BC103" i="7"/>
  <c r="BJ103" i="7"/>
  <c r="BD103" i="7"/>
  <c r="BJ241" i="7"/>
  <c r="BB241" i="7"/>
  <c r="BC241" i="7"/>
  <c r="BD241" i="7"/>
  <c r="BD130" i="7"/>
  <c r="BB130" i="7"/>
  <c r="BJ130" i="7"/>
  <c r="BC130" i="7"/>
  <c r="AO247" i="7"/>
  <c r="AQ247" i="7" s="1"/>
  <c r="BB62" i="7"/>
  <c r="BC62" i="7"/>
  <c r="BD62" i="7"/>
  <c r="BJ62" i="7"/>
  <c r="BC266" i="7"/>
  <c r="BB266" i="7"/>
  <c r="BD266" i="7"/>
  <c r="BJ266" i="7"/>
  <c r="BD220" i="7"/>
  <c r="BC220" i="7"/>
  <c r="BJ220" i="7"/>
  <c r="BB220" i="7"/>
  <c r="BJ308" i="7"/>
  <c r="BC308" i="7"/>
  <c r="BD308" i="7"/>
  <c r="BB308" i="7"/>
  <c r="AO81" i="7"/>
  <c r="AQ81" i="7" s="1"/>
  <c r="BD217" i="7"/>
  <c r="BB217" i="7"/>
  <c r="BC217" i="7"/>
  <c r="BJ217" i="7"/>
  <c r="BD146" i="7"/>
  <c r="BJ146" i="7"/>
  <c r="BC146" i="7"/>
  <c r="BB146" i="7"/>
  <c r="BD77" i="7"/>
  <c r="BC77" i="7"/>
  <c r="BB77" i="7"/>
  <c r="BJ77" i="7"/>
  <c r="BB238" i="7"/>
  <c r="BC238" i="7"/>
  <c r="BD238" i="7"/>
  <c r="BJ238" i="7"/>
  <c r="BC153" i="7"/>
  <c r="BD153" i="7"/>
  <c r="BB153" i="7"/>
  <c r="BJ153" i="7"/>
  <c r="BJ248" i="7"/>
  <c r="BC248" i="7"/>
  <c r="BB248" i="7"/>
  <c r="BD248" i="7"/>
  <c r="AN276" i="7"/>
  <c r="AP276" i="7" s="1"/>
  <c r="BC156" i="7"/>
  <c r="BJ156" i="7"/>
  <c r="BD156" i="7"/>
  <c r="BB156" i="7"/>
  <c r="AR106" i="7"/>
  <c r="AA103" i="6" s="1"/>
  <c r="BA191" i="7"/>
  <c r="AP174" i="7"/>
  <c r="BD29" i="7"/>
  <c r="BJ29" i="7"/>
  <c r="BC29" i="7"/>
  <c r="BB29" i="7"/>
  <c r="AO269" i="7"/>
  <c r="AQ269" i="7" s="1"/>
  <c r="BB92" i="7"/>
  <c r="BJ92" i="7"/>
  <c r="BC92" i="7"/>
  <c r="BD92" i="7"/>
  <c r="BB258" i="7"/>
  <c r="BC258" i="7"/>
  <c r="BJ258" i="7"/>
  <c r="BD258" i="7"/>
  <c r="BB311" i="7"/>
  <c r="BJ311" i="7"/>
  <c r="BC311" i="7"/>
  <c r="BD311" i="7"/>
  <c r="BC137" i="7"/>
  <c r="BD137" i="7"/>
  <c r="BJ137" i="7"/>
  <c r="BB137" i="7"/>
  <c r="BB44" i="7"/>
  <c r="BD44" i="7"/>
  <c r="BC44" i="7"/>
  <c r="BJ44" i="7"/>
  <c r="AQ37" i="7"/>
  <c r="AR32" i="7"/>
  <c r="AS32" i="7" s="1"/>
  <c r="AB29" i="6" s="1"/>
  <c r="AR187" i="7"/>
  <c r="AS187" i="7" s="1"/>
  <c r="AR268" i="7"/>
  <c r="AT268" i="7" s="1"/>
  <c r="AO154" i="7"/>
  <c r="AQ154" i="7" s="1"/>
  <c r="AR154" i="7" s="1"/>
  <c r="BA226" i="7"/>
  <c r="BA282" i="7"/>
  <c r="BA304" i="7"/>
  <c r="BA34" i="7"/>
  <c r="BA126" i="7"/>
  <c r="BA99" i="7"/>
  <c r="BA188" i="7"/>
  <c r="BA272" i="7"/>
  <c r="AQ184" i="7"/>
  <c r="AO126" i="7"/>
  <c r="AQ126" i="7" s="1"/>
  <c r="AR126" i="7" s="1"/>
  <c r="AT126" i="7" s="1"/>
  <c r="BD69" i="7"/>
  <c r="BC69" i="7"/>
  <c r="BJ69" i="7"/>
  <c r="BB69" i="7"/>
  <c r="AN184" i="7"/>
  <c r="AP184" i="7" s="1"/>
  <c r="BA262" i="7"/>
  <c r="AR246" i="7"/>
  <c r="AT246" i="7" s="1"/>
  <c r="AQ284" i="7"/>
  <c r="BA93" i="7"/>
  <c r="BA312" i="7"/>
  <c r="AO124" i="7"/>
  <c r="AQ124" i="7" s="1"/>
  <c r="AR40" i="7"/>
  <c r="AS40" i="7" s="1"/>
  <c r="AB37" i="6" s="1"/>
  <c r="AO38" i="7"/>
  <c r="AQ38" i="7" s="1"/>
  <c r="AN38" i="7"/>
  <c r="AP38" i="7" s="1"/>
  <c r="AO288" i="7"/>
  <c r="AQ288" i="7" s="1"/>
  <c r="BJ34" i="7"/>
  <c r="BD34" i="7"/>
  <c r="BC34" i="7"/>
  <c r="BB34" i="7"/>
  <c r="AN198" i="7"/>
  <c r="AP198" i="7" s="1"/>
  <c r="BB119" i="7"/>
  <c r="BJ119" i="7"/>
  <c r="BC119" i="7"/>
  <c r="BD119" i="7"/>
  <c r="BD309" i="7"/>
  <c r="BJ309" i="7"/>
  <c r="BC309" i="7"/>
  <c r="BB309" i="7"/>
  <c r="BJ198" i="7"/>
  <c r="BD198" i="7"/>
  <c r="BB198" i="7"/>
  <c r="BC198" i="7"/>
  <c r="BC270" i="7"/>
  <c r="BB270" i="7"/>
  <c r="BD270" i="7"/>
  <c r="BJ270" i="7"/>
  <c r="BD93" i="7"/>
  <c r="BC93" i="7"/>
  <c r="BJ93" i="7"/>
  <c r="BB93" i="7"/>
  <c r="BJ312" i="7"/>
  <c r="BD312" i="7"/>
  <c r="BC312" i="7"/>
  <c r="BB312" i="7"/>
  <c r="BC38" i="7"/>
  <c r="BJ38" i="7"/>
  <c r="BD38" i="7"/>
  <c r="BB38" i="7"/>
  <c r="AR303" i="7"/>
  <c r="AT303" i="7" s="1"/>
  <c r="AR53" i="7"/>
  <c r="AA50" i="6" s="1"/>
  <c r="AR209" i="7"/>
  <c r="AS209" i="7" s="1"/>
  <c r="AR74" i="7"/>
  <c r="AS74" i="7" s="1"/>
  <c r="AB71" i="6" s="1"/>
  <c r="BA256" i="7"/>
  <c r="AR204" i="7"/>
  <c r="AS204" i="7" s="1"/>
  <c r="AN306" i="7"/>
  <c r="AP306" i="7" s="1"/>
  <c r="BA37" i="7"/>
  <c r="AN179" i="7"/>
  <c r="AP179" i="7" s="1"/>
  <c r="BJ140" i="7"/>
  <c r="BB140" i="7"/>
  <c r="BD140" i="7"/>
  <c r="BC140" i="7"/>
  <c r="BC288" i="7"/>
  <c r="BD288" i="7"/>
  <c r="BJ288" i="7"/>
  <c r="BB288" i="7"/>
  <c r="BC256" i="7"/>
  <c r="BJ256" i="7"/>
  <c r="BD256" i="7"/>
  <c r="BB256" i="7"/>
  <c r="BC262" i="7"/>
  <c r="BB262" i="7"/>
  <c r="BJ262" i="7"/>
  <c r="BD262" i="7"/>
  <c r="BJ89" i="7"/>
  <c r="BD89" i="7"/>
  <c r="BC89" i="7"/>
  <c r="BB89" i="7"/>
  <c r="BB245" i="7"/>
  <c r="BD245" i="7"/>
  <c r="BJ245" i="7"/>
  <c r="BC245" i="7"/>
  <c r="AR85" i="7"/>
  <c r="AT85" i="7" s="1"/>
  <c r="AC82" i="6" s="1"/>
  <c r="AR101" i="7"/>
  <c r="AA98" i="6" s="1"/>
  <c r="AR28" i="7"/>
  <c r="AS28" i="7" s="1"/>
  <c r="AB25" i="6" s="1"/>
  <c r="AR160" i="7"/>
  <c r="AS160" i="7" s="1"/>
  <c r="AR233" i="7"/>
  <c r="AS233" i="7" s="1"/>
  <c r="AR252" i="7"/>
  <c r="AT252" i="7" s="1"/>
  <c r="BA38" i="7"/>
  <c r="AN194" i="7"/>
  <c r="AP194" i="7" s="1"/>
  <c r="AR46" i="7"/>
  <c r="BJ179" i="7"/>
  <c r="BD179" i="7"/>
  <c r="BB179" i="7"/>
  <c r="BC179" i="7"/>
  <c r="BC78" i="7"/>
  <c r="BB78" i="7"/>
  <c r="BD78" i="7"/>
  <c r="BJ78" i="7"/>
  <c r="BB51" i="7"/>
  <c r="BC51" i="7"/>
  <c r="BD51" i="7"/>
  <c r="BJ51" i="7"/>
  <c r="BC194" i="7"/>
  <c r="BJ194" i="7"/>
  <c r="BA194" i="7"/>
  <c r="BD194" i="7"/>
  <c r="BB194" i="7"/>
  <c r="BD277" i="7"/>
  <c r="BB277" i="7"/>
  <c r="BC277" i="7"/>
  <c r="BJ277" i="7"/>
  <c r="BC204" i="7"/>
  <c r="BB204" i="7"/>
  <c r="BA204" i="7"/>
  <c r="BD204" i="7"/>
  <c r="BJ204" i="7"/>
  <c r="BC42" i="7"/>
  <c r="BJ42" i="7"/>
  <c r="BD42" i="7"/>
  <c r="BB42" i="7"/>
  <c r="BA260" i="7"/>
  <c r="AO42" i="7"/>
  <c r="AQ42" i="7" s="1"/>
  <c r="AR42" i="7" s="1"/>
  <c r="BC186" i="7"/>
  <c r="BB186" i="7"/>
  <c r="BJ186" i="7"/>
  <c r="BD186" i="7"/>
  <c r="BA186" i="7"/>
  <c r="BA139" i="7"/>
  <c r="BB201" i="7"/>
  <c r="BJ201" i="7"/>
  <c r="BD201" i="7"/>
  <c r="BC201" i="7"/>
  <c r="BA201" i="7"/>
  <c r="BA149" i="7"/>
  <c r="BJ149" i="7"/>
  <c r="BD149" i="7"/>
  <c r="BC149" i="7"/>
  <c r="BB149" i="7"/>
  <c r="BD154" i="7"/>
  <c r="BB154" i="7"/>
  <c r="BA154" i="7"/>
  <c r="BJ154" i="7"/>
  <c r="BC154" i="7"/>
  <c r="BB291" i="7"/>
  <c r="BD291" i="7"/>
  <c r="BC291" i="7"/>
  <c r="BJ291" i="7"/>
  <c r="BA291" i="7"/>
  <c r="BA108" i="7"/>
  <c r="BD108" i="7"/>
  <c r="BJ108" i="7"/>
  <c r="BC108" i="7"/>
  <c r="BB108" i="7"/>
  <c r="BB169" i="7"/>
  <c r="BA169" i="7"/>
  <c r="BD169" i="7"/>
  <c r="BC169" i="7"/>
  <c r="BJ169" i="7"/>
  <c r="AN292" i="7"/>
  <c r="AP292" i="7" s="1"/>
  <c r="BA122" i="7"/>
  <c r="BD122" i="7"/>
  <c r="BB122" i="7"/>
  <c r="BC122" i="7"/>
  <c r="BJ122" i="7"/>
  <c r="BA235" i="7"/>
  <c r="BC30" i="7"/>
  <c r="BB30" i="7"/>
  <c r="BJ30" i="7"/>
  <c r="BD30" i="7"/>
  <c r="BB255" i="7"/>
  <c r="BA255" i="7"/>
  <c r="BD255" i="7"/>
  <c r="BJ255" i="7"/>
  <c r="BC255" i="7"/>
  <c r="BD222" i="7"/>
  <c r="BA222" i="7"/>
  <c r="BB222" i="7"/>
  <c r="BJ222" i="7"/>
  <c r="BC222" i="7"/>
  <c r="BB219" i="7"/>
  <c r="BJ219" i="7"/>
  <c r="BD219" i="7"/>
  <c r="BC219" i="7"/>
  <c r="BA219" i="7"/>
  <c r="BC228" i="7"/>
  <c r="BA228" i="7"/>
  <c r="BD228" i="7"/>
  <c r="BJ228" i="7"/>
  <c r="BB228" i="7"/>
  <c r="BA31" i="7"/>
  <c r="BC31" i="7"/>
  <c r="BB31" i="7"/>
  <c r="BD31" i="7"/>
  <c r="BJ31" i="7"/>
  <c r="AN277" i="7"/>
  <c r="AP277" i="7" s="1"/>
  <c r="AO277" i="7"/>
  <c r="AQ277" i="7" s="1"/>
  <c r="BD306" i="7"/>
  <c r="BB306" i="7"/>
  <c r="BC306" i="7"/>
  <c r="BA306" i="7"/>
  <c r="BJ306" i="7"/>
  <c r="BA30" i="7"/>
  <c r="AN144" i="7"/>
  <c r="AP144" i="7" s="1"/>
  <c r="AN284" i="7"/>
  <c r="AP284" i="7" s="1"/>
  <c r="BC284" i="7"/>
  <c r="BD284" i="7"/>
  <c r="BJ284" i="7"/>
  <c r="BB284" i="7"/>
  <c r="BA284" i="7"/>
  <c r="BB227" i="7"/>
  <c r="BD227" i="7"/>
  <c r="BJ227" i="7"/>
  <c r="BC227" i="7"/>
  <c r="BA51" i="7"/>
  <c r="BA74" i="7"/>
  <c r="AN267" i="7"/>
  <c r="AP267" i="7" s="1"/>
  <c r="AO267" i="7"/>
  <c r="AQ267" i="7" s="1"/>
  <c r="BD173" i="7"/>
  <c r="BC173" i="7"/>
  <c r="BB173" i="7"/>
  <c r="BJ173" i="7"/>
  <c r="BJ32" i="7"/>
  <c r="BA32" i="7"/>
  <c r="BB32" i="7"/>
  <c r="BD32" i="7"/>
  <c r="BC32" i="7"/>
  <c r="BD260" i="7"/>
  <c r="BJ260" i="7"/>
  <c r="BC260" i="7"/>
  <c r="BB260" i="7"/>
  <c r="BB184" i="7"/>
  <c r="BD184" i="7"/>
  <c r="BA184" i="7"/>
  <c r="BC184" i="7"/>
  <c r="BJ184" i="7"/>
  <c r="AO30" i="7"/>
  <c r="AQ30" i="7" s="1"/>
  <c r="AN30" i="7"/>
  <c r="AP30" i="7" s="1"/>
  <c r="AN294" i="7"/>
  <c r="AP294" i="7" s="1"/>
  <c r="AO294" i="7"/>
  <c r="AQ294" i="7" s="1"/>
  <c r="BJ235" i="7"/>
  <c r="BD235" i="7"/>
  <c r="BC235" i="7"/>
  <c r="BB235" i="7"/>
  <c r="BD197" i="7"/>
  <c r="BB197" i="7"/>
  <c r="BA197" i="7"/>
  <c r="BC197" i="7"/>
  <c r="BJ197" i="7"/>
  <c r="AO174" i="7"/>
  <c r="AQ174" i="7" s="1"/>
  <c r="AR298" i="7"/>
  <c r="BD107" i="7"/>
  <c r="BJ107" i="7"/>
  <c r="BC107" i="7"/>
  <c r="BB107" i="7"/>
  <c r="BA107" i="7"/>
  <c r="BD192" i="7"/>
  <c r="BC192" i="7"/>
  <c r="BA192" i="7"/>
  <c r="BJ192" i="7"/>
  <c r="BB192" i="7"/>
  <c r="BA170" i="7"/>
  <c r="BD170" i="7"/>
  <c r="BJ170" i="7"/>
  <c r="BB170" i="7"/>
  <c r="BC170" i="7"/>
  <c r="BC214" i="7"/>
  <c r="BA214" i="7"/>
  <c r="BB214" i="7"/>
  <c r="BJ214" i="7"/>
  <c r="BD214" i="7"/>
  <c r="BA78" i="7"/>
  <c r="AR61" i="7"/>
  <c r="AS61" i="7" s="1"/>
  <c r="AB58" i="6" s="1"/>
  <c r="AR211" i="7"/>
  <c r="AT211" i="7" s="1"/>
  <c r="AR43" i="7"/>
  <c r="AA40" i="6" s="1"/>
  <c r="AR62" i="7"/>
  <c r="AS62" i="7" s="1"/>
  <c r="AB59" i="6" s="1"/>
  <c r="AR299" i="7"/>
  <c r="AS299" i="7" s="1"/>
  <c r="AR98" i="7"/>
  <c r="AR151" i="7"/>
  <c r="AS151" i="7" s="1"/>
  <c r="AR96" i="7"/>
  <c r="AT96" i="7" s="1"/>
  <c r="AC93" i="6" s="1"/>
  <c r="AR205" i="7"/>
  <c r="AS205" i="7" s="1"/>
  <c r="AR221" i="7"/>
  <c r="AT221" i="7" s="1"/>
  <c r="AR210" i="7"/>
  <c r="AT210" i="7" s="1"/>
  <c r="AR217" i="7"/>
  <c r="AS217" i="7" s="1"/>
  <c r="AR48" i="7"/>
  <c r="AT48" i="7" s="1"/>
  <c r="AC45" i="6" s="1"/>
  <c r="AR71" i="7"/>
  <c r="AT71" i="7" s="1"/>
  <c r="AC68" i="6" s="1"/>
  <c r="AR199" i="7"/>
  <c r="AS199" i="7" s="1"/>
  <c r="BJ293" i="7"/>
  <c r="BD293" i="7"/>
  <c r="BA293" i="7"/>
  <c r="BB293" i="7"/>
  <c r="BC293" i="7"/>
  <c r="BB273" i="7"/>
  <c r="BA273" i="7"/>
  <c r="BD273" i="7"/>
  <c r="BJ273" i="7"/>
  <c r="BC273" i="7"/>
  <c r="BJ218" i="7"/>
  <c r="BB218" i="7"/>
  <c r="BA218" i="7"/>
  <c r="BD218" i="7"/>
  <c r="BC218" i="7"/>
  <c r="BC292" i="7"/>
  <c r="BA292" i="7"/>
  <c r="BJ292" i="7"/>
  <c r="BD292" i="7"/>
  <c r="BB292" i="7"/>
  <c r="BD68" i="7"/>
  <c r="BA68" i="7"/>
  <c r="BB68" i="7"/>
  <c r="BJ68" i="7"/>
  <c r="BC68" i="7"/>
  <c r="BJ152" i="7"/>
  <c r="BD152" i="7"/>
  <c r="BA152" i="7"/>
  <c r="BB152" i="7"/>
  <c r="BC152" i="7"/>
  <c r="BJ267" i="7"/>
  <c r="BA267" i="7"/>
  <c r="BC267" i="7"/>
  <c r="BD267" i="7"/>
  <c r="BB267" i="7"/>
  <c r="BB97" i="7"/>
  <c r="BC97" i="7"/>
  <c r="BJ97" i="7"/>
  <c r="BD97" i="7"/>
  <c r="BA97" i="7"/>
  <c r="BB124" i="7"/>
  <c r="BA124" i="7"/>
  <c r="BC124" i="7"/>
  <c r="BD124" i="7"/>
  <c r="BJ124" i="7"/>
  <c r="BB206" i="7"/>
  <c r="BJ206" i="7"/>
  <c r="BD206" i="7"/>
  <c r="BC206" i="7"/>
  <c r="BA206" i="7"/>
  <c r="AO45" i="7"/>
  <c r="AQ45" i="7" s="1"/>
  <c r="AN45" i="7"/>
  <c r="AP45" i="7" s="1"/>
  <c r="BB45" i="7"/>
  <c r="BD45" i="7"/>
  <c r="BC45" i="7"/>
  <c r="BA45" i="7"/>
  <c r="BJ45" i="7"/>
  <c r="BD118" i="7"/>
  <c r="BA118" i="7"/>
  <c r="BC118" i="7"/>
  <c r="BJ118" i="7"/>
  <c r="BB118" i="7"/>
  <c r="BD226" i="7"/>
  <c r="BJ226" i="7"/>
  <c r="BB226" i="7"/>
  <c r="BC226" i="7"/>
  <c r="BC74" i="7"/>
  <c r="BB74" i="7"/>
  <c r="BJ74" i="7"/>
  <c r="BD74" i="7"/>
  <c r="BC195" i="7"/>
  <c r="BD195" i="7"/>
  <c r="BB195" i="7"/>
  <c r="BJ195" i="7"/>
  <c r="BA195" i="7"/>
  <c r="AO171" i="7"/>
  <c r="AQ171" i="7" s="1"/>
  <c r="AN171" i="7"/>
  <c r="AP171" i="7" s="1"/>
  <c r="AP124" i="7"/>
  <c r="BA171" i="7"/>
  <c r="BD171" i="7"/>
  <c r="BB171" i="7"/>
  <c r="BJ171" i="7"/>
  <c r="BC171" i="7"/>
  <c r="BA66" i="7"/>
  <c r="BA227" i="7"/>
  <c r="BB90" i="7"/>
  <c r="BJ90" i="7"/>
  <c r="BA90" i="7"/>
  <c r="BD90" i="7"/>
  <c r="BC90" i="7"/>
  <c r="BD274" i="7"/>
  <c r="BB274" i="7"/>
  <c r="BA274" i="7"/>
  <c r="BJ274" i="7"/>
  <c r="BC274" i="7"/>
  <c r="BA277" i="7"/>
  <c r="BC144" i="7"/>
  <c r="BD144" i="7"/>
  <c r="BA144" i="7"/>
  <c r="BB144" i="7"/>
  <c r="BJ144" i="7"/>
  <c r="BC230" i="7"/>
  <c r="BJ230" i="7"/>
  <c r="BD230" i="7"/>
  <c r="BB230" i="7"/>
  <c r="BB66" i="7"/>
  <c r="BD66" i="7"/>
  <c r="BJ66" i="7"/>
  <c r="BC66" i="7"/>
  <c r="AN302" i="7"/>
  <c r="AP302" i="7" s="1"/>
  <c r="AO302" i="7"/>
  <c r="AQ302" i="7" s="1"/>
  <c r="BD302" i="7"/>
  <c r="BC302" i="7"/>
  <c r="BA302" i="7"/>
  <c r="BJ302" i="7"/>
  <c r="BB302" i="7"/>
  <c r="AO108" i="7"/>
  <c r="AQ108" i="7" s="1"/>
  <c r="BJ243" i="7"/>
  <c r="BA243" i="7"/>
  <c r="BD243" i="7"/>
  <c r="BC243" i="7"/>
  <c r="BB243" i="7"/>
  <c r="BB294" i="7"/>
  <c r="BA294" i="7"/>
  <c r="BJ294" i="7"/>
  <c r="BC294" i="7"/>
  <c r="BD294" i="7"/>
  <c r="AO291" i="7"/>
  <c r="AQ291" i="7" s="1"/>
  <c r="AN291" i="7"/>
  <c r="AP291" i="7" s="1"/>
  <c r="BD123" i="7"/>
  <c r="BC123" i="7"/>
  <c r="BB123" i="7"/>
  <c r="BA123" i="7"/>
  <c r="BJ123" i="7"/>
  <c r="BC139" i="7"/>
  <c r="BB139" i="7"/>
  <c r="BJ139" i="7"/>
  <c r="BD139" i="7"/>
  <c r="BJ155" i="7"/>
  <c r="BA155" i="7"/>
  <c r="BC155" i="7"/>
  <c r="BD155" i="7"/>
  <c r="BB155" i="7"/>
  <c r="BA173" i="7"/>
  <c r="AO293" i="7"/>
  <c r="AQ293" i="7" s="1"/>
  <c r="AN293" i="7"/>
  <c r="AP293" i="7" s="1"/>
  <c r="BD37" i="7"/>
  <c r="BJ37" i="7"/>
  <c r="BB37" i="7"/>
  <c r="BC37" i="7"/>
  <c r="BA148" i="7"/>
  <c r="BC148" i="7"/>
  <c r="BB148" i="7"/>
  <c r="BJ148" i="7"/>
  <c r="BD148" i="7"/>
  <c r="AQ144" i="7"/>
  <c r="AO273" i="7"/>
  <c r="AQ273" i="7" s="1"/>
  <c r="AN273" i="7"/>
  <c r="AP273" i="7" s="1"/>
  <c r="BD174" i="7"/>
  <c r="BC174" i="7"/>
  <c r="BJ174" i="7"/>
  <c r="BB174" i="7"/>
  <c r="BA174" i="7"/>
  <c r="BC150" i="7"/>
  <c r="BB150" i="7"/>
  <c r="BJ150" i="7"/>
  <c r="BD150" i="7"/>
  <c r="BA150" i="7"/>
  <c r="BC212" i="7"/>
  <c r="BD212" i="7"/>
  <c r="BJ212" i="7"/>
  <c r="BA212" i="7"/>
  <c r="BB212" i="7"/>
  <c r="BA230" i="7"/>
  <c r="BC287" i="7"/>
  <c r="BJ287" i="7"/>
  <c r="BA287" i="7"/>
  <c r="BD287" i="7"/>
  <c r="BB287" i="7"/>
  <c r="BA42" i="7"/>
  <c r="AS59" i="7"/>
  <c r="AB56" i="6" s="1"/>
  <c r="AA56" i="6"/>
  <c r="AT59" i="7"/>
  <c r="AC56" i="6" s="1"/>
  <c r="AR65" i="7"/>
  <c r="AR165" i="7"/>
  <c r="AR159" i="7"/>
  <c r="AR250" i="7"/>
  <c r="AR134" i="7"/>
  <c r="AR189" i="7"/>
  <c r="AS63" i="7"/>
  <c r="AB60" i="6" s="1"/>
  <c r="AT63" i="7"/>
  <c r="AC60" i="6" s="1"/>
  <c r="AA60" i="6"/>
  <c r="AR121" i="7"/>
  <c r="AR207" i="7"/>
  <c r="AR73" i="7"/>
  <c r="AR113" i="7"/>
  <c r="AR147" i="7"/>
  <c r="AR168" i="7"/>
  <c r="AR177" i="7"/>
  <c r="AR193" i="7"/>
  <c r="AR307" i="7"/>
  <c r="AR176" i="7"/>
  <c r="AT182" i="7"/>
  <c r="AS182" i="7"/>
  <c r="AR114" i="7"/>
  <c r="AR162" i="7"/>
  <c r="AR178" i="7"/>
  <c r="AR216" i="7"/>
  <c r="AR141" i="7"/>
  <c r="AR104" i="7"/>
  <c r="AR127" i="7"/>
  <c r="AR289" i="7"/>
  <c r="AR181" i="7"/>
  <c r="AR227" i="7"/>
  <c r="AR58" i="7"/>
  <c r="AR223" i="7"/>
  <c r="AR281" i="7"/>
  <c r="C16" i="12" l="1"/>
  <c r="C17" i="12" s="1"/>
  <c r="AR125" i="7"/>
  <c r="AT125" i="7" s="1"/>
  <c r="AR191" i="7"/>
  <c r="AT191" i="7" s="1"/>
  <c r="AA69" i="6"/>
  <c r="AS72" i="7"/>
  <c r="AB69" i="6" s="1"/>
  <c r="AR112" i="7"/>
  <c r="AS112" i="7" s="1"/>
  <c r="AB109" i="6" s="1"/>
  <c r="AR254" i="7"/>
  <c r="AT254" i="7" s="1"/>
  <c r="AR196" i="7"/>
  <c r="AS196" i="7" s="1"/>
  <c r="AR51" i="7"/>
  <c r="AS51" i="7" s="1"/>
  <c r="AB48" i="6" s="1"/>
  <c r="AR110" i="7"/>
  <c r="AA107" i="6" s="1"/>
  <c r="AR274" i="7"/>
  <c r="AT274" i="7" s="1"/>
  <c r="AR39" i="7"/>
  <c r="AA36" i="6" s="1"/>
  <c r="AR150" i="7"/>
  <c r="AS150" i="7" s="1"/>
  <c r="AR130" i="7"/>
  <c r="AT130" i="7" s="1"/>
  <c r="AT263" i="7"/>
  <c r="AR264" i="7"/>
  <c r="AS264" i="7" s="1"/>
  <c r="AT261" i="7"/>
  <c r="AR238" i="7"/>
  <c r="AS238" i="7" s="1"/>
  <c r="AR139" i="7"/>
  <c r="AS139" i="7" s="1"/>
  <c r="AR50" i="7"/>
  <c r="AT50" i="7" s="1"/>
  <c r="AC47" i="6" s="1"/>
  <c r="AR120" i="7"/>
  <c r="AT120" i="7" s="1"/>
  <c r="AR308" i="7"/>
  <c r="AT308" i="7" s="1"/>
  <c r="AS84" i="7"/>
  <c r="AB81" i="6" s="1"/>
  <c r="AT60" i="7"/>
  <c r="AC57" i="6" s="1"/>
  <c r="AT239" i="7"/>
  <c r="AR156" i="7"/>
  <c r="AT156" i="7" s="1"/>
  <c r="AR315" i="7"/>
  <c r="AA112" i="6" s="1"/>
  <c r="AR77" i="7"/>
  <c r="AS77" i="7" s="1"/>
  <c r="AB74" i="6" s="1"/>
  <c r="AR226" i="7"/>
  <c r="AT226" i="7" s="1"/>
  <c r="AR215" i="7"/>
  <c r="AT215" i="7" s="1"/>
  <c r="AR312" i="7"/>
  <c r="AS312" i="7" s="1"/>
  <c r="AR203" i="7"/>
  <c r="AT203" i="7" s="1"/>
  <c r="AR197" i="7"/>
  <c r="AT197" i="7" s="1"/>
  <c r="AS145" i="7"/>
  <c r="AA81" i="6"/>
  <c r="AS60" i="7"/>
  <c r="AB57" i="6" s="1"/>
  <c r="AT271" i="7"/>
  <c r="AR206" i="7"/>
  <c r="AS206" i="7" s="1"/>
  <c r="AR34" i="7"/>
  <c r="AS34" i="7" s="1"/>
  <c r="AB31" i="6" s="1"/>
  <c r="AR99" i="7"/>
  <c r="AS99" i="7" s="1"/>
  <c r="AB96" i="6" s="1"/>
  <c r="AR183" i="7"/>
  <c r="AT183" i="7" s="1"/>
  <c r="AR305" i="7"/>
  <c r="AS305" i="7" s="1"/>
  <c r="AR153" i="7"/>
  <c r="AS153" i="7" s="1"/>
  <c r="AR212" i="7"/>
  <c r="AT212" i="7" s="1"/>
  <c r="AT56" i="7"/>
  <c r="AC53" i="6" s="1"/>
  <c r="AS232" i="7"/>
  <c r="AR146" i="7"/>
  <c r="AT146" i="7" s="1"/>
  <c r="AR103" i="7"/>
  <c r="AS103" i="7" s="1"/>
  <c r="AB100" i="6" s="1"/>
  <c r="AR142" i="7"/>
  <c r="AS142" i="7" s="1"/>
  <c r="AR52" i="7"/>
  <c r="AA49" i="6" s="1"/>
  <c r="AR148" i="7"/>
  <c r="AT148" i="7" s="1"/>
  <c r="AR86" i="7"/>
  <c r="AA83" i="6" s="1"/>
  <c r="AR179" i="7"/>
  <c r="AT179" i="7" s="1"/>
  <c r="AR100" i="7"/>
  <c r="AA97" i="6" s="1"/>
  <c r="AR111" i="7"/>
  <c r="AS111" i="7" s="1"/>
  <c r="AB108" i="6" s="1"/>
  <c r="AR301" i="7"/>
  <c r="AS301" i="7" s="1"/>
  <c r="AR188" i="7"/>
  <c r="AT188" i="7" s="1"/>
  <c r="AR200" i="7"/>
  <c r="AS200" i="7" s="1"/>
  <c r="AR44" i="7"/>
  <c r="AA41" i="6" s="1"/>
  <c r="AR235" i="7"/>
  <c r="AT235" i="7" s="1"/>
  <c r="AR173" i="7"/>
  <c r="AS173" i="7" s="1"/>
  <c r="AR79" i="7"/>
  <c r="AA76" i="6" s="1"/>
  <c r="AR248" i="7"/>
  <c r="AS248" i="7" s="1"/>
  <c r="AR295" i="7"/>
  <c r="AS295" i="7" s="1"/>
  <c r="AR224" i="7"/>
  <c r="AS224" i="7" s="1"/>
  <c r="AR118" i="7"/>
  <c r="AT118" i="7" s="1"/>
  <c r="AS268" i="7"/>
  <c r="AR240" i="7"/>
  <c r="AT240" i="7" s="1"/>
  <c r="AR266" i="7"/>
  <c r="AS266" i="7" s="1"/>
  <c r="AR140" i="7"/>
  <c r="AT140" i="7" s="1"/>
  <c r="AR166" i="7"/>
  <c r="AT166" i="7" s="1"/>
  <c r="AR29" i="7"/>
  <c r="AT29" i="7" s="1"/>
  <c r="AC26" i="6" s="1"/>
  <c r="AR102" i="7"/>
  <c r="AS102" i="7" s="1"/>
  <c r="AB99" i="6" s="1"/>
  <c r="AR105" i="7"/>
  <c r="AS105" i="7" s="1"/>
  <c r="AB102" i="6" s="1"/>
  <c r="AR128" i="7"/>
  <c r="AT128" i="7" s="1"/>
  <c r="AS56" i="7"/>
  <c r="AB53" i="6" s="1"/>
  <c r="AR152" i="7"/>
  <c r="AS152" i="7" s="1"/>
  <c r="AR92" i="7"/>
  <c r="AA89" i="6" s="1"/>
  <c r="AR136" i="7"/>
  <c r="AS136" i="7" s="1"/>
  <c r="AR304" i="7"/>
  <c r="AT304" i="7" s="1"/>
  <c r="AR311" i="7"/>
  <c r="AT311" i="7" s="1"/>
  <c r="AS190" i="7"/>
  <c r="AS252" i="7"/>
  <c r="AR36" i="7"/>
  <c r="AS36" i="7" s="1"/>
  <c r="AB33" i="6" s="1"/>
  <c r="AR192" i="7"/>
  <c r="AS192" i="7" s="1"/>
  <c r="AT249" i="7"/>
  <c r="AT187" i="7"/>
  <c r="AS87" i="7"/>
  <c r="AB84" i="6" s="1"/>
  <c r="AR161" i="7"/>
  <c r="AS161" i="7" s="1"/>
  <c r="AR109" i="7"/>
  <c r="AA106" i="6" s="1"/>
  <c r="AR185" i="7"/>
  <c r="AS185" i="7" s="1"/>
  <c r="AR117" i="7"/>
  <c r="AT117" i="7" s="1"/>
  <c r="AR66" i="7"/>
  <c r="AS66" i="7" s="1"/>
  <c r="AB63" i="6" s="1"/>
  <c r="AR41" i="7"/>
  <c r="AT41" i="7" s="1"/>
  <c r="AC38" i="6" s="1"/>
  <c r="AR279" i="7"/>
  <c r="AS279" i="7" s="1"/>
  <c r="AR231" i="7"/>
  <c r="AT231" i="7" s="1"/>
  <c r="AR158" i="7"/>
  <c r="AS158" i="7" s="1"/>
  <c r="AR90" i="7"/>
  <c r="AA87" i="6" s="1"/>
  <c r="AR251" i="7"/>
  <c r="AT251" i="7" s="1"/>
  <c r="AR54" i="7"/>
  <c r="AA51" i="6" s="1"/>
  <c r="AR135" i="7"/>
  <c r="AT135" i="7" s="1"/>
  <c r="AS278" i="7"/>
  <c r="AT67" i="7"/>
  <c r="AC64" i="6" s="1"/>
  <c r="AR286" i="7"/>
  <c r="AT286" i="7" s="1"/>
  <c r="AS75" i="7"/>
  <c r="AB72" i="6" s="1"/>
  <c r="AR57" i="7"/>
  <c r="AT57" i="7" s="1"/>
  <c r="AC54" i="6" s="1"/>
  <c r="AR242" i="7"/>
  <c r="AS242" i="7" s="1"/>
  <c r="AR230" i="7"/>
  <c r="AS230" i="7" s="1"/>
  <c r="AT234" i="7"/>
  <c r="AA64" i="6"/>
  <c r="AR149" i="7"/>
  <c r="AT149" i="7" s="1"/>
  <c r="AT75" i="7"/>
  <c r="AC72" i="6" s="1"/>
  <c r="AT160" i="7"/>
  <c r="AR119" i="7"/>
  <c r="AT119" i="7" s="1"/>
  <c r="AR123" i="7"/>
  <c r="AT123" i="7" s="1"/>
  <c r="AR37" i="7"/>
  <c r="AT37" i="7" s="1"/>
  <c r="AC34" i="6" s="1"/>
  <c r="AR122" i="7"/>
  <c r="AT122" i="7" s="1"/>
  <c r="AR35" i="7"/>
  <c r="AA32" i="6" s="1"/>
  <c r="AR115" i="7"/>
  <c r="AS115" i="7" s="1"/>
  <c r="AR180" i="7"/>
  <c r="AS180" i="7" s="1"/>
  <c r="AR220" i="7"/>
  <c r="AS220" i="7" s="1"/>
  <c r="AR83" i="7"/>
  <c r="AT83" i="7" s="1"/>
  <c r="AC80" i="6" s="1"/>
  <c r="AR245" i="7"/>
  <c r="AT245" i="7" s="1"/>
  <c r="AS237" i="7"/>
  <c r="AT55" i="7"/>
  <c r="AC52" i="6" s="1"/>
  <c r="AR137" i="7"/>
  <c r="AS137" i="7" s="1"/>
  <c r="AT163" i="7"/>
  <c r="AS167" i="7"/>
  <c r="AS55" i="7"/>
  <c r="AB52" i="6" s="1"/>
  <c r="AA84" i="6"/>
  <c r="AT310" i="7"/>
  <c r="AR33" i="7"/>
  <c r="AS33" i="7" s="1"/>
  <c r="AB30" i="6" s="1"/>
  <c r="AA61" i="6"/>
  <c r="AT64" i="7"/>
  <c r="AC61" i="6" s="1"/>
  <c r="AS64" i="7"/>
  <c r="AB61" i="6" s="1"/>
  <c r="AR256" i="7"/>
  <c r="AS256" i="7" s="1"/>
  <c r="AR132" i="7"/>
  <c r="AT132" i="7" s="1"/>
  <c r="AR164" i="7"/>
  <c r="AT164" i="7" s="1"/>
  <c r="AR69" i="7"/>
  <c r="AA88" i="6"/>
  <c r="AT91" i="7"/>
  <c r="AC88" i="6" s="1"/>
  <c r="AA73" i="6"/>
  <c r="AS225" i="7"/>
  <c r="AS236" i="7"/>
  <c r="AT236" i="7"/>
  <c r="AS96" i="7"/>
  <c r="AB93" i="6" s="1"/>
  <c r="AA93" i="6"/>
  <c r="AA92" i="6"/>
  <c r="AT95" i="7"/>
  <c r="AC92" i="6" s="1"/>
  <c r="AT43" i="7"/>
  <c r="AC40" i="6" s="1"/>
  <c r="AS43" i="7"/>
  <c r="AB40" i="6" s="1"/>
  <c r="AS98" i="7"/>
  <c r="AB95" i="6" s="1"/>
  <c r="AT98" i="7"/>
  <c r="AC95" i="6" s="1"/>
  <c r="AT265" i="7"/>
  <c r="AS265" i="7"/>
  <c r="AT76" i="7"/>
  <c r="AC73" i="6" s="1"/>
  <c r="AS91" i="7"/>
  <c r="AB88" i="6" s="1"/>
  <c r="AA44" i="6"/>
  <c r="AT47" i="7"/>
  <c r="AC44" i="6" s="1"/>
  <c r="AT275" i="7"/>
  <c r="AS275" i="7"/>
  <c r="AT88" i="7"/>
  <c r="AC85" i="6" s="1"/>
  <c r="AA85" i="6"/>
  <c r="AR243" i="7"/>
  <c r="AT243" i="7" s="1"/>
  <c r="AR228" i="7"/>
  <c r="AT228" i="7" s="1"/>
  <c r="AT80" i="7"/>
  <c r="AC77" i="6" s="1"/>
  <c r="AS80" i="7"/>
  <c r="AB77" i="6" s="1"/>
  <c r="AS71" i="7"/>
  <c r="AB68" i="6" s="1"/>
  <c r="AR108" i="7"/>
  <c r="AS108" i="7" s="1"/>
  <c r="AB105" i="6" s="1"/>
  <c r="AT283" i="7"/>
  <c r="AT131" i="7"/>
  <c r="AR260" i="7"/>
  <c r="AS260" i="7" s="1"/>
  <c r="AR262" i="7"/>
  <c r="AS262" i="7" s="1"/>
  <c r="AR219" i="7"/>
  <c r="AT219" i="7" s="1"/>
  <c r="AR241" i="7"/>
  <c r="AA68" i="6"/>
  <c r="AS297" i="7"/>
  <c r="AS129" i="7"/>
  <c r="AR290" i="7"/>
  <c r="AT290" i="7" s="1"/>
  <c r="AS270" i="7"/>
  <c r="AT205" i="7"/>
  <c r="AT70" i="7"/>
  <c r="AC67" i="6" s="1"/>
  <c r="AS285" i="7"/>
  <c r="AT313" i="7"/>
  <c r="AR222" i="7"/>
  <c r="AS222" i="7" s="1"/>
  <c r="AR244" i="7"/>
  <c r="AS244" i="7" s="1"/>
  <c r="AT32" i="7"/>
  <c r="AC29" i="6" s="1"/>
  <c r="AR259" i="7"/>
  <c r="AT259" i="7" s="1"/>
  <c r="AR269" i="7"/>
  <c r="AS269" i="7" s="1"/>
  <c r="AS257" i="7"/>
  <c r="AR38" i="7"/>
  <c r="AT38" i="7" s="1"/>
  <c r="AC35" i="6" s="1"/>
  <c r="AR282" i="7"/>
  <c r="AT282" i="7" s="1"/>
  <c r="AT299" i="7"/>
  <c r="AT199" i="7"/>
  <c r="AT170" i="7"/>
  <c r="AS157" i="7"/>
  <c r="AS53" i="7"/>
  <c r="AB50" i="6" s="1"/>
  <c r="AT253" i="7"/>
  <c r="AR68" i="7"/>
  <c r="AS68" i="7" s="1"/>
  <c r="AB65" i="6" s="1"/>
  <c r="AR284" i="7"/>
  <c r="AT284" i="7" s="1"/>
  <c r="AR287" i="7"/>
  <c r="AT287" i="7" s="1"/>
  <c r="AR186" i="7"/>
  <c r="AA79" i="6"/>
  <c r="AR309" i="7"/>
  <c r="AT309" i="7" s="1"/>
  <c r="AT53" i="7"/>
  <c r="AC50" i="6" s="1"/>
  <c r="AR247" i="7"/>
  <c r="AT247" i="7" s="1"/>
  <c r="AS82" i="7"/>
  <c r="AB79" i="6" s="1"/>
  <c r="AT107" i="7"/>
  <c r="AC104" i="6" s="1"/>
  <c r="AA29" i="6"/>
  <c r="AS210" i="7"/>
  <c r="AA45" i="6"/>
  <c r="AT106" i="7"/>
  <c r="AC103" i="6" s="1"/>
  <c r="AS47" i="7"/>
  <c r="AB44" i="6" s="1"/>
  <c r="AT74" i="7"/>
  <c r="AC71" i="6" s="1"/>
  <c r="AA25" i="6"/>
  <c r="AR291" i="7"/>
  <c r="AT291" i="7" s="1"/>
  <c r="AR174" i="7"/>
  <c r="AS174" i="7" s="1"/>
  <c r="AS126" i="7"/>
  <c r="N81" i="2"/>
  <c r="P80" i="2"/>
  <c r="O80" i="2"/>
  <c r="AA104" i="6"/>
  <c r="AS106" i="7"/>
  <c r="AB103" i="6" s="1"/>
  <c r="Z79" i="2"/>
  <c r="Y79" i="2"/>
  <c r="V79" i="2"/>
  <c r="Q79" i="2" s="1"/>
  <c r="W79" i="2"/>
  <c r="R79" i="2" s="1"/>
  <c r="X79" i="2"/>
  <c r="F101" i="2"/>
  <c r="B101" i="2"/>
  <c r="A102" i="2"/>
  <c r="AT204" i="7"/>
  <c r="AR288" i="7"/>
  <c r="AS288" i="7" s="1"/>
  <c r="AS202" i="7"/>
  <c r="AT116" i="7"/>
  <c r="AR306" i="7"/>
  <c r="AT306" i="7" s="1"/>
  <c r="AT314" i="7"/>
  <c r="AS314" i="7"/>
  <c r="AS143" i="7"/>
  <c r="AT300" i="7"/>
  <c r="AS221" i="7"/>
  <c r="AR171" i="7"/>
  <c r="AS171" i="7" s="1"/>
  <c r="AR184" i="7"/>
  <c r="AS184" i="7" s="1"/>
  <c r="AR81" i="7"/>
  <c r="AA78" i="6" s="1"/>
  <c r="AR169" i="7"/>
  <c r="AR276" i="7"/>
  <c r="AT276" i="7" s="1"/>
  <c r="AA59" i="6"/>
  <c r="AR194" i="7"/>
  <c r="AT194" i="7" s="1"/>
  <c r="AR255" i="7"/>
  <c r="AS255" i="7" s="1"/>
  <c r="AS138" i="7"/>
  <c r="AT233" i="7"/>
  <c r="AS48" i="7"/>
  <c r="AB45" i="6" s="1"/>
  <c r="AA71" i="6"/>
  <c r="AS101" i="7"/>
  <c r="AB98" i="6" s="1"/>
  <c r="AA58" i="6"/>
  <c r="AT272" i="7"/>
  <c r="AS85" i="7"/>
  <c r="AB82" i="6" s="1"/>
  <c r="AS70" i="7"/>
  <c r="AB67" i="6" s="1"/>
  <c r="AT209" i="7"/>
  <c r="AS303" i="7"/>
  <c r="AT101" i="7"/>
  <c r="AC98" i="6" s="1"/>
  <c r="AT28" i="7"/>
  <c r="AC25" i="6" s="1"/>
  <c r="AT61" i="7"/>
  <c r="AC58" i="6" s="1"/>
  <c r="AR292" i="7"/>
  <c r="AS292" i="7" s="1"/>
  <c r="AS246" i="7"/>
  <c r="AT195" i="7"/>
  <c r="AS46" i="7"/>
  <c r="AB43" i="6" s="1"/>
  <c r="AA43" i="6"/>
  <c r="AT46" i="7"/>
  <c r="AC43" i="6" s="1"/>
  <c r="AA82" i="6"/>
  <c r="AT151" i="7"/>
  <c r="AT217" i="7"/>
  <c r="AR273" i="7"/>
  <c r="AS273" i="7" s="1"/>
  <c r="AT40" i="7"/>
  <c r="AC37" i="6" s="1"/>
  <c r="AA37" i="6"/>
  <c r="AR267" i="7"/>
  <c r="AS267" i="7" s="1"/>
  <c r="AR198" i="7"/>
  <c r="AA39" i="6"/>
  <c r="AT42" i="7"/>
  <c r="AC39" i="6" s="1"/>
  <c r="AS42" i="7"/>
  <c r="AB39" i="6" s="1"/>
  <c r="AT62" i="7"/>
  <c r="AC59" i="6" s="1"/>
  <c r="AS172" i="7"/>
  <c r="AA95" i="6"/>
  <c r="AS229" i="7"/>
  <c r="AR293" i="7"/>
  <c r="AR302" i="7"/>
  <c r="AR124" i="7"/>
  <c r="AR45" i="7"/>
  <c r="AR30" i="7"/>
  <c r="AS211" i="7"/>
  <c r="AS298" i="7"/>
  <c r="AT298" i="7"/>
  <c r="AR144" i="7"/>
  <c r="AR277" i="7"/>
  <c r="AR294" i="7"/>
  <c r="AT289" i="7"/>
  <c r="AS289" i="7"/>
  <c r="AS104" i="7"/>
  <c r="AB101" i="6" s="1"/>
  <c r="AA101" i="6"/>
  <c r="AT104" i="7"/>
  <c r="AC101" i="6" s="1"/>
  <c r="AS141" i="7"/>
  <c r="AT141" i="7"/>
  <c r="AT178" i="7"/>
  <c r="AS178" i="7"/>
  <c r="AS177" i="7"/>
  <c r="AT177" i="7"/>
  <c r="AT31" i="7"/>
  <c r="AC28" i="6" s="1"/>
  <c r="AS31" i="7"/>
  <c r="AB28" i="6" s="1"/>
  <c r="AA28" i="6"/>
  <c r="AS147" i="7"/>
  <c r="AT147" i="7"/>
  <c r="AS73" i="7"/>
  <c r="AB70" i="6" s="1"/>
  <c r="AA70" i="6"/>
  <c r="AT73" i="7"/>
  <c r="AC70" i="6" s="1"/>
  <c r="AT207" i="7"/>
  <c r="AS207" i="7"/>
  <c r="AT78" i="7"/>
  <c r="AC75" i="6" s="1"/>
  <c r="AA75" i="6"/>
  <c r="AS78" i="7"/>
  <c r="AB75" i="6" s="1"/>
  <c r="AT281" i="7"/>
  <c r="AS281" i="7"/>
  <c r="AS214" i="7"/>
  <c r="AT214" i="7"/>
  <c r="AT213" i="7"/>
  <c r="AS213" i="7"/>
  <c r="AS93" i="7"/>
  <c r="AB90" i="6" s="1"/>
  <c r="AA90" i="6"/>
  <c r="AT93" i="7"/>
  <c r="AC90" i="6" s="1"/>
  <c r="AS89" i="7"/>
  <c r="AB86" i="6" s="1"/>
  <c r="AA86" i="6"/>
  <c r="AT89" i="7"/>
  <c r="AC86" i="6" s="1"/>
  <c r="AT162" i="7"/>
  <c r="AS162" i="7"/>
  <c r="AA46" i="6"/>
  <c r="AT49" i="7"/>
  <c r="AC46" i="6" s="1"/>
  <c r="AS49" i="7"/>
  <c r="AB46" i="6" s="1"/>
  <c r="AS218" i="7"/>
  <c r="AT218" i="7"/>
  <c r="AT168" i="7"/>
  <c r="AS168" i="7"/>
  <c r="AT113" i="7"/>
  <c r="AC110" i="6" s="1"/>
  <c r="AA110" i="6"/>
  <c r="AS113" i="7"/>
  <c r="AB110" i="6" s="1"/>
  <c r="AT121" i="7"/>
  <c r="AS121" i="7"/>
  <c r="AT189" i="7"/>
  <c r="AS189" i="7"/>
  <c r="AT250" i="7"/>
  <c r="AS250" i="7"/>
  <c r="AT165" i="7"/>
  <c r="AS165" i="7"/>
  <c r="AT58" i="7"/>
  <c r="AC55" i="6" s="1"/>
  <c r="AA55" i="6"/>
  <c r="AS58" i="7"/>
  <c r="AB55" i="6" s="1"/>
  <c r="AS201" i="7"/>
  <c r="AT201" i="7"/>
  <c r="AS133" i="7"/>
  <c r="AT133" i="7"/>
  <c r="AT258" i="7"/>
  <c r="AS258" i="7"/>
  <c r="AT127" i="7"/>
  <c r="AS127" i="7"/>
  <c r="AT296" i="7"/>
  <c r="AS296" i="7"/>
  <c r="AT216" i="7"/>
  <c r="AS216" i="7"/>
  <c r="AT114" i="7"/>
  <c r="AC111" i="6" s="1"/>
  <c r="AA111" i="6"/>
  <c r="AS114" i="7"/>
  <c r="AB111" i="6" s="1"/>
  <c r="AT176" i="7"/>
  <c r="AS176" i="7"/>
  <c r="AT307" i="7"/>
  <c r="AS307" i="7"/>
  <c r="AT193" i="7"/>
  <c r="AS193" i="7"/>
  <c r="AS134" i="7"/>
  <c r="AT134" i="7"/>
  <c r="AS175" i="7"/>
  <c r="AT175" i="7"/>
  <c r="AT223" i="7"/>
  <c r="AS223" i="7"/>
  <c r="AS227" i="7"/>
  <c r="AT227" i="7"/>
  <c r="AT181" i="7"/>
  <c r="AS181" i="7"/>
  <c r="AT208" i="7"/>
  <c r="AS208" i="7"/>
  <c r="AS154" i="7"/>
  <c r="AT154" i="7"/>
  <c r="AT155" i="7"/>
  <c r="AS155" i="7"/>
  <c r="AS97" i="7"/>
  <c r="AB94" i="6" s="1"/>
  <c r="AA94" i="6"/>
  <c r="AT97" i="7"/>
  <c r="AC94" i="6" s="1"/>
  <c r="AT159" i="7"/>
  <c r="AS159" i="7"/>
  <c r="AS65" i="7"/>
  <c r="AB62" i="6" s="1"/>
  <c r="AA62" i="6"/>
  <c r="AT65" i="7"/>
  <c r="AC62" i="6" s="1"/>
  <c r="AS125" i="7" l="1"/>
  <c r="AS191" i="7"/>
  <c r="C18" i="12"/>
  <c r="AS110" i="7"/>
  <c r="AB107" i="6" s="1"/>
  <c r="AT110" i="7"/>
  <c r="AC107" i="6" s="1"/>
  <c r="AT112" i="7"/>
  <c r="AC109" i="6" s="1"/>
  <c r="AA109" i="6"/>
  <c r="AT196" i="7"/>
  <c r="AS254" i="7"/>
  <c r="AT51" i="7"/>
  <c r="AC48" i="6" s="1"/>
  <c r="AA48" i="6"/>
  <c r="AT39" i="7"/>
  <c r="AC36" i="6" s="1"/>
  <c r="AS39" i="7"/>
  <c r="AB36" i="6" s="1"/>
  <c r="AT99" i="7"/>
  <c r="AC96" i="6" s="1"/>
  <c r="AS274" i="7"/>
  <c r="AT150" i="7"/>
  <c r="AT266" i="7"/>
  <c r="AS130" i="7"/>
  <c r="AT238" i="7"/>
  <c r="AS86" i="7"/>
  <c r="AB83" i="6" s="1"/>
  <c r="AS215" i="7"/>
  <c r="AT206" i="7"/>
  <c r="AS235" i="7"/>
  <c r="AT301" i="7"/>
  <c r="AS50" i="7"/>
  <c r="AB47" i="6" s="1"/>
  <c r="AT264" i="7"/>
  <c r="AA47" i="6"/>
  <c r="AT139" i="7"/>
  <c r="AS120" i="7"/>
  <c r="AS315" i="7"/>
  <c r="AB112" i="6" s="1"/>
  <c r="AT34" i="7"/>
  <c r="AC31" i="6" s="1"/>
  <c r="AA26" i="6"/>
  <c r="AS156" i="7"/>
  <c r="AS188" i="7"/>
  <c r="AS308" i="7"/>
  <c r="AS203" i="7"/>
  <c r="AS100" i="7"/>
  <c r="AB97" i="6" s="1"/>
  <c r="AT77" i="7"/>
  <c r="AC74" i="6" s="1"/>
  <c r="AS226" i="7"/>
  <c r="AT315" i="7"/>
  <c r="AC112" i="6" s="1"/>
  <c r="AS179" i="7"/>
  <c r="AS29" i="7"/>
  <c r="AB26" i="6" s="1"/>
  <c r="AT173" i="7"/>
  <c r="AS52" i="7"/>
  <c r="AB49" i="6" s="1"/>
  <c r="AT312" i="7"/>
  <c r="AS90" i="7"/>
  <c r="AB87" i="6" s="1"/>
  <c r="AA31" i="6"/>
  <c r="AT52" i="7"/>
  <c r="AC49" i="6" s="1"/>
  <c r="AT153" i="7"/>
  <c r="AA74" i="6"/>
  <c r="AA96" i="6"/>
  <c r="AS212" i="7"/>
  <c r="AA54" i="6"/>
  <c r="AS197" i="7"/>
  <c r="AS183" i="7"/>
  <c r="AS140" i="7"/>
  <c r="AT142" i="7"/>
  <c r="AS166" i="7"/>
  <c r="AS118" i="7"/>
  <c r="AT86" i="7"/>
  <c r="AC83" i="6" s="1"/>
  <c r="AS128" i="7"/>
  <c r="AT305" i="7"/>
  <c r="AS311" i="7"/>
  <c r="AA100" i="6"/>
  <c r="AT103" i="7"/>
  <c r="AC100" i="6" s="1"/>
  <c r="AT100" i="7"/>
  <c r="AC97" i="6" s="1"/>
  <c r="AS146" i="7"/>
  <c r="AT152" i="7"/>
  <c r="AT200" i="7"/>
  <c r="AS148" i="7"/>
  <c r="AT79" i="7"/>
  <c r="AC76" i="6" s="1"/>
  <c r="AT54" i="7"/>
  <c r="AC51" i="6" s="1"/>
  <c r="AS231" i="7"/>
  <c r="AS57" i="7"/>
  <c r="AB54" i="6" s="1"/>
  <c r="AA63" i="6"/>
  <c r="AS54" i="7"/>
  <c r="AB51" i="6" s="1"/>
  <c r="AT224" i="7"/>
  <c r="AA108" i="6"/>
  <c r="AT111" i="7"/>
  <c r="AC108" i="6" s="1"/>
  <c r="AS284" i="7"/>
  <c r="AT44" i="7"/>
  <c r="AC41" i="6" s="1"/>
  <c r="AS79" i="7"/>
  <c r="AB76" i="6" s="1"/>
  <c r="AS44" i="7"/>
  <c r="AB41" i="6" s="1"/>
  <c r="AS92" i="7"/>
  <c r="AB89" i="6" s="1"/>
  <c r="AS251" i="7"/>
  <c r="AS240" i="7"/>
  <c r="AS117" i="7"/>
  <c r="AT66" i="7"/>
  <c r="AC63" i="6" s="1"/>
  <c r="AT295" i="7"/>
  <c r="AT248" i="7"/>
  <c r="AT92" i="7"/>
  <c r="AC89" i="6" s="1"/>
  <c r="AT161" i="7"/>
  <c r="AT35" i="7"/>
  <c r="AC32" i="6" s="1"/>
  <c r="AT102" i="7"/>
  <c r="AC99" i="6" s="1"/>
  <c r="AT136" i="7"/>
  <c r="AA99" i="6"/>
  <c r="AA102" i="6"/>
  <c r="AT105" i="7"/>
  <c r="AC102" i="6" s="1"/>
  <c r="AT279" i="7"/>
  <c r="AT33" i="7"/>
  <c r="AC30" i="6" s="1"/>
  <c r="AT90" i="7"/>
  <c r="AC87" i="6" s="1"/>
  <c r="AS81" i="7"/>
  <c r="AB78" i="6" s="1"/>
  <c r="AT192" i="7"/>
  <c r="AA30" i="6"/>
  <c r="AS245" i="7"/>
  <c r="AT242" i="7"/>
  <c r="AS149" i="7"/>
  <c r="AT36" i="7"/>
  <c r="AC33" i="6" s="1"/>
  <c r="AT185" i="7"/>
  <c r="AS304" i="7"/>
  <c r="AS123" i="7"/>
  <c r="AS132" i="7"/>
  <c r="AS219" i="7"/>
  <c r="AA33" i="6"/>
  <c r="AT220" i="7"/>
  <c r="AS41" i="7"/>
  <c r="AB38" i="6" s="1"/>
  <c r="AT230" i="7"/>
  <c r="AS164" i="7"/>
  <c r="AS109" i="7"/>
  <c r="AB106" i="6" s="1"/>
  <c r="AT109" i="7"/>
  <c r="AC106" i="6" s="1"/>
  <c r="AT81" i="7"/>
  <c r="AC78" i="6" s="1"/>
  <c r="AS135" i="7"/>
  <c r="AT244" i="7"/>
  <c r="AA38" i="6"/>
  <c r="AS122" i="7"/>
  <c r="AT158" i="7"/>
  <c r="AA105" i="6"/>
  <c r="AS35" i="7"/>
  <c r="AB32" i="6" s="1"/>
  <c r="AS228" i="7"/>
  <c r="AS306" i="7"/>
  <c r="AS119" i="7"/>
  <c r="AA80" i="6"/>
  <c r="AT262" i="7"/>
  <c r="AT108" i="7"/>
  <c r="AC105" i="6" s="1"/>
  <c r="AS37" i="7"/>
  <c r="AB34" i="6" s="1"/>
  <c r="AS286" i="7"/>
  <c r="AA34" i="6"/>
  <c r="AT115" i="7"/>
  <c r="AT180" i="7"/>
  <c r="AT137" i="7"/>
  <c r="AA66" i="6"/>
  <c r="AS69" i="7"/>
  <c r="AB66" i="6" s="1"/>
  <c r="AT256" i="7"/>
  <c r="AS243" i="7"/>
  <c r="AS83" i="7"/>
  <c r="AB80" i="6" s="1"/>
  <c r="AT260" i="7"/>
  <c r="AT69" i="7"/>
  <c r="AC66" i="6" s="1"/>
  <c r="AA35" i="6"/>
  <c r="AS282" i="7"/>
  <c r="AS259" i="7"/>
  <c r="AT241" i="7"/>
  <c r="AS241" i="7"/>
  <c r="AT222" i="7"/>
  <c r="AS38" i="7"/>
  <c r="AB35" i="6" s="1"/>
  <c r="AT269" i="7"/>
  <c r="AA65" i="6"/>
  <c r="AS290" i="7"/>
  <c r="AT292" i="7"/>
  <c r="AT68" i="7"/>
  <c r="AC65" i="6" s="1"/>
  <c r="AS287" i="7"/>
  <c r="AS291" i="7"/>
  <c r="AT288" i="7"/>
  <c r="AT267" i="7"/>
  <c r="AS247" i="7"/>
  <c r="AS309" i="7"/>
  <c r="AT174" i="7"/>
  <c r="AT255" i="7"/>
  <c r="AT186" i="7"/>
  <c r="AS186" i="7"/>
  <c r="F102" i="2"/>
  <c r="A103" i="2"/>
  <c r="B102" i="2"/>
  <c r="Y80" i="2"/>
  <c r="X80" i="2"/>
  <c r="W80" i="2"/>
  <c r="R80" i="2" s="1"/>
  <c r="Z80" i="2"/>
  <c r="V80" i="2"/>
  <c r="Q80" i="2" s="1"/>
  <c r="AT184" i="7"/>
  <c r="R76" i="2"/>
  <c r="AQ17" i="5"/>
  <c r="R77" i="2"/>
  <c r="P81" i="2"/>
  <c r="N82" i="2"/>
  <c r="O81" i="2"/>
  <c r="AS276" i="7"/>
  <c r="R78" i="2"/>
  <c r="AT171" i="7"/>
  <c r="AT169" i="7"/>
  <c r="AS169" i="7"/>
  <c r="AS194" i="7"/>
  <c r="AT273" i="7"/>
  <c r="AT198" i="7"/>
  <c r="AS198" i="7"/>
  <c r="AS277" i="7"/>
  <c r="AT277" i="7"/>
  <c r="AS302" i="7"/>
  <c r="AT302" i="7"/>
  <c r="AS45" i="7"/>
  <c r="AB42" i="6" s="1"/>
  <c r="AT45" i="7"/>
  <c r="AC42" i="6" s="1"/>
  <c r="AA42" i="6"/>
  <c r="AT294" i="7"/>
  <c r="AS294" i="7"/>
  <c r="AT124" i="7"/>
  <c r="AS124" i="7"/>
  <c r="AT144" i="7"/>
  <c r="AS144" i="7"/>
  <c r="AA27" i="6"/>
  <c r="AT30" i="7"/>
  <c r="AC27" i="6" s="1"/>
  <c r="AS30" i="7"/>
  <c r="AB27" i="6" s="1"/>
  <c r="AS293" i="7"/>
  <c r="AT293" i="7"/>
  <c r="W237" i="5"/>
  <c r="W276" i="5"/>
  <c r="W73" i="5"/>
  <c r="W224" i="5"/>
  <c r="W81" i="5"/>
  <c r="W158" i="5"/>
  <c r="W232" i="5"/>
  <c r="W59" i="5"/>
  <c r="W19" i="5"/>
  <c r="W287" i="5"/>
  <c r="W40" i="5"/>
  <c r="W43" i="5"/>
  <c r="W91" i="5"/>
  <c r="W185" i="5"/>
  <c r="W169" i="5"/>
  <c r="W139" i="5"/>
  <c r="W159" i="5"/>
  <c r="W250" i="5"/>
  <c r="W173" i="5"/>
  <c r="W295" i="5"/>
  <c r="W28" i="5"/>
  <c r="W69" i="5"/>
  <c r="W167" i="5"/>
  <c r="W180" i="5"/>
  <c r="W247" i="5"/>
  <c r="W192" i="5"/>
  <c r="W144" i="5"/>
  <c r="W261" i="5"/>
  <c r="W123" i="5"/>
  <c r="W197" i="5"/>
  <c r="W153" i="5"/>
  <c r="W52" i="5"/>
  <c r="W65" i="5"/>
  <c r="W235" i="5"/>
  <c r="W279" i="5"/>
  <c r="W141" i="5"/>
  <c r="W103" i="5"/>
  <c r="W118" i="5"/>
  <c r="W46" i="5"/>
  <c r="W13" i="5"/>
  <c r="W55" i="5"/>
  <c r="W285" i="5"/>
  <c r="W111" i="5"/>
  <c r="W240" i="5"/>
  <c r="W74" i="5"/>
  <c r="W216" i="5"/>
  <c r="W297" i="5"/>
  <c r="W229" i="5"/>
  <c r="W138" i="5"/>
  <c r="W51" i="5"/>
  <c r="W18" i="5"/>
  <c r="W87" i="5"/>
  <c r="W92" i="5"/>
  <c r="W186" i="5"/>
  <c r="W154" i="5"/>
  <c r="W175" i="5"/>
  <c r="W208" i="5"/>
  <c r="W79" i="5"/>
  <c r="W128" i="5"/>
  <c r="W273" i="5"/>
  <c r="W278" i="5"/>
  <c r="W304" i="5"/>
  <c r="W14" i="5"/>
  <c r="W257" i="5"/>
  <c r="W150" i="5"/>
  <c r="W109" i="5"/>
  <c r="W165" i="5"/>
  <c r="W25" i="5"/>
  <c r="W294" i="5"/>
  <c r="W214" i="5"/>
  <c r="W35" i="5"/>
  <c r="W239" i="5"/>
  <c r="W70" i="5"/>
  <c r="W206" i="5"/>
  <c r="W77" i="5"/>
  <c r="W254" i="5"/>
  <c r="W64" i="5"/>
  <c r="W106" i="5"/>
  <c r="W305" i="5"/>
  <c r="W298" i="5"/>
  <c r="W105" i="5"/>
  <c r="W236" i="5"/>
  <c r="W209" i="5"/>
  <c r="W85" i="5"/>
  <c r="W116" i="5"/>
  <c r="W212" i="5"/>
  <c r="W26" i="5"/>
  <c r="W226" i="5"/>
  <c r="W88" i="5"/>
  <c r="W307" i="5"/>
  <c r="W269" i="5"/>
  <c r="W157" i="5"/>
  <c r="W242" i="5"/>
  <c r="W189" i="5"/>
  <c r="W272" i="5"/>
  <c r="W198" i="5"/>
  <c r="W114" i="5"/>
  <c r="W225" i="5"/>
  <c r="W218" i="5"/>
  <c r="W191" i="5"/>
  <c r="W101" i="5"/>
  <c r="W244" i="5"/>
  <c r="W47" i="5"/>
  <c r="W188" i="5"/>
  <c r="W75" i="5"/>
  <c r="W119" i="5"/>
  <c r="W303" i="5"/>
  <c r="W178" i="5"/>
  <c r="W174" i="5"/>
  <c r="B14" i="12"/>
  <c r="W234" i="5"/>
  <c r="W195" i="5"/>
  <c r="B15" i="12"/>
  <c r="W266" i="5"/>
  <c r="W268" i="5"/>
  <c r="W76" i="5"/>
  <c r="W288" i="5"/>
  <c r="W301" i="5"/>
  <c r="W204" i="5"/>
  <c r="W100" i="5"/>
  <c r="W140" i="5"/>
  <c r="W223" i="5"/>
  <c r="W248" i="5"/>
  <c r="W166" i="5"/>
  <c r="W275" i="5"/>
  <c r="W15" i="5"/>
  <c r="W160" i="5"/>
  <c r="W246" i="5"/>
  <c r="W282" i="5"/>
  <c r="W108" i="5"/>
  <c r="W201" i="5"/>
  <c r="W309" i="5"/>
  <c r="W68" i="5"/>
  <c r="W233" i="5"/>
  <c r="W34" i="5"/>
  <c r="W54" i="5"/>
  <c r="W277" i="5"/>
  <c r="W162" i="5"/>
  <c r="W137" i="5"/>
  <c r="W289" i="5"/>
  <c r="W311" i="5"/>
  <c r="W259" i="5"/>
  <c r="W249" i="5"/>
  <c r="W274" i="5"/>
  <c r="W299" i="5"/>
  <c r="W199" i="5"/>
  <c r="W256" i="5"/>
  <c r="W31" i="5"/>
  <c r="W127" i="5"/>
  <c r="W217" i="5"/>
  <c r="W45" i="5"/>
  <c r="W270" i="5"/>
  <c r="W122" i="5"/>
  <c r="W238" i="5"/>
  <c r="W200" i="5"/>
  <c r="W207" i="5"/>
  <c r="W211" i="5"/>
  <c r="W293" i="5"/>
  <c r="W80" i="5"/>
  <c r="W33" i="5"/>
  <c r="W121" i="5"/>
  <c r="W262" i="5"/>
  <c r="W170" i="5"/>
  <c r="W89" i="5"/>
  <c r="W50" i="5"/>
  <c r="W222" i="5"/>
  <c r="W164" i="5"/>
  <c r="W67" i="5"/>
  <c r="W57" i="5"/>
  <c r="W29" i="5"/>
  <c r="W271" i="5"/>
  <c r="W112" i="5"/>
  <c r="W133" i="5"/>
  <c r="W147" i="5"/>
  <c r="W49" i="5"/>
  <c r="W221" i="5"/>
  <c r="W110" i="5"/>
  <c r="W215" i="5"/>
  <c r="W292" i="5"/>
  <c r="W58" i="5"/>
  <c r="W66" i="5"/>
  <c r="W156" i="5"/>
  <c r="W255" i="5"/>
  <c r="W148" i="5"/>
  <c r="W48" i="5"/>
  <c r="W113" i="5"/>
  <c r="W151" i="5"/>
  <c r="W135" i="5"/>
  <c r="W130" i="5"/>
  <c r="W20" i="5"/>
  <c r="A18" i="12"/>
  <c r="W38" i="5"/>
  <c r="W126" i="5"/>
  <c r="W61" i="5"/>
  <c r="W63" i="5"/>
  <c r="W177" i="5"/>
  <c r="W95" i="5"/>
  <c r="W241" i="5"/>
  <c r="W17" i="5"/>
  <c r="W115" i="5"/>
  <c r="W181" i="5"/>
  <c r="W280" i="5"/>
  <c r="W179" i="5"/>
  <c r="W228" i="5"/>
  <c r="W23" i="5"/>
  <c r="W93" i="5"/>
  <c r="W41" i="5"/>
  <c r="W22" i="5"/>
  <c r="W62" i="5"/>
  <c r="W152" i="5"/>
  <c r="W12" i="5"/>
  <c r="W176" i="5"/>
  <c r="W230" i="5"/>
  <c r="W125" i="5"/>
  <c r="W190" i="5"/>
  <c r="W296" i="5"/>
  <c r="W243" i="5"/>
  <c r="W53" i="5"/>
  <c r="W227" i="5"/>
  <c r="W78" i="5"/>
  <c r="W32" i="5"/>
  <c r="W196" i="5"/>
  <c r="W306" i="5"/>
  <c r="W36" i="5"/>
  <c r="W86" i="5"/>
  <c r="W187" i="5"/>
  <c r="A17" i="12"/>
  <c r="W44" i="5"/>
  <c r="W260" i="5"/>
  <c r="W27" i="5"/>
  <c r="W182" i="5"/>
  <c r="W142" i="5"/>
  <c r="W99" i="5"/>
  <c r="W290" i="5"/>
  <c r="W168" i="5"/>
  <c r="W146" i="5"/>
  <c r="W84" i="5"/>
  <c r="W267" i="5"/>
  <c r="W291" i="5"/>
  <c r="W253" i="5"/>
  <c r="W302" i="5"/>
  <c r="W281" i="5"/>
  <c r="W251" i="5"/>
  <c r="W194" i="5"/>
  <c r="W37" i="5"/>
  <c r="W143" i="5"/>
  <c r="W104" i="5"/>
  <c r="W129" i="5"/>
  <c r="W82" i="5"/>
  <c r="W21" i="5"/>
  <c r="W205" i="5"/>
  <c r="W72" i="5"/>
  <c r="W193" i="5"/>
  <c r="W136" i="5"/>
  <c r="W42" i="5"/>
  <c r="W213" i="5"/>
  <c r="W90" i="5"/>
  <c r="W145" i="5"/>
  <c r="W83" i="5"/>
  <c r="W71" i="5"/>
  <c r="W16" i="5"/>
  <c r="W283" i="5"/>
  <c r="W107" i="5"/>
  <c r="W30" i="5"/>
  <c r="W60" i="5"/>
  <c r="W39" i="5"/>
  <c r="W264" i="5"/>
  <c r="W97" i="5"/>
  <c r="W149" i="5"/>
  <c r="W184" i="5"/>
  <c r="W231" i="5"/>
  <c r="W258" i="5"/>
  <c r="W183" i="5"/>
  <c r="W220" i="5"/>
  <c r="W172" i="5"/>
  <c r="W98" i="5"/>
  <c r="W102" i="5"/>
  <c r="W310" i="5"/>
  <c r="W124" i="5"/>
  <c r="W308" i="5"/>
  <c r="W131" i="5"/>
  <c r="W132" i="5"/>
  <c r="W263" i="5"/>
  <c r="W134" i="5"/>
  <c r="W265" i="5"/>
  <c r="W203" i="5"/>
  <c r="W286" i="5"/>
  <c r="W210" i="5"/>
  <c r="W117" i="5"/>
  <c r="W202" i="5"/>
  <c r="W155" i="5"/>
  <c r="W300" i="5"/>
  <c r="W56" i="5"/>
  <c r="W94" i="5"/>
  <c r="W219" i="5"/>
  <c r="W161" i="5"/>
  <c r="W96" i="5"/>
  <c r="W245" i="5"/>
  <c r="W120" i="5"/>
  <c r="W171" i="5"/>
  <c r="W24" i="5"/>
  <c r="W163" i="5"/>
  <c r="W252" i="5"/>
  <c r="W284" i="5"/>
  <c r="A269" i="5" l="1"/>
  <c r="A213" i="5"/>
  <c r="A70" i="5"/>
  <c r="A264" i="5"/>
  <c r="A35" i="5"/>
  <c r="A16" i="5"/>
  <c r="A103" i="5"/>
  <c r="A94" i="5"/>
  <c r="A226" i="5"/>
  <c r="A265" i="5"/>
  <c r="A235" i="5"/>
  <c r="A202" i="5"/>
  <c r="A34" i="5"/>
  <c r="A91" i="5"/>
  <c r="A89" i="5"/>
  <c r="A166" i="5"/>
  <c r="A238" i="5"/>
  <c r="A206" i="5"/>
  <c r="A212" i="5"/>
  <c r="A75" i="5"/>
  <c r="A282" i="5"/>
  <c r="A41" i="5"/>
  <c r="A277" i="5"/>
  <c r="A223" i="5"/>
  <c r="A290" i="5"/>
  <c r="A294" i="5"/>
  <c r="A192" i="5"/>
  <c r="A263" i="5"/>
  <c r="A31" i="5"/>
  <c r="A138" i="5"/>
  <c r="A69" i="5"/>
  <c r="A140" i="5"/>
  <c r="A26" i="5"/>
  <c r="A37" i="5"/>
  <c r="A125" i="5"/>
  <c r="A270" i="5"/>
  <c r="A57" i="5"/>
  <c r="A95" i="5"/>
  <c r="A39" i="5"/>
  <c r="A249" i="5"/>
  <c r="A77" i="5"/>
  <c r="A305" i="5"/>
  <c r="A50" i="5"/>
  <c r="A256" i="5"/>
  <c r="A109" i="5"/>
  <c r="A252" i="5"/>
  <c r="A146" i="5"/>
  <c r="A232" i="5"/>
  <c r="A248" i="5"/>
  <c r="A275" i="5"/>
  <c r="A251" i="5"/>
  <c r="A40" i="5"/>
  <c r="A63" i="5"/>
  <c r="A150" i="5"/>
  <c r="A36" i="5"/>
  <c r="A209" i="5"/>
  <c r="A133" i="5"/>
  <c r="A115" i="5"/>
  <c r="A76" i="5"/>
  <c r="A87" i="5"/>
  <c r="A197" i="5"/>
  <c r="A185" i="5"/>
  <c r="A71" i="5"/>
  <c r="A162" i="5"/>
  <c r="A210" i="5"/>
  <c r="A84" i="5"/>
  <c r="A230" i="5"/>
  <c r="A110" i="5"/>
  <c r="A85" i="5"/>
  <c r="A127" i="5"/>
  <c r="A224" i="5"/>
  <c r="A215" i="5"/>
  <c r="A152" i="5"/>
  <c r="A302" i="5"/>
  <c r="A203" i="5"/>
  <c r="A183" i="5"/>
  <c r="A73" i="5"/>
  <c r="A20" i="5"/>
  <c r="A300" i="5"/>
  <c r="A258" i="5"/>
  <c r="A191" i="5"/>
  <c r="A119" i="5"/>
  <c r="A311" i="5"/>
  <c r="A15" i="5"/>
  <c r="A187" i="5"/>
  <c r="A268" i="5"/>
  <c r="A80" i="5"/>
  <c r="A267" i="5"/>
  <c r="A184" i="5"/>
  <c r="A159" i="5"/>
  <c r="A284" i="5"/>
  <c r="A287" i="5"/>
  <c r="A240" i="5"/>
  <c r="A43" i="5"/>
  <c r="A194" i="5"/>
  <c r="A260" i="5"/>
  <c r="A182" i="5"/>
  <c r="A297" i="5"/>
  <c r="A154" i="5"/>
  <c r="A179" i="5"/>
  <c r="A151" i="5"/>
  <c r="A278" i="5"/>
  <c r="A108" i="5"/>
  <c r="A72" i="5"/>
  <c r="A137" i="5"/>
  <c r="A172" i="5"/>
  <c r="A112" i="5"/>
  <c r="A100" i="5"/>
  <c r="A175" i="5"/>
  <c r="A276" i="5"/>
  <c r="A244" i="5"/>
  <c r="A123" i="5"/>
  <c r="A22" i="5"/>
  <c r="A66" i="5"/>
  <c r="A190" i="5"/>
  <c r="A145" i="5"/>
  <c r="A164" i="5"/>
  <c r="A27" i="5"/>
  <c r="A158" i="5"/>
  <c r="A21" i="5"/>
  <c r="A113" i="5"/>
  <c r="A296" i="5"/>
  <c r="A29" i="5"/>
  <c r="A79" i="5"/>
  <c r="A259" i="5"/>
  <c r="A233" i="5"/>
  <c r="A165" i="5"/>
  <c r="A139" i="5"/>
  <c r="A298" i="5"/>
  <c r="A99" i="5"/>
  <c r="A82" i="5"/>
  <c r="A132" i="5"/>
  <c r="A136" i="5"/>
  <c r="A155" i="5"/>
  <c r="A291" i="5"/>
  <c r="A234" i="5"/>
  <c r="A225" i="5"/>
  <c r="A157" i="5"/>
  <c r="A14" i="5"/>
  <c r="A38" i="5"/>
  <c r="A242" i="5"/>
  <c r="A160" i="5"/>
  <c r="A122" i="5"/>
  <c r="A289" i="5"/>
  <c r="A81" i="5"/>
  <c r="A299" i="5"/>
  <c r="A60" i="5"/>
  <c r="A301" i="5"/>
  <c r="A288" i="5"/>
  <c r="A217" i="5"/>
  <c r="A111" i="5"/>
  <c r="A237" i="5"/>
  <c r="A245" i="5"/>
  <c r="A253" i="5"/>
  <c r="A24" i="5"/>
  <c r="A286" i="5"/>
  <c r="A61" i="5"/>
  <c r="A104" i="5"/>
  <c r="A130" i="5"/>
  <c r="A56" i="5"/>
  <c r="A12" i="5"/>
  <c r="A98" i="5"/>
  <c r="A188" i="5"/>
  <c r="A181" i="5"/>
  <c r="A173" i="5"/>
  <c r="A106" i="5"/>
  <c r="A135" i="5"/>
  <c r="A67" i="5"/>
  <c r="A134" i="5"/>
  <c r="A124" i="5"/>
  <c r="A201" i="5"/>
  <c r="A118" i="5"/>
  <c r="A54" i="5"/>
  <c r="A171" i="5"/>
  <c r="A227" i="5"/>
  <c r="A148" i="5"/>
  <c r="A52" i="5"/>
  <c r="A262" i="5"/>
  <c r="A208" i="5"/>
  <c r="A88" i="5"/>
  <c r="A74" i="5"/>
  <c r="A261" i="5"/>
  <c r="A161" i="5"/>
  <c r="A101" i="5"/>
  <c r="A92" i="5"/>
  <c r="A180" i="5"/>
  <c r="A28" i="5"/>
  <c r="A189" i="5"/>
  <c r="A195" i="5"/>
  <c r="A48" i="5"/>
  <c r="A167" i="5"/>
  <c r="A295" i="5"/>
  <c r="A156" i="5"/>
  <c r="A163" i="5"/>
  <c r="A193" i="5"/>
  <c r="A176" i="5"/>
  <c r="A293" i="5"/>
  <c r="A42" i="5"/>
  <c r="A257" i="5"/>
  <c r="A236" i="5"/>
  <c r="A120" i="5"/>
  <c r="A142" i="5"/>
  <c r="A64" i="5"/>
  <c r="A198" i="5"/>
  <c r="A105" i="5"/>
  <c r="A93" i="5"/>
  <c r="A58" i="5"/>
  <c r="A272" i="5"/>
  <c r="A280" i="5"/>
  <c r="A107" i="5"/>
  <c r="A114" i="5"/>
  <c r="A271" i="5"/>
  <c r="A246" i="5"/>
  <c r="A13" i="5"/>
  <c r="A218" i="5"/>
  <c r="A97" i="5"/>
  <c r="A204" i="5"/>
  <c r="A250" i="5"/>
  <c r="A274" i="5"/>
  <c r="A220" i="5"/>
  <c r="A153" i="5"/>
  <c r="A309" i="5"/>
  <c r="A131" i="5"/>
  <c r="A239" i="5"/>
  <c r="A254" i="5"/>
  <c r="A205" i="5"/>
  <c r="A186" i="5"/>
  <c r="A68" i="5"/>
  <c r="A49" i="5"/>
  <c r="A255" i="5"/>
  <c r="A147" i="5"/>
  <c r="A19" i="5"/>
  <c r="A86" i="5"/>
  <c r="A121" i="5"/>
  <c r="A45" i="5"/>
  <c r="A281" i="5"/>
  <c r="A55" i="5"/>
  <c r="A303" i="5"/>
  <c r="A33" i="5"/>
  <c r="A241" i="5"/>
  <c r="A177" i="5"/>
  <c r="A228" i="5"/>
  <c r="A247" i="5"/>
  <c r="A266" i="5"/>
  <c r="A25" i="5"/>
  <c r="A231" i="5"/>
  <c r="A46" i="5"/>
  <c r="A90" i="5"/>
  <c r="A23" i="5"/>
  <c r="A141" i="5"/>
  <c r="A32" i="5"/>
  <c r="A285" i="5"/>
  <c r="A128" i="5"/>
  <c r="A116" i="5"/>
  <c r="A219" i="5"/>
  <c r="A47" i="5"/>
  <c r="A126" i="5"/>
  <c r="A170" i="5"/>
  <c r="A102" i="5"/>
  <c r="A178" i="5"/>
  <c r="A304" i="5"/>
  <c r="A229" i="5"/>
  <c r="A306" i="5"/>
  <c r="A283" i="5"/>
  <c r="A169" i="5"/>
  <c r="A221" i="5"/>
  <c r="A199" i="5"/>
  <c r="A117" i="5"/>
  <c r="A308" i="5"/>
  <c r="A30" i="5"/>
  <c r="A307" i="5"/>
  <c r="A129" i="5"/>
  <c r="A279" i="5"/>
  <c r="A214" i="5"/>
  <c r="A207" i="5"/>
  <c r="A211" i="5"/>
  <c r="A216" i="5"/>
  <c r="A17" i="5"/>
  <c r="A292" i="5"/>
  <c r="A96" i="5"/>
  <c r="A168" i="5"/>
  <c r="A62" i="5"/>
  <c r="A53" i="5"/>
  <c r="A78" i="5"/>
  <c r="A243" i="5"/>
  <c r="A174" i="5"/>
  <c r="A18" i="5"/>
  <c r="A144" i="5"/>
  <c r="A143" i="5"/>
  <c r="A200" i="5"/>
  <c r="A51" i="5"/>
  <c r="A83" i="5"/>
  <c r="A149" i="5"/>
  <c r="A65" i="5"/>
  <c r="A59" i="5"/>
  <c r="A196" i="5"/>
  <c r="A310" i="5"/>
  <c r="A222" i="5"/>
  <c r="A273" i="5"/>
  <c r="A44" i="5"/>
  <c r="C19" i="12"/>
  <c r="X81" i="2"/>
  <c r="Y81" i="2"/>
  <c r="V81" i="2"/>
  <c r="Z81" i="2"/>
  <c r="W81" i="2"/>
  <c r="P82" i="2"/>
  <c r="N83" i="2"/>
  <c r="O82" i="2"/>
  <c r="F103" i="2"/>
  <c r="A104" i="2"/>
  <c r="B103" i="2"/>
  <c r="B19" i="12"/>
  <c r="A19" i="12"/>
  <c r="C27" i="6" l="1"/>
  <c r="J27" i="6" s="1"/>
  <c r="L30" i="7" s="1"/>
  <c r="C70" i="6"/>
  <c r="J70" i="6" s="1"/>
  <c r="L73" i="7" s="1"/>
  <c r="C297" i="6"/>
  <c r="M297" i="6" s="1"/>
  <c r="C188" i="6"/>
  <c r="M188" i="6" s="1"/>
  <c r="C59" i="6"/>
  <c r="J59" i="6" s="1"/>
  <c r="L62" i="7" s="1"/>
  <c r="C40" i="6"/>
  <c r="M40" i="6" s="1"/>
  <c r="C92" i="6"/>
  <c r="C274" i="6"/>
  <c r="L274" i="6" s="1"/>
  <c r="N277" i="7" s="1"/>
  <c r="C119" i="6"/>
  <c r="C122" i="7" s="1"/>
  <c r="BH122" i="7" s="1"/>
  <c r="BI122" i="7" s="1"/>
  <c r="C122" i="6"/>
  <c r="C125" i="7" s="1"/>
  <c r="BH125" i="7" s="1"/>
  <c r="BI125" i="7" s="1"/>
  <c r="C261" i="6"/>
  <c r="J261" i="6" s="1"/>
  <c r="L264" i="7" s="1"/>
  <c r="C49" i="6"/>
  <c r="M49" i="6" s="1"/>
  <c r="C290" i="6"/>
  <c r="L290" i="6" s="1"/>
  <c r="N293" i="7" s="1"/>
  <c r="C159" i="6"/>
  <c r="M159" i="6" s="1"/>
  <c r="C79" i="6"/>
  <c r="C82" i="7" s="1"/>
  <c r="BH82" i="7" s="1"/>
  <c r="BI82" i="7" s="1"/>
  <c r="C181" i="6"/>
  <c r="L181" i="6" s="1"/>
  <c r="N184" i="7" s="1"/>
  <c r="C30" i="6"/>
  <c r="C33" i="7" s="1"/>
  <c r="BH33" i="7" s="1"/>
  <c r="BI33" i="7" s="1"/>
  <c r="C273" i="6"/>
  <c r="J273" i="6" s="1"/>
  <c r="L276" i="7" s="1"/>
  <c r="C131" i="6"/>
  <c r="C134" i="7" s="1"/>
  <c r="BH134" i="7" s="1"/>
  <c r="BI134" i="7" s="1"/>
  <c r="C138" i="6"/>
  <c r="L138" i="6" s="1"/>
  <c r="N141" i="7" s="1"/>
  <c r="C57" i="6"/>
  <c r="L57" i="6" s="1"/>
  <c r="N60" i="7" s="1"/>
  <c r="C209" i="6"/>
  <c r="C212" i="7" s="1"/>
  <c r="BH212" i="7" s="1"/>
  <c r="BI212" i="7" s="1"/>
  <c r="C113" i="6"/>
  <c r="C116" i="7" s="1"/>
  <c r="BH116" i="7" s="1"/>
  <c r="BI116" i="7" s="1"/>
  <c r="C225" i="6"/>
  <c r="C228" i="7" s="1"/>
  <c r="BH228" i="7" s="1"/>
  <c r="BI228" i="7" s="1"/>
  <c r="C142" i="6"/>
  <c r="J142" i="6" s="1"/>
  <c r="L145" i="7" s="1"/>
  <c r="C91" i="6"/>
  <c r="C28" i="6"/>
  <c r="L28" i="6" s="1"/>
  <c r="N31" i="7" s="1"/>
  <c r="C236" i="6"/>
  <c r="L236" i="6" s="1"/>
  <c r="N239" i="7" s="1"/>
  <c r="C279" i="6"/>
  <c r="C282" i="7" s="1"/>
  <c r="BH282" i="7" s="1"/>
  <c r="BI282" i="7" s="1"/>
  <c r="C104" i="6"/>
  <c r="L104" i="6" s="1"/>
  <c r="N107" i="7" s="1"/>
  <c r="C67" i="6"/>
  <c r="C70" i="7" s="1"/>
  <c r="BH70" i="7" s="1"/>
  <c r="BI70" i="7" s="1"/>
  <c r="C135" i="6"/>
  <c r="M135" i="6" s="1"/>
  <c r="C262" i="6"/>
  <c r="C231" i="6"/>
  <c r="L231" i="6" s="1"/>
  <c r="N234" i="7" s="1"/>
  <c r="C270" i="6"/>
  <c r="L270" i="6" s="1"/>
  <c r="N273" i="7" s="1"/>
  <c r="C164" i="6"/>
  <c r="L164" i="6" s="1"/>
  <c r="N167" i="7" s="1"/>
  <c r="C17" i="6"/>
  <c r="L17" i="6" s="1"/>
  <c r="N20" i="7" s="1"/>
  <c r="C117" i="6"/>
  <c r="C120" i="7" s="1"/>
  <c r="BH120" i="7" s="1"/>
  <c r="BI120" i="7" s="1"/>
  <c r="C294" i="6"/>
  <c r="L294" i="6" s="1"/>
  <c r="N297" i="7" s="1"/>
  <c r="C41" i="6"/>
  <c r="M41" i="6" s="1"/>
  <c r="C194" i="6"/>
  <c r="M194" i="6" s="1"/>
  <c r="C305" i="6"/>
  <c r="M305" i="6" s="1"/>
  <c r="C36" i="6"/>
  <c r="J36" i="6" s="1"/>
  <c r="L39" i="7" s="1"/>
  <c r="C65" i="6"/>
  <c r="J65" i="6" s="1"/>
  <c r="L68" i="7" s="1"/>
  <c r="C257" i="6"/>
  <c r="J257" i="6" s="1"/>
  <c r="L260" i="7" s="1"/>
  <c r="C141" i="6"/>
  <c r="C145" i="6"/>
  <c r="J145" i="6" s="1"/>
  <c r="L148" i="7" s="1"/>
  <c r="C176" i="6"/>
  <c r="L176" i="6" s="1"/>
  <c r="N179" i="7" s="1"/>
  <c r="C106" i="6"/>
  <c r="C109" i="7" s="1"/>
  <c r="BH109" i="7" s="1"/>
  <c r="BI109" i="7" s="1"/>
  <c r="C242" i="6"/>
  <c r="L242" i="6" s="1"/>
  <c r="N245" i="7" s="1"/>
  <c r="C144" i="6"/>
  <c r="M144" i="6" s="1"/>
  <c r="C282" i="6"/>
  <c r="M282" i="6" s="1"/>
  <c r="C308" i="6"/>
  <c r="C202" i="6"/>
  <c r="C136" i="6"/>
  <c r="J136" i="6" s="1"/>
  <c r="L139" i="7" s="1"/>
  <c r="C310" i="6"/>
  <c r="J310" i="6" s="1"/>
  <c r="L313" i="7" s="1"/>
  <c r="C89" i="6"/>
  <c r="C92" i="7" s="1"/>
  <c r="BH92" i="7" s="1"/>
  <c r="BI92" i="7" s="1"/>
  <c r="C44" i="6"/>
  <c r="J44" i="6" s="1"/>
  <c r="L47" i="7" s="1"/>
  <c r="C269" i="6"/>
  <c r="M269" i="6" s="1"/>
  <c r="C215" i="6"/>
  <c r="L215" i="6" s="1"/>
  <c r="N218" i="7" s="1"/>
  <c r="C95" i="6"/>
  <c r="L95" i="6" s="1"/>
  <c r="N98" i="7" s="1"/>
  <c r="C134" i="6"/>
  <c r="C184" i="6"/>
  <c r="C54" i="6"/>
  <c r="L54" i="6" s="1"/>
  <c r="N57" i="7" s="1"/>
  <c r="C263" i="6"/>
  <c r="C266" i="7" s="1"/>
  <c r="BH266" i="7" s="1"/>
  <c r="BI266" i="7" s="1"/>
  <c r="C248" i="6"/>
  <c r="C251" i="7" s="1"/>
  <c r="BH251" i="7" s="1"/>
  <c r="BI251" i="7" s="1"/>
  <c r="C80" i="6"/>
  <c r="C83" i="7" s="1"/>
  <c r="BH83" i="7" s="1"/>
  <c r="BI83" i="7" s="1"/>
  <c r="C286" i="6"/>
  <c r="C127" i="6"/>
  <c r="C130" i="7" s="1"/>
  <c r="BH130" i="7" s="1"/>
  <c r="BI130" i="7" s="1"/>
  <c r="C34" i="6"/>
  <c r="J34" i="6" s="1"/>
  <c r="L37" i="7" s="1"/>
  <c r="C193" i="6"/>
  <c r="M193" i="6" s="1"/>
  <c r="C108" i="6"/>
  <c r="M108" i="6" s="1"/>
  <c r="C268" i="6"/>
  <c r="C276" i="6"/>
  <c r="J276" i="6" s="1"/>
  <c r="L279" i="7" s="1"/>
  <c r="C201" i="6"/>
  <c r="M201" i="6" s="1"/>
  <c r="C272" i="6"/>
  <c r="M272" i="6" s="1"/>
  <c r="C133" i="6"/>
  <c r="L133" i="6" s="1"/>
  <c r="N136" i="7" s="1"/>
  <c r="C191" i="6"/>
  <c r="C25" i="6"/>
  <c r="L25" i="6" s="1"/>
  <c r="N28" i="7" s="1"/>
  <c r="C293" i="6"/>
  <c r="C296" i="7" s="1"/>
  <c r="BH296" i="7" s="1"/>
  <c r="BI296" i="7" s="1"/>
  <c r="C39" i="6"/>
  <c r="C22" i="6"/>
  <c r="M22" i="6" s="1"/>
  <c r="C128" i="6"/>
  <c r="C131" i="7" s="1"/>
  <c r="BH131" i="7" s="1"/>
  <c r="BI131" i="7" s="1"/>
  <c r="C66" i="6"/>
  <c r="M66" i="6" s="1"/>
  <c r="C107" i="6"/>
  <c r="C69" i="6"/>
  <c r="J69" i="6" s="1"/>
  <c r="L72" i="7" s="1"/>
  <c r="C153" i="6"/>
  <c r="L153" i="6" s="1"/>
  <c r="N156" i="7" s="1"/>
  <c r="C62" i="6"/>
  <c r="L62" i="6" s="1"/>
  <c r="N65" i="7" s="1"/>
  <c r="C51" i="6"/>
  <c r="J51" i="6" s="1"/>
  <c r="L54" i="7" s="1"/>
  <c r="C300" i="6"/>
  <c r="L300" i="6" s="1"/>
  <c r="N303" i="7" s="1"/>
  <c r="C47" i="6"/>
  <c r="C50" i="7" s="1"/>
  <c r="BH50" i="7" s="1"/>
  <c r="BI50" i="7" s="1"/>
  <c r="C183" i="6"/>
  <c r="C252" i="6"/>
  <c r="C163" i="6"/>
  <c r="C166" i="7" s="1"/>
  <c r="BH166" i="7" s="1"/>
  <c r="BI166" i="7" s="1"/>
  <c r="C110" i="6"/>
  <c r="C113" i="7" s="1"/>
  <c r="BH113" i="7" s="1"/>
  <c r="BI113" i="7" s="1"/>
  <c r="C195" i="6"/>
  <c r="L195" i="6" s="1"/>
  <c r="N198" i="7" s="1"/>
  <c r="C73" i="6"/>
  <c r="C167" i="6"/>
  <c r="L167" i="6" s="1"/>
  <c r="N170" i="7" s="1"/>
  <c r="C217" i="6"/>
  <c r="M217" i="6" s="1"/>
  <c r="C266" i="6"/>
  <c r="C162" i="6"/>
  <c r="J162" i="6" s="1"/>
  <c r="L165" i="7" s="1"/>
  <c r="C280" i="6"/>
  <c r="M280" i="6" s="1"/>
  <c r="C247" i="6"/>
  <c r="L247" i="6" s="1"/>
  <c r="N250" i="7" s="1"/>
  <c r="C55" i="6"/>
  <c r="M55" i="6" s="1"/>
  <c r="C259" i="6"/>
  <c r="C105" i="6"/>
  <c r="C108" i="7" s="1"/>
  <c r="BH108" i="7" s="1"/>
  <c r="BI108" i="7" s="1"/>
  <c r="C19" i="6"/>
  <c r="L19" i="6" s="1"/>
  <c r="N22" i="7" s="1"/>
  <c r="C235" i="6"/>
  <c r="J235" i="6" s="1"/>
  <c r="L238" i="7" s="1"/>
  <c r="C63" i="6"/>
  <c r="L63" i="6" s="1"/>
  <c r="N66" i="7" s="1"/>
  <c r="C216" i="6"/>
  <c r="C219" i="7" s="1"/>
  <c r="BH219" i="7" s="1"/>
  <c r="BI219" i="7" s="1"/>
  <c r="C179" i="6"/>
  <c r="C302" i="6"/>
  <c r="L302" i="6" s="1"/>
  <c r="N305" i="7" s="1"/>
  <c r="C221" i="6"/>
  <c r="M221" i="6" s="1"/>
  <c r="C180" i="6"/>
  <c r="C183" i="7" s="1"/>
  <c r="BH183" i="7" s="1"/>
  <c r="BI183" i="7" s="1"/>
  <c r="C233" i="6"/>
  <c r="C236" i="7" s="1"/>
  <c r="BH236" i="7" s="1"/>
  <c r="BI236" i="7" s="1"/>
  <c r="C147" i="6"/>
  <c r="C150" i="7" s="1"/>
  <c r="BH150" i="7" s="1"/>
  <c r="BI150" i="7" s="1"/>
  <c r="C120" i="6"/>
  <c r="C123" i="7" s="1"/>
  <c r="BH123" i="7" s="1"/>
  <c r="BI123" i="7" s="1"/>
  <c r="C250" i="6"/>
  <c r="C253" i="7" s="1"/>
  <c r="BH253" i="7" s="1"/>
  <c r="BI253" i="7" s="1"/>
  <c r="C112" i="6"/>
  <c r="C115" i="7" s="1"/>
  <c r="BH115" i="7" s="1"/>
  <c r="BI115" i="7" s="1"/>
  <c r="C234" i="6"/>
  <c r="C102" i="6"/>
  <c r="C105" i="7" s="1"/>
  <c r="BH105" i="7" s="1"/>
  <c r="BI105" i="7" s="1"/>
  <c r="C213" i="6"/>
  <c r="C216" i="7" s="1"/>
  <c r="BH216" i="7" s="1"/>
  <c r="BI216" i="7" s="1"/>
  <c r="C312" i="6"/>
  <c r="L312" i="6" s="1"/>
  <c r="N315" i="7" s="1"/>
  <c r="C94" i="6"/>
  <c r="L94" i="6" s="1"/>
  <c r="N97" i="7" s="1"/>
  <c r="C72" i="6"/>
  <c r="L72" i="6" s="1"/>
  <c r="N75" i="7" s="1"/>
  <c r="C146" i="6"/>
  <c r="C149" i="7" s="1"/>
  <c r="BH149" i="7" s="1"/>
  <c r="BI149" i="7" s="1"/>
  <c r="C45" i="6"/>
  <c r="C48" i="7" s="1"/>
  <c r="BH48" i="7" s="1"/>
  <c r="BI48" i="7" s="1"/>
  <c r="C253" i="6"/>
  <c r="C256" i="7" s="1"/>
  <c r="BH256" i="7" s="1"/>
  <c r="BI256" i="7" s="1"/>
  <c r="C199" i="6"/>
  <c r="C307" i="6"/>
  <c r="C310" i="7" s="1"/>
  <c r="BH310" i="7" s="1"/>
  <c r="BI310" i="7" s="1"/>
  <c r="C86" i="6"/>
  <c r="C89" i="7" s="1"/>
  <c r="BH89" i="7" s="1"/>
  <c r="BI89" i="7" s="1"/>
  <c r="C306" i="6"/>
  <c r="M306" i="6" s="1"/>
  <c r="C186" i="6"/>
  <c r="C189" i="7" s="1"/>
  <c r="BH189" i="7" s="1"/>
  <c r="BI189" i="7" s="1"/>
  <c r="C150" i="6"/>
  <c r="L150" i="6" s="1"/>
  <c r="N153" i="7" s="1"/>
  <c r="C24" i="6"/>
  <c r="M24" i="6" s="1"/>
  <c r="C288" i="6"/>
  <c r="C292" i="6"/>
  <c r="M292" i="6" s="1"/>
  <c r="C58" i="6"/>
  <c r="C61" i="7" s="1"/>
  <c r="BH61" i="7" s="1"/>
  <c r="BI61" i="7" s="1"/>
  <c r="C277" i="6"/>
  <c r="J277" i="6" s="1"/>
  <c r="L280" i="7" s="1"/>
  <c r="C137" i="6"/>
  <c r="L137" i="6" s="1"/>
  <c r="N140" i="7" s="1"/>
  <c r="C64" i="6"/>
  <c r="C31" i="6"/>
  <c r="C34" i="7" s="1"/>
  <c r="BH34" i="7" s="1"/>
  <c r="BI34" i="7" s="1"/>
  <c r="C83" i="6"/>
  <c r="L83" i="6" s="1"/>
  <c r="N86" i="7" s="1"/>
  <c r="C16" i="6"/>
  <c r="L16" i="6" s="1"/>
  <c r="N19" i="7" s="1"/>
  <c r="C284" i="6"/>
  <c r="C56" i="6"/>
  <c r="C59" i="7" s="1"/>
  <c r="BH59" i="7" s="1"/>
  <c r="BI59" i="7" s="1"/>
  <c r="C237" i="6"/>
  <c r="L237" i="6" s="1"/>
  <c r="N240" i="7" s="1"/>
  <c r="C185" i="6"/>
  <c r="L185" i="6" s="1"/>
  <c r="N188" i="7" s="1"/>
  <c r="C227" i="6"/>
  <c r="C283" i="6"/>
  <c r="L283" i="6" s="1"/>
  <c r="N286" i="7" s="1"/>
  <c r="C50" i="6"/>
  <c r="C53" i="7" s="1"/>
  <c r="BH53" i="7" s="1"/>
  <c r="BI53" i="7" s="1"/>
  <c r="C90" i="6"/>
  <c r="C93" i="7" s="1"/>
  <c r="BH93" i="7" s="1"/>
  <c r="BI93" i="7" s="1"/>
  <c r="C171" i="6"/>
  <c r="M171" i="6" s="1"/>
  <c r="C187" i="6"/>
  <c r="C190" i="7" s="1"/>
  <c r="BH190" i="7" s="1"/>
  <c r="BI190" i="7" s="1"/>
  <c r="C267" i="6"/>
  <c r="M267" i="6" s="1"/>
  <c r="C229" i="6"/>
  <c r="C85" i="6"/>
  <c r="M85" i="6" s="1"/>
  <c r="C208" i="6"/>
  <c r="L208" i="6" s="1"/>
  <c r="N211" i="7" s="1"/>
  <c r="C254" i="6"/>
  <c r="M254" i="6" s="1"/>
  <c r="C115" i="6"/>
  <c r="C192" i="6"/>
  <c r="C195" i="7" s="1"/>
  <c r="BH195" i="7" s="1"/>
  <c r="BI195" i="7" s="1"/>
  <c r="C245" i="6"/>
  <c r="L245" i="6" s="1"/>
  <c r="N248" i="7" s="1"/>
  <c r="C74" i="6"/>
  <c r="L74" i="6" s="1"/>
  <c r="N77" i="7" s="1"/>
  <c r="C287" i="6"/>
  <c r="C43" i="6"/>
  <c r="L43" i="6" s="1"/>
  <c r="N46" i="7" s="1"/>
  <c r="C149" i="6"/>
  <c r="M149" i="6" s="1"/>
  <c r="C291" i="6"/>
  <c r="M291" i="6" s="1"/>
  <c r="C303" i="6"/>
  <c r="C306" i="7" s="1"/>
  <c r="BH306" i="7" s="1"/>
  <c r="BI306" i="7" s="1"/>
  <c r="C172" i="6"/>
  <c r="C196" i="6"/>
  <c r="C278" i="6"/>
  <c r="C296" i="6"/>
  <c r="J296" i="6" s="1"/>
  <c r="L299" i="7" s="1"/>
  <c r="C211" i="6"/>
  <c r="C218" i="6"/>
  <c r="L218" i="6" s="1"/>
  <c r="N221" i="7" s="1"/>
  <c r="C15" i="6"/>
  <c r="K15" i="6" s="1"/>
  <c r="C53" i="6"/>
  <c r="C56" i="7" s="1"/>
  <c r="BH56" i="7" s="1"/>
  <c r="BI56" i="7" s="1"/>
  <c r="C46" i="6"/>
  <c r="J46" i="6" s="1"/>
  <c r="L49" i="7" s="1"/>
  <c r="C200" i="6"/>
  <c r="J200" i="6" s="1"/>
  <c r="L203" i="7" s="1"/>
  <c r="C26" i="6"/>
  <c r="C29" i="7" s="1"/>
  <c r="BH29" i="7" s="1"/>
  <c r="BI29" i="7" s="1"/>
  <c r="C155" i="6"/>
  <c r="M155" i="6" s="1"/>
  <c r="C21" i="6"/>
  <c r="M21" i="6" s="1"/>
  <c r="C271" i="6"/>
  <c r="L271" i="6" s="1"/>
  <c r="N274" i="7" s="1"/>
  <c r="C190" i="6"/>
  <c r="M190" i="6" s="1"/>
  <c r="C143" i="6"/>
  <c r="C206" i="6"/>
  <c r="J206" i="6" s="1"/>
  <c r="L209" i="7" s="1"/>
  <c r="C13" i="6"/>
  <c r="C16" i="7" s="1"/>
  <c r="BH16" i="7" s="1"/>
  <c r="BI16" i="7" s="1"/>
  <c r="C168" i="6"/>
  <c r="M168" i="6" s="1"/>
  <c r="C309" i="6"/>
  <c r="J309" i="6" s="1"/>
  <c r="L312" i="7" s="1"/>
  <c r="C298" i="6"/>
  <c r="C244" i="6"/>
  <c r="L244" i="6" s="1"/>
  <c r="N247" i="7" s="1"/>
  <c r="C212" i="6"/>
  <c r="J212" i="6" s="1"/>
  <c r="L215" i="7" s="1"/>
  <c r="C61" i="6"/>
  <c r="C275" i="6"/>
  <c r="C157" i="6"/>
  <c r="M157" i="6" s="1"/>
  <c r="C169" i="6"/>
  <c r="J169" i="6" s="1"/>
  <c r="L172" i="7" s="1"/>
  <c r="C281" i="6"/>
  <c r="C75" i="6"/>
  <c r="L75" i="6" s="1"/>
  <c r="N78" i="7" s="1"/>
  <c r="C295" i="6"/>
  <c r="M295" i="6" s="1"/>
  <c r="C166" i="6"/>
  <c r="M166" i="6" s="1"/>
  <c r="C230" i="6"/>
  <c r="C232" i="6"/>
  <c r="C18" i="6"/>
  <c r="M18" i="6" s="1"/>
  <c r="C198" i="6"/>
  <c r="C205" i="6"/>
  <c r="C208" i="7" s="1"/>
  <c r="BH208" i="7" s="1"/>
  <c r="BI208" i="7" s="1"/>
  <c r="C228" i="6"/>
  <c r="L228" i="6" s="1"/>
  <c r="N231" i="7" s="1"/>
  <c r="C246" i="6"/>
  <c r="L246" i="6" s="1"/>
  <c r="N249" i="7" s="1"/>
  <c r="C148" i="6"/>
  <c r="C151" i="7" s="1"/>
  <c r="BH151" i="7" s="1"/>
  <c r="BI151" i="7" s="1"/>
  <c r="C96" i="6"/>
  <c r="M96" i="6" s="1"/>
  <c r="C219" i="6"/>
  <c r="C32" i="6"/>
  <c r="C35" i="7" s="1"/>
  <c r="BH35" i="7" s="1"/>
  <c r="BI35" i="7" s="1"/>
  <c r="C240" i="6"/>
  <c r="C238" i="6"/>
  <c r="C129" i="6"/>
  <c r="C81" i="6"/>
  <c r="C52" i="6"/>
  <c r="L52" i="6" s="1"/>
  <c r="N55" i="7" s="1"/>
  <c r="C151" i="6"/>
  <c r="C35" i="6"/>
  <c r="C165" i="6"/>
  <c r="C289" i="6"/>
  <c r="C292" i="7" s="1"/>
  <c r="BH292" i="7" s="1"/>
  <c r="BI292" i="7" s="1"/>
  <c r="C139" i="6"/>
  <c r="C142" i="7" s="1"/>
  <c r="BH142" i="7" s="1"/>
  <c r="BI142" i="7" s="1"/>
  <c r="C101" i="6"/>
  <c r="L101" i="6" s="1"/>
  <c r="N104" i="7" s="1"/>
  <c r="C82" i="6"/>
  <c r="L82" i="6" s="1"/>
  <c r="N85" i="7" s="1"/>
  <c r="C265" i="6"/>
  <c r="L265" i="6" s="1"/>
  <c r="N268" i="7" s="1"/>
  <c r="C226" i="6"/>
  <c r="J226" i="6" s="1"/>
  <c r="L229" i="7" s="1"/>
  <c r="C118" i="6"/>
  <c r="M118" i="6" s="1"/>
  <c r="C304" i="6"/>
  <c r="J304" i="6" s="1"/>
  <c r="L307" i="7" s="1"/>
  <c r="C48" i="6"/>
  <c r="J48" i="6" s="1"/>
  <c r="L51" i="7" s="1"/>
  <c r="C175" i="6"/>
  <c r="C178" i="7" s="1"/>
  <c r="BH178" i="7" s="1"/>
  <c r="BI178" i="7" s="1"/>
  <c r="C125" i="6"/>
  <c r="J125" i="6" s="1"/>
  <c r="L128" i="7" s="1"/>
  <c r="C189" i="6"/>
  <c r="L189" i="6" s="1"/>
  <c r="N192" i="7" s="1"/>
  <c r="C158" i="6"/>
  <c r="C109" i="6"/>
  <c r="C111" i="6"/>
  <c r="C114" i="7" s="1"/>
  <c r="BH114" i="7" s="1"/>
  <c r="BI114" i="7" s="1"/>
  <c r="C222" i="6"/>
  <c r="L222" i="6" s="1"/>
  <c r="N225" i="7" s="1"/>
  <c r="C161" i="6"/>
  <c r="J161" i="6" s="1"/>
  <c r="L164" i="7" s="1"/>
  <c r="C173" i="6"/>
  <c r="C197" i="6"/>
  <c r="L197" i="6" s="1"/>
  <c r="N200" i="7" s="1"/>
  <c r="C103" i="6"/>
  <c r="L103" i="6" s="1"/>
  <c r="N106" i="7" s="1"/>
  <c r="C87" i="6"/>
  <c r="C14" i="6"/>
  <c r="M14" i="6" s="1"/>
  <c r="C204" i="6"/>
  <c r="J204" i="6" s="1"/>
  <c r="L207" i="7" s="1"/>
  <c r="C60" i="6"/>
  <c r="M60" i="6" s="1"/>
  <c r="C78" i="6"/>
  <c r="C203" i="6"/>
  <c r="J203" i="6" s="1"/>
  <c r="L206" i="7" s="1"/>
  <c r="C182" i="6"/>
  <c r="L182" i="6" s="1"/>
  <c r="N185" i="7" s="1"/>
  <c r="C260" i="6"/>
  <c r="J260" i="6" s="1"/>
  <c r="L263" i="7" s="1"/>
  <c r="C255" i="6"/>
  <c r="C124" i="6"/>
  <c r="L124" i="6" s="1"/>
  <c r="N127" i="7" s="1"/>
  <c r="C301" i="6"/>
  <c r="L301" i="6" s="1"/>
  <c r="N304" i="7" s="1"/>
  <c r="C42" i="6"/>
  <c r="C45" i="7" s="1"/>
  <c r="BH45" i="7" s="1"/>
  <c r="BI45" i="7" s="1"/>
  <c r="C93" i="6"/>
  <c r="L93" i="6" s="1"/>
  <c r="N96" i="7" s="1"/>
  <c r="C20" i="6"/>
  <c r="L20" i="6" s="1"/>
  <c r="N23" i="7" s="1"/>
  <c r="C224" i="6"/>
  <c r="J224" i="6" s="1"/>
  <c r="L227" i="7" s="1"/>
  <c r="C249" i="6"/>
  <c r="L249" i="6" s="1"/>
  <c r="N252" i="7" s="1"/>
  <c r="C130" i="6"/>
  <c r="L130" i="6" s="1"/>
  <c r="N133" i="7" s="1"/>
  <c r="C178" i="6"/>
  <c r="M178" i="6" s="1"/>
  <c r="C76" i="6"/>
  <c r="J76" i="6" s="1"/>
  <c r="L79" i="7" s="1"/>
  <c r="C299" i="6"/>
  <c r="J299" i="6" s="1"/>
  <c r="L302" i="7" s="1"/>
  <c r="C239" i="6"/>
  <c r="M239" i="6" s="1"/>
  <c r="C210" i="6"/>
  <c r="C213" i="7" s="1"/>
  <c r="BH213" i="7" s="1"/>
  <c r="BI213" i="7" s="1"/>
  <c r="C126" i="6"/>
  <c r="M126" i="6" s="1"/>
  <c r="C77" i="6"/>
  <c r="L77" i="6" s="1"/>
  <c r="N80" i="7" s="1"/>
  <c r="C71" i="6"/>
  <c r="M71" i="6" s="1"/>
  <c r="C88" i="6"/>
  <c r="J88" i="6" s="1"/>
  <c r="L91" i="7" s="1"/>
  <c r="C98" i="6"/>
  <c r="J98" i="6" s="1"/>
  <c r="L101" i="7" s="1"/>
  <c r="C223" i="6"/>
  <c r="L223" i="6" s="1"/>
  <c r="N226" i="7" s="1"/>
  <c r="C132" i="6"/>
  <c r="M132" i="6" s="1"/>
  <c r="C154" i="6"/>
  <c r="C157" i="7" s="1"/>
  <c r="BH157" i="7" s="1"/>
  <c r="BI157" i="7" s="1"/>
  <c r="C23" i="6"/>
  <c r="C26" i="7" s="1"/>
  <c r="BH26" i="7" s="1"/>
  <c r="BI26" i="7" s="1"/>
  <c r="C285" i="6"/>
  <c r="L285" i="6" s="1"/>
  <c r="N288" i="7" s="1"/>
  <c r="C241" i="6"/>
  <c r="M241" i="6" s="1"/>
  <c r="C264" i="6"/>
  <c r="J264" i="6" s="1"/>
  <c r="L267" i="7" s="1"/>
  <c r="C207" i="6"/>
  <c r="J207" i="6" s="1"/>
  <c r="L210" i="7" s="1"/>
  <c r="C140" i="6"/>
  <c r="C143" i="7" s="1"/>
  <c r="BH143" i="7" s="1"/>
  <c r="BI143" i="7" s="1"/>
  <c r="C152" i="6"/>
  <c r="C155" i="7" s="1"/>
  <c r="BH155" i="7" s="1"/>
  <c r="BI155" i="7" s="1"/>
  <c r="C160" i="6"/>
  <c r="L160" i="6" s="1"/>
  <c r="N163" i="7" s="1"/>
  <c r="C38" i="6"/>
  <c r="M38" i="6" s="1"/>
  <c r="C214" i="6"/>
  <c r="J214" i="6" s="1"/>
  <c r="L217" i="7" s="1"/>
  <c r="C100" i="6"/>
  <c r="C103" i="7" s="1"/>
  <c r="BH103" i="7" s="1"/>
  <c r="BI103" i="7" s="1"/>
  <c r="C243" i="6"/>
  <c r="C68" i="6"/>
  <c r="L68" i="6" s="1"/>
  <c r="N71" i="7" s="1"/>
  <c r="C114" i="6"/>
  <c r="L114" i="6" s="1"/>
  <c r="N117" i="7" s="1"/>
  <c r="C97" i="6"/>
  <c r="M97" i="6" s="1"/>
  <c r="C177" i="6"/>
  <c r="M177" i="6" s="1"/>
  <c r="C256" i="6"/>
  <c r="L256" i="6" s="1"/>
  <c r="N259" i="7" s="1"/>
  <c r="C220" i="6"/>
  <c r="L220" i="6" s="1"/>
  <c r="N223" i="7" s="1"/>
  <c r="C116" i="6"/>
  <c r="M116" i="6" s="1"/>
  <c r="C170" i="6"/>
  <c r="J170" i="6" s="1"/>
  <c r="L173" i="7" s="1"/>
  <c r="C37" i="6"/>
  <c r="C40" i="7" s="1"/>
  <c r="BH40" i="7" s="1"/>
  <c r="BI40" i="7" s="1"/>
  <c r="C258" i="6"/>
  <c r="L258" i="6" s="1"/>
  <c r="N261" i="7" s="1"/>
  <c r="C84" i="6"/>
  <c r="J84" i="6" s="1"/>
  <c r="L87" i="7" s="1"/>
  <c r="C156" i="6"/>
  <c r="C251" i="6"/>
  <c r="L251" i="6" s="1"/>
  <c r="N254" i="7" s="1"/>
  <c r="C311" i="6"/>
  <c r="C314" i="7" s="1"/>
  <c r="BH314" i="7" s="1"/>
  <c r="BI314" i="7" s="1"/>
  <c r="C121" i="6"/>
  <c r="C174" i="6"/>
  <c r="C177" i="7" s="1"/>
  <c r="BH177" i="7" s="1"/>
  <c r="BI177" i="7" s="1"/>
  <c r="C123" i="6"/>
  <c r="J123" i="6" s="1"/>
  <c r="L126" i="7" s="1"/>
  <c r="C29" i="6"/>
  <c r="C32" i="7" s="1"/>
  <c r="BH32" i="7" s="1"/>
  <c r="BI32" i="7" s="1"/>
  <c r="C99" i="6"/>
  <c r="C33" i="6"/>
  <c r="J33" i="6" s="1"/>
  <c r="L36" i="7" s="1"/>
  <c r="C42" i="7"/>
  <c r="BH42" i="7" s="1"/>
  <c r="BI42" i="7" s="1"/>
  <c r="L209" i="6"/>
  <c r="N212" i="7" s="1"/>
  <c r="C62" i="7"/>
  <c r="BH62" i="7" s="1"/>
  <c r="BI62" i="7" s="1"/>
  <c r="M59" i="6"/>
  <c r="L27" i="6"/>
  <c r="N30" i="7" s="1"/>
  <c r="L142" i="6"/>
  <c r="N145" i="7" s="1"/>
  <c r="J279" i="6"/>
  <c r="L282" i="7" s="1"/>
  <c r="C293" i="7"/>
  <c r="BH293" i="7" s="1"/>
  <c r="BI293" i="7" s="1"/>
  <c r="M119" i="6"/>
  <c r="K17" i="6"/>
  <c r="C136" i="7"/>
  <c r="BH136" i="7" s="1"/>
  <c r="BI136" i="7" s="1"/>
  <c r="C20" i="12"/>
  <c r="P83" i="2"/>
  <c r="O83" i="2"/>
  <c r="N84" i="2"/>
  <c r="Z82" i="2"/>
  <c r="Y82" i="2"/>
  <c r="W82" i="2"/>
  <c r="V82" i="2"/>
  <c r="X82" i="2"/>
  <c r="F104" i="2"/>
  <c r="A105" i="2"/>
  <c r="B104" i="2"/>
  <c r="S78" i="2"/>
  <c r="S76" i="2"/>
  <c r="S79" i="2"/>
  <c r="A20" i="12"/>
  <c r="B20" i="12"/>
  <c r="M263" i="6" l="1"/>
  <c r="M17" i="6"/>
  <c r="J89" i="6"/>
  <c r="L92" i="7" s="1"/>
  <c r="J106" i="6"/>
  <c r="L109" i="7" s="1"/>
  <c r="C260" i="7"/>
  <c r="BH260" i="7" s="1"/>
  <c r="BI260" i="7" s="1"/>
  <c r="J290" i="6"/>
  <c r="L293" i="7" s="1"/>
  <c r="M279" i="6"/>
  <c r="L194" i="6"/>
  <c r="N197" i="7" s="1"/>
  <c r="M27" i="6"/>
  <c r="L59" i="6"/>
  <c r="N62" i="7" s="1"/>
  <c r="M30" i="6"/>
  <c r="L106" i="6"/>
  <c r="N109" i="7" s="1"/>
  <c r="M257" i="6"/>
  <c r="J263" i="6"/>
  <c r="L266" i="7" s="1"/>
  <c r="C30" i="7"/>
  <c r="BH30" i="7" s="1"/>
  <c r="BI30" i="7" s="1"/>
  <c r="J127" i="6"/>
  <c r="L130" i="7" s="1"/>
  <c r="L248" i="6"/>
  <c r="N251" i="7" s="1"/>
  <c r="M117" i="6"/>
  <c r="M242" i="6"/>
  <c r="M122" i="6"/>
  <c r="L44" i="6"/>
  <c r="N47" i="7" s="1"/>
  <c r="M106" i="6"/>
  <c r="C20" i="7"/>
  <c r="BH20" i="7" s="1"/>
  <c r="BI20" i="7" s="1"/>
  <c r="L257" i="6"/>
  <c r="N260" i="7" s="1"/>
  <c r="L119" i="6"/>
  <c r="N122" i="7" s="1"/>
  <c r="L279" i="6"/>
  <c r="N282" i="7" s="1"/>
  <c r="L263" i="6"/>
  <c r="N266" i="7" s="1"/>
  <c r="J181" i="6"/>
  <c r="L184" i="7" s="1"/>
  <c r="L162" i="6"/>
  <c r="N165" i="7" s="1"/>
  <c r="J221" i="6"/>
  <c r="L224" i="7" s="1"/>
  <c r="C165" i="7"/>
  <c r="BH165" i="7" s="1"/>
  <c r="BI165" i="7" s="1"/>
  <c r="C54" i="7"/>
  <c r="BH54" i="7" s="1"/>
  <c r="BI54" i="7" s="1"/>
  <c r="C43" i="7"/>
  <c r="BH43" i="7" s="1"/>
  <c r="BI43" i="7" s="1"/>
  <c r="C308" i="7"/>
  <c r="BH308" i="7" s="1"/>
  <c r="BI308" i="7" s="1"/>
  <c r="L70" i="6"/>
  <c r="N73" i="7" s="1"/>
  <c r="C239" i="7"/>
  <c r="BH239" i="7" s="1"/>
  <c r="BI239" i="7" s="1"/>
  <c r="M138" i="6"/>
  <c r="C277" i="7"/>
  <c r="BH277" i="7" s="1"/>
  <c r="BI277" i="7" s="1"/>
  <c r="C52" i="7"/>
  <c r="BH52" i="7" s="1"/>
  <c r="BI52" i="7" s="1"/>
  <c r="C167" i="7"/>
  <c r="BH167" i="7" s="1"/>
  <c r="BI167" i="7" s="1"/>
  <c r="J274" i="6"/>
  <c r="L277" i="7" s="1"/>
  <c r="L49" i="6"/>
  <c r="N52" i="7" s="1"/>
  <c r="J192" i="6"/>
  <c r="L195" i="7" s="1"/>
  <c r="L40" i="6"/>
  <c r="N43" i="7" s="1"/>
  <c r="J122" i="6"/>
  <c r="L125" i="7" s="1"/>
  <c r="J103" i="6"/>
  <c r="L106" i="7" s="1"/>
  <c r="J40" i="6"/>
  <c r="L43" i="7" s="1"/>
  <c r="L122" i="6"/>
  <c r="N125" i="7" s="1"/>
  <c r="J231" i="6"/>
  <c r="L234" i="7" s="1"/>
  <c r="L34" i="6"/>
  <c r="N37" i="7" s="1"/>
  <c r="M246" i="6"/>
  <c r="M250" i="6"/>
  <c r="M25" i="6"/>
  <c r="J190" i="6"/>
  <c r="L193" i="7" s="1"/>
  <c r="L272" i="6"/>
  <c r="N275" i="7" s="1"/>
  <c r="C250" i="7"/>
  <c r="BH250" i="7" s="1"/>
  <c r="BI250" i="7" s="1"/>
  <c r="M311" i="6"/>
  <c r="M148" i="6"/>
  <c r="C204" i="7"/>
  <c r="BH204" i="7" s="1"/>
  <c r="BI204" i="7" s="1"/>
  <c r="L112" i="6"/>
  <c r="N115" i="7" s="1"/>
  <c r="C252" i="7"/>
  <c r="BH252" i="7" s="1"/>
  <c r="BI252" i="7" s="1"/>
  <c r="M312" i="6"/>
  <c r="M169" i="6"/>
  <c r="C263" i="7"/>
  <c r="BH263" i="7" s="1"/>
  <c r="BI263" i="7" s="1"/>
  <c r="C280" i="7"/>
  <c r="BH280" i="7" s="1"/>
  <c r="BI280" i="7" s="1"/>
  <c r="C86" i="7"/>
  <c r="BH86" i="7" s="1"/>
  <c r="BI86" i="7" s="1"/>
  <c r="C31" i="7"/>
  <c r="BH31" i="7" s="1"/>
  <c r="BI31" i="7" s="1"/>
  <c r="L110" i="6"/>
  <c r="N113" i="7" s="1"/>
  <c r="M220" i="6"/>
  <c r="C63" i="7"/>
  <c r="BH63" i="7" s="1"/>
  <c r="BI63" i="7" s="1"/>
  <c r="M265" i="6"/>
  <c r="C257" i="7"/>
  <c r="BH257" i="7" s="1"/>
  <c r="BI257" i="7" s="1"/>
  <c r="M277" i="6"/>
  <c r="J131" i="6"/>
  <c r="L134" i="7" s="1"/>
  <c r="C22" i="7"/>
  <c r="BH22" i="7" s="1"/>
  <c r="BI22" i="7" s="1"/>
  <c r="C240" i="7"/>
  <c r="BH240" i="7" s="1"/>
  <c r="BI240" i="7" s="1"/>
  <c r="M153" i="6"/>
  <c r="M285" i="6"/>
  <c r="C225" i="7"/>
  <c r="BH225" i="7" s="1"/>
  <c r="BI225" i="7" s="1"/>
  <c r="L47" i="6"/>
  <c r="N50" i="7" s="1"/>
  <c r="C18" i="7"/>
  <c r="BH18" i="7" s="1"/>
  <c r="BI18" i="7" s="1"/>
  <c r="J295" i="6"/>
  <c r="L298" i="7" s="1"/>
  <c r="L254" i="6"/>
  <c r="N257" i="7" s="1"/>
  <c r="J47" i="6"/>
  <c r="L50" i="7" s="1"/>
  <c r="C220" i="7"/>
  <c r="BH220" i="7" s="1"/>
  <c r="BI220" i="7" s="1"/>
  <c r="J86" i="6"/>
  <c r="L89" i="7" s="1"/>
  <c r="C273" i="7"/>
  <c r="BH273" i="7" s="1"/>
  <c r="BI273" i="7" s="1"/>
  <c r="M79" i="6"/>
  <c r="M112" i="6"/>
  <c r="L148" i="6"/>
  <c r="N151" i="7" s="1"/>
  <c r="C270" i="7"/>
  <c r="BH270" i="7" s="1"/>
  <c r="BI270" i="7" s="1"/>
  <c r="M36" i="6"/>
  <c r="M251" i="6"/>
  <c r="M90" i="6"/>
  <c r="J79" i="6"/>
  <c r="L82" i="7" s="1"/>
  <c r="C156" i="7"/>
  <c r="BH156" i="7" s="1"/>
  <c r="BI156" i="7" s="1"/>
  <c r="J168" i="6"/>
  <c r="L171" i="7" s="1"/>
  <c r="M47" i="6"/>
  <c r="L131" i="6"/>
  <c r="N134" i="7" s="1"/>
  <c r="L233" i="6"/>
  <c r="N236" i="7" s="1"/>
  <c r="M19" i="6"/>
  <c r="J217" i="6"/>
  <c r="L220" i="7" s="1"/>
  <c r="J50" i="6"/>
  <c r="L53" i="7" s="1"/>
  <c r="L261" i="6"/>
  <c r="N264" i="7" s="1"/>
  <c r="J289" i="6"/>
  <c r="L292" i="7" s="1"/>
  <c r="M131" i="6"/>
  <c r="L108" i="6"/>
  <c r="N111" i="7" s="1"/>
  <c r="L79" i="6"/>
  <c r="N82" i="7" s="1"/>
  <c r="C297" i="7"/>
  <c r="BH297" i="7" s="1"/>
  <c r="BI297" i="7" s="1"/>
  <c r="M233" i="6"/>
  <c r="J247" i="6"/>
  <c r="L250" i="7" s="1"/>
  <c r="M110" i="6"/>
  <c r="L50" i="6"/>
  <c r="N53" i="7" s="1"/>
  <c r="J45" i="6"/>
  <c r="L48" i="7" s="1"/>
  <c r="J258" i="6"/>
  <c r="L261" i="7" s="1"/>
  <c r="L42" i="6"/>
  <c r="N45" i="7" s="1"/>
  <c r="J189" i="6"/>
  <c r="L192" i="7" s="1"/>
  <c r="L293" i="6"/>
  <c r="N296" i="7" s="1"/>
  <c r="J52" i="6"/>
  <c r="L55" i="7" s="1"/>
  <c r="J291" i="6"/>
  <c r="L294" i="7" s="1"/>
  <c r="L212" i="6"/>
  <c r="N215" i="7" s="1"/>
  <c r="L190" i="6"/>
  <c r="N193" i="7" s="1"/>
  <c r="M86" i="6"/>
  <c r="L299" i="6"/>
  <c r="N302" i="7" s="1"/>
  <c r="C275" i="7"/>
  <c r="BH275" i="7" s="1"/>
  <c r="BI275" i="7" s="1"/>
  <c r="J164" i="6"/>
  <c r="L167" i="7" s="1"/>
  <c r="J108" i="6"/>
  <c r="L111" i="7" s="1"/>
  <c r="J135" i="6"/>
  <c r="L138" i="7" s="1"/>
  <c r="C68" i="7"/>
  <c r="BH68" i="7" s="1"/>
  <c r="BI68" i="7" s="1"/>
  <c r="M236" i="6"/>
  <c r="C313" i="7"/>
  <c r="BH313" i="7" s="1"/>
  <c r="BI313" i="7" s="1"/>
  <c r="M274" i="6"/>
  <c r="J49" i="6"/>
  <c r="L52" i="7" s="1"/>
  <c r="M16" i="6"/>
  <c r="M253" i="6"/>
  <c r="C198" i="7"/>
  <c r="BH198" i="7" s="1"/>
  <c r="BI198" i="7" s="1"/>
  <c r="L264" i="6"/>
  <c r="N267" i="7" s="1"/>
  <c r="M249" i="6"/>
  <c r="M260" i="6"/>
  <c r="M222" i="6"/>
  <c r="M189" i="6"/>
  <c r="J62" i="6"/>
  <c r="L65" i="7" s="1"/>
  <c r="J282" i="6"/>
  <c r="L285" i="7" s="1"/>
  <c r="C99" i="7"/>
  <c r="BH99" i="7" s="1"/>
  <c r="BI99" i="7" s="1"/>
  <c r="C305" i="7"/>
  <c r="BH305" i="7" s="1"/>
  <c r="BI305" i="7" s="1"/>
  <c r="L188" i="6"/>
  <c r="N191" i="7" s="1"/>
  <c r="C80" i="7"/>
  <c r="BH80" i="7" s="1"/>
  <c r="BI80" i="7" s="1"/>
  <c r="M176" i="6"/>
  <c r="M310" i="6"/>
  <c r="C285" i="7"/>
  <c r="BH285" i="7" s="1"/>
  <c r="BI285" i="7" s="1"/>
  <c r="M215" i="6"/>
  <c r="L135" i="6"/>
  <c r="N138" i="7" s="1"/>
  <c r="M65" i="6"/>
  <c r="C44" i="7"/>
  <c r="BH44" i="7" s="1"/>
  <c r="BI44" i="7" s="1"/>
  <c r="M195" i="6"/>
  <c r="C206" i="7"/>
  <c r="BH206" i="7" s="1"/>
  <c r="BI206" i="7" s="1"/>
  <c r="C57" i="7"/>
  <c r="BH57" i="7" s="1"/>
  <c r="BI57" i="7" s="1"/>
  <c r="C179" i="7"/>
  <c r="BH179" i="7" s="1"/>
  <c r="BI179" i="7" s="1"/>
  <c r="C141" i="7"/>
  <c r="BH141" i="7" s="1"/>
  <c r="BI141" i="7" s="1"/>
  <c r="J188" i="6"/>
  <c r="L191" i="7" s="1"/>
  <c r="C184" i="7"/>
  <c r="BH184" i="7" s="1"/>
  <c r="BI184" i="7" s="1"/>
  <c r="J41" i="6"/>
  <c r="L44" i="7" s="1"/>
  <c r="C25" i="7"/>
  <c r="BH25" i="7" s="1"/>
  <c r="BI25" i="7" s="1"/>
  <c r="C188" i="7"/>
  <c r="BH188" i="7" s="1"/>
  <c r="BI188" i="7" s="1"/>
  <c r="M29" i="6"/>
  <c r="L170" i="6"/>
  <c r="N173" i="7" s="1"/>
  <c r="J223" i="6"/>
  <c r="L226" i="7" s="1"/>
  <c r="J42" i="6"/>
  <c r="L45" i="7" s="1"/>
  <c r="J60" i="6"/>
  <c r="L63" i="7" s="1"/>
  <c r="C192" i="7"/>
  <c r="BH192" i="7" s="1"/>
  <c r="BI192" i="7" s="1"/>
  <c r="J293" i="6"/>
  <c r="L296" i="7" s="1"/>
  <c r="C229" i="7"/>
  <c r="BH229" i="7" s="1"/>
  <c r="BI229" i="7" s="1"/>
  <c r="J54" i="6"/>
  <c r="L57" i="7" s="1"/>
  <c r="C218" i="7"/>
  <c r="BH218" i="7" s="1"/>
  <c r="BI218" i="7" s="1"/>
  <c r="M58" i="6"/>
  <c r="L239" i="6"/>
  <c r="N242" i="7" s="1"/>
  <c r="C242" i="7"/>
  <c r="BH242" i="7" s="1"/>
  <c r="BI242" i="7" s="1"/>
  <c r="C244" i="7"/>
  <c r="BH244" i="7" s="1"/>
  <c r="BI244" i="7" s="1"/>
  <c r="M111" i="6"/>
  <c r="L206" i="6"/>
  <c r="N209" i="7" s="1"/>
  <c r="C185" i="7"/>
  <c r="BH185" i="7" s="1"/>
  <c r="BI185" i="7" s="1"/>
  <c r="L191" i="6"/>
  <c r="N194" i="7" s="1"/>
  <c r="C194" i="7"/>
  <c r="BH194" i="7" s="1"/>
  <c r="BI194" i="7" s="1"/>
  <c r="M191" i="6"/>
  <c r="M276" i="6"/>
  <c r="C279" i="7"/>
  <c r="BH279" i="7" s="1"/>
  <c r="BI279" i="7" s="1"/>
  <c r="J134" i="6"/>
  <c r="L137" i="7" s="1"/>
  <c r="M134" i="6"/>
  <c r="J141" i="6"/>
  <c r="L144" i="7" s="1"/>
  <c r="M141" i="6"/>
  <c r="C144" i="7"/>
  <c r="BH144" i="7" s="1"/>
  <c r="BI144" i="7" s="1"/>
  <c r="J91" i="6"/>
  <c r="L94" i="7" s="1"/>
  <c r="M91" i="6"/>
  <c r="L159" i="6"/>
  <c r="N162" i="7" s="1"/>
  <c r="C162" i="7"/>
  <c r="BH162" i="7" s="1"/>
  <c r="BI162" i="7" s="1"/>
  <c r="J92" i="6"/>
  <c r="L95" i="7" s="1"/>
  <c r="L92" i="6"/>
  <c r="N95" i="7" s="1"/>
  <c r="L276" i="6"/>
  <c r="N279" i="7" s="1"/>
  <c r="J305" i="6"/>
  <c r="L308" i="7" s="1"/>
  <c r="C38" i="7"/>
  <c r="BH38" i="7" s="1"/>
  <c r="BI38" i="7" s="1"/>
  <c r="L35" i="6"/>
  <c r="N38" i="7" s="1"/>
  <c r="L219" i="6"/>
  <c r="N222" i="7" s="1"/>
  <c r="C222" i="7"/>
  <c r="BH222" i="7" s="1"/>
  <c r="BI222" i="7" s="1"/>
  <c r="J117" i="6"/>
  <c r="L120" i="7" s="1"/>
  <c r="L273" i="6"/>
  <c r="N276" i="7" s="1"/>
  <c r="L141" i="6"/>
  <c r="N144" i="7" s="1"/>
  <c r="M34" i="6"/>
  <c r="J104" i="6"/>
  <c r="L107" i="7" s="1"/>
  <c r="L91" i="6"/>
  <c r="N94" i="7" s="1"/>
  <c r="M92" i="6"/>
  <c r="L134" i="6"/>
  <c r="N137" i="7" s="1"/>
  <c r="J242" i="6"/>
  <c r="L245" i="7" s="1"/>
  <c r="L117" i="6"/>
  <c r="N120" i="7" s="1"/>
  <c r="C276" i="7"/>
  <c r="BH276" i="7" s="1"/>
  <c r="BI276" i="7" s="1"/>
  <c r="C47" i="7"/>
  <c r="BH47" i="7" s="1"/>
  <c r="BI47" i="7" s="1"/>
  <c r="M104" i="6"/>
  <c r="L305" i="6"/>
  <c r="N308" i="7" s="1"/>
  <c r="C94" i="7"/>
  <c r="BH94" i="7" s="1"/>
  <c r="BI94" i="7" s="1"/>
  <c r="M20" i="6"/>
  <c r="C24" i="7"/>
  <c r="BH24" i="7" s="1"/>
  <c r="BI24" i="7" s="1"/>
  <c r="C95" i="7"/>
  <c r="BH95" i="7" s="1"/>
  <c r="BI95" i="7" s="1"/>
  <c r="C104" i="7"/>
  <c r="BH104" i="7" s="1"/>
  <c r="BI104" i="7" s="1"/>
  <c r="J228" i="6"/>
  <c r="L231" i="7" s="1"/>
  <c r="C137" i="7"/>
  <c r="BH137" i="7" s="1"/>
  <c r="BI137" i="7" s="1"/>
  <c r="J191" i="6"/>
  <c r="L194" i="7" s="1"/>
  <c r="J78" i="6"/>
  <c r="L81" i="7" s="1"/>
  <c r="M78" i="6"/>
  <c r="C90" i="7"/>
  <c r="BH90" i="7" s="1"/>
  <c r="BI90" i="7" s="1"/>
  <c r="L87" i="6"/>
  <c r="N90" i="7" s="1"/>
  <c r="C161" i="7"/>
  <c r="BH161" i="7" s="1"/>
  <c r="BI161" i="7" s="1"/>
  <c r="L158" i="6"/>
  <c r="N161" i="7" s="1"/>
  <c r="J202" i="6"/>
  <c r="L205" i="7" s="1"/>
  <c r="L202" i="6"/>
  <c r="N205" i="7" s="1"/>
  <c r="M202" i="6"/>
  <c r="C205" i="7"/>
  <c r="BH205" i="7" s="1"/>
  <c r="BI205" i="7" s="1"/>
  <c r="J297" i="6"/>
  <c r="L300" i="7" s="1"/>
  <c r="L297" i="6"/>
  <c r="N300" i="7" s="1"/>
  <c r="C245" i="7"/>
  <c r="BH245" i="7" s="1"/>
  <c r="BI245" i="7" s="1"/>
  <c r="J159" i="6"/>
  <c r="L162" i="7" s="1"/>
  <c r="M275" i="6"/>
  <c r="C278" i="7"/>
  <c r="BH278" i="7" s="1"/>
  <c r="BI278" i="7" s="1"/>
  <c r="C301" i="7"/>
  <c r="BH301" i="7" s="1"/>
  <c r="BI301" i="7" s="1"/>
  <c r="M298" i="6"/>
  <c r="C175" i="7"/>
  <c r="BH175" i="7" s="1"/>
  <c r="BI175" i="7" s="1"/>
  <c r="L172" i="6"/>
  <c r="N175" i="7" s="1"/>
  <c r="L227" i="6"/>
  <c r="N230" i="7" s="1"/>
  <c r="C230" i="7"/>
  <c r="BH230" i="7" s="1"/>
  <c r="BI230" i="7" s="1"/>
  <c r="M284" i="6"/>
  <c r="J284" i="6"/>
  <c r="L287" i="7" s="1"/>
  <c r="L284" i="6"/>
  <c r="N287" i="7" s="1"/>
  <c r="J64" i="6"/>
  <c r="L67" i="7" s="1"/>
  <c r="C67" i="7"/>
  <c r="BH67" i="7" s="1"/>
  <c r="BI67" i="7" s="1"/>
  <c r="C295" i="7"/>
  <c r="BH295" i="7" s="1"/>
  <c r="BI295" i="7" s="1"/>
  <c r="L292" i="6"/>
  <c r="N295" i="7" s="1"/>
  <c r="J199" i="6"/>
  <c r="L202" i="7" s="1"/>
  <c r="L199" i="6"/>
  <c r="N202" i="7" s="1"/>
  <c r="L102" i="6"/>
  <c r="N105" i="7" s="1"/>
  <c r="J102" i="6"/>
  <c r="L105" i="7" s="1"/>
  <c r="C66" i="7"/>
  <c r="BH66" i="7" s="1"/>
  <c r="BI66" i="7" s="1"/>
  <c r="J63" i="6"/>
  <c r="L66" i="7" s="1"/>
  <c r="C262" i="7"/>
  <c r="BH262" i="7" s="1"/>
  <c r="BI262" i="7" s="1"/>
  <c r="M259" i="6"/>
  <c r="J73" i="6"/>
  <c r="L76" i="7" s="1"/>
  <c r="M73" i="6"/>
  <c r="L252" i="6"/>
  <c r="N255" i="7" s="1"/>
  <c r="M252" i="6"/>
  <c r="J107" i="6"/>
  <c r="L110" i="7" s="1"/>
  <c r="L107" i="6"/>
  <c r="N110" i="7" s="1"/>
  <c r="C110" i="7"/>
  <c r="BH110" i="7" s="1"/>
  <c r="BI110" i="7" s="1"/>
  <c r="M39" i="6"/>
  <c r="J39" i="6"/>
  <c r="L42" i="7" s="1"/>
  <c r="J133" i="6"/>
  <c r="L136" i="7" s="1"/>
  <c r="M133" i="6"/>
  <c r="M268" i="6"/>
  <c r="J268" i="6"/>
  <c r="L271" i="7" s="1"/>
  <c r="M127" i="6"/>
  <c r="L127" i="6"/>
  <c r="N130" i="7" s="1"/>
  <c r="J95" i="6"/>
  <c r="L98" i="7" s="1"/>
  <c r="C98" i="7"/>
  <c r="BH98" i="7" s="1"/>
  <c r="BI98" i="7" s="1"/>
  <c r="M95" i="6"/>
  <c r="M89" i="6"/>
  <c r="L89" i="6"/>
  <c r="N92" i="7" s="1"/>
  <c r="M308" i="6"/>
  <c r="C311" i="7"/>
  <c r="BH311" i="7" s="1"/>
  <c r="BI311" i="7" s="1"/>
  <c r="C197" i="7"/>
  <c r="BH197" i="7" s="1"/>
  <c r="BI197" i="7" s="1"/>
  <c r="J194" i="6"/>
  <c r="L197" i="7" s="1"/>
  <c r="J262" i="6"/>
  <c r="L265" i="7" s="1"/>
  <c r="M262" i="6"/>
  <c r="M142" i="6"/>
  <c r="C145" i="7"/>
  <c r="BH145" i="7" s="1"/>
  <c r="BI145" i="7" s="1"/>
  <c r="M57" i="6"/>
  <c r="J57" i="6"/>
  <c r="L60" i="7" s="1"/>
  <c r="C60" i="7"/>
  <c r="BH60" i="7" s="1"/>
  <c r="BI60" i="7" s="1"/>
  <c r="C300" i="7"/>
  <c r="BH300" i="7" s="1"/>
  <c r="BI300" i="7" s="1"/>
  <c r="C73" i="7"/>
  <c r="BH73" i="7" s="1"/>
  <c r="BI73" i="7" s="1"/>
  <c r="M70" i="6"/>
  <c r="J209" i="6"/>
  <c r="L212" i="7" s="1"/>
  <c r="M209" i="6"/>
  <c r="M261" i="6"/>
  <c r="C264" i="7"/>
  <c r="BH264" i="7" s="1"/>
  <c r="BI264" i="7" s="1"/>
  <c r="M273" i="6"/>
  <c r="M44" i="6"/>
  <c r="C37" i="7"/>
  <c r="BH37" i="7" s="1"/>
  <c r="BI37" i="7" s="1"/>
  <c r="C107" i="7"/>
  <c r="BH107" i="7" s="1"/>
  <c r="BI107" i="7" s="1"/>
  <c r="M248" i="6"/>
  <c r="J248" i="6"/>
  <c r="L251" i="7" s="1"/>
  <c r="L156" i="6"/>
  <c r="N159" i="7" s="1"/>
  <c r="J156" i="6"/>
  <c r="L159" i="7" s="1"/>
  <c r="J173" i="6"/>
  <c r="L176" i="7" s="1"/>
  <c r="C176" i="7"/>
  <c r="BH176" i="7" s="1"/>
  <c r="BI176" i="7" s="1"/>
  <c r="M175" i="6"/>
  <c r="J175" i="6"/>
  <c r="L178" i="7" s="1"/>
  <c r="L151" i="6"/>
  <c r="N154" i="7" s="1"/>
  <c r="J151" i="6"/>
  <c r="L154" i="7" s="1"/>
  <c r="L281" i="6"/>
  <c r="N284" i="7" s="1"/>
  <c r="C284" i="7"/>
  <c r="BH284" i="7" s="1"/>
  <c r="BI284" i="7" s="1"/>
  <c r="C64" i="7"/>
  <c r="BH64" i="7" s="1"/>
  <c r="BI64" i="7" s="1"/>
  <c r="J61" i="6"/>
  <c r="L64" i="7" s="1"/>
  <c r="J143" i="6"/>
  <c r="L146" i="7" s="1"/>
  <c r="C146" i="7"/>
  <c r="BH146" i="7" s="1"/>
  <c r="BI146" i="7" s="1"/>
  <c r="C158" i="7"/>
  <c r="BH158" i="7" s="1"/>
  <c r="BI158" i="7" s="1"/>
  <c r="J155" i="6"/>
  <c r="L158" i="7" s="1"/>
  <c r="L229" i="6"/>
  <c r="N232" i="7" s="1"/>
  <c r="M229" i="6"/>
  <c r="M137" i="6"/>
  <c r="J137" i="6"/>
  <c r="L140" i="7" s="1"/>
  <c r="J234" i="6"/>
  <c r="L237" i="7" s="1"/>
  <c r="L234" i="6"/>
  <c r="N237" i="7" s="1"/>
  <c r="C238" i="7"/>
  <c r="BH238" i="7" s="1"/>
  <c r="BI238" i="7" s="1"/>
  <c r="L235" i="6"/>
  <c r="N238" i="7" s="1"/>
  <c r="J55" i="6"/>
  <c r="L58" i="7" s="1"/>
  <c r="C58" i="7"/>
  <c r="BH58" i="7" s="1"/>
  <c r="BI58" i="7" s="1"/>
  <c r="M266" i="6"/>
  <c r="J266" i="6"/>
  <c r="L269" i="7" s="1"/>
  <c r="C186" i="7"/>
  <c r="BH186" i="7" s="1"/>
  <c r="BI186" i="7" s="1"/>
  <c r="J183" i="6"/>
  <c r="L186" i="7" s="1"/>
  <c r="M62" i="6"/>
  <c r="C65" i="7"/>
  <c r="BH65" i="7" s="1"/>
  <c r="BI65" i="7" s="1"/>
  <c r="L66" i="6"/>
  <c r="N69" i="7" s="1"/>
  <c r="C69" i="7"/>
  <c r="BH69" i="7" s="1"/>
  <c r="BI69" i="7" s="1"/>
  <c r="J311" i="6"/>
  <c r="L314" i="7" s="1"/>
  <c r="M258" i="6"/>
  <c r="L140" i="6"/>
  <c r="N143" i="7" s="1"/>
  <c r="C288" i="7"/>
  <c r="BH288" i="7" s="1"/>
  <c r="BI288" i="7" s="1"/>
  <c r="J249" i="6"/>
  <c r="L252" i="7" s="1"/>
  <c r="M42" i="6"/>
  <c r="L260" i="6"/>
  <c r="N263" i="7" s="1"/>
  <c r="L60" i="6"/>
  <c r="N63" i="7" s="1"/>
  <c r="J222" i="6"/>
  <c r="L225" i="7" s="1"/>
  <c r="M15" i="6"/>
  <c r="L26" i="6"/>
  <c r="N29" i="7" s="1"/>
  <c r="L145" i="6"/>
  <c r="N148" i="7" s="1"/>
  <c r="C191" i="7"/>
  <c r="BH191" i="7" s="1"/>
  <c r="BI191" i="7" s="1"/>
  <c r="J67" i="6"/>
  <c r="L70" i="7" s="1"/>
  <c r="M185" i="6"/>
  <c r="C97" i="7"/>
  <c r="BH97" i="7" s="1"/>
  <c r="BI97" i="7" s="1"/>
  <c r="M235" i="6"/>
  <c r="C269" i="7"/>
  <c r="BH269" i="7" s="1"/>
  <c r="BI269" i="7" s="1"/>
  <c r="J29" i="6"/>
  <c r="L32" i="7" s="1"/>
  <c r="M140" i="6"/>
  <c r="J285" i="6"/>
  <c r="L288" i="7" s="1"/>
  <c r="C200" i="7"/>
  <c r="BH200" i="7" s="1"/>
  <c r="BI200" i="7" s="1"/>
  <c r="J158" i="6"/>
  <c r="L161" i="7" s="1"/>
  <c r="C51" i="7"/>
  <c r="BH51" i="7" s="1"/>
  <c r="BI51" i="7" s="1"/>
  <c r="J66" i="6"/>
  <c r="L69" i="7" s="1"/>
  <c r="L280" i="6"/>
  <c r="N283" i="7" s="1"/>
  <c r="M293" i="6"/>
  <c r="M226" i="6"/>
  <c r="M281" i="6"/>
  <c r="J113" i="6"/>
  <c r="L116" i="7" s="1"/>
  <c r="C106" i="7"/>
  <c r="BH106" i="7" s="1"/>
  <c r="BI106" i="7" s="1"/>
  <c r="M103" i="6"/>
  <c r="L90" i="6"/>
  <c r="N93" i="7" s="1"/>
  <c r="M56" i="6"/>
  <c r="C19" i="7"/>
  <c r="BH19" i="7" s="1"/>
  <c r="BI19" i="7" s="1"/>
  <c r="L224" i="6"/>
  <c r="N227" i="7" s="1"/>
  <c r="C164" i="7"/>
  <c r="BH164" i="7" s="1"/>
  <c r="BI164" i="7" s="1"/>
  <c r="C85" i="7"/>
  <c r="BH85" i="7" s="1"/>
  <c r="BI85" i="7" s="1"/>
  <c r="M139" i="6"/>
  <c r="M151" i="6"/>
  <c r="M303" i="6"/>
  <c r="C152" i="7"/>
  <c r="BH152" i="7" s="1"/>
  <c r="BI152" i="7" s="1"/>
  <c r="C312" i="7"/>
  <c r="BH312" i="7" s="1"/>
  <c r="BI312" i="7" s="1"/>
  <c r="L143" i="6"/>
  <c r="N146" i="7" s="1"/>
  <c r="L97" i="6"/>
  <c r="N100" i="7" s="1"/>
  <c r="C196" i="7"/>
  <c r="BH196" i="7" s="1"/>
  <c r="BI196" i="7" s="1"/>
  <c r="C79" i="7"/>
  <c r="BH79" i="7" s="1"/>
  <c r="BI79" i="7" s="1"/>
  <c r="C307" i="7"/>
  <c r="BH307" i="7" s="1"/>
  <c r="BI307" i="7" s="1"/>
  <c r="C298" i="7"/>
  <c r="BH298" i="7" s="1"/>
  <c r="BI298" i="7" s="1"/>
  <c r="L144" i="6"/>
  <c r="N147" i="7" s="1"/>
  <c r="C21" i="7"/>
  <c r="BH21" i="7" s="1"/>
  <c r="BI21" i="7" s="1"/>
  <c r="J300" i="6"/>
  <c r="L303" i="7" s="1"/>
  <c r="L146" i="6"/>
  <c r="N149" i="7" s="1"/>
  <c r="L178" i="6"/>
  <c r="N181" i="7" s="1"/>
  <c r="L187" i="6"/>
  <c r="N190" i="7" s="1"/>
  <c r="M304" i="6"/>
  <c r="C221" i="7"/>
  <c r="BH221" i="7" s="1"/>
  <c r="BI221" i="7" s="1"/>
  <c r="J157" i="6"/>
  <c r="L160" i="7" s="1"/>
  <c r="M180" i="6"/>
  <c r="M167" i="6"/>
  <c r="M82" i="6"/>
  <c r="M32" i="6"/>
  <c r="L157" i="6"/>
  <c r="N160" i="7" s="1"/>
  <c r="C247" i="7"/>
  <c r="BH247" i="7" s="1"/>
  <c r="BI247" i="7" s="1"/>
  <c r="J208" i="6"/>
  <c r="L211" i="7" s="1"/>
  <c r="L200" i="6"/>
  <c r="N203" i="7" s="1"/>
  <c r="L269" i="6"/>
  <c r="N272" i="7" s="1"/>
  <c r="J271" i="6"/>
  <c r="L274" i="7" s="1"/>
  <c r="J283" i="6"/>
  <c r="L286" i="7" s="1"/>
  <c r="L31" i="6"/>
  <c r="N34" i="7" s="1"/>
  <c r="J216" i="6"/>
  <c r="L219" i="7" s="1"/>
  <c r="L163" i="6"/>
  <c r="N166" i="7" s="1"/>
  <c r="J32" i="6"/>
  <c r="L35" i="7" s="1"/>
  <c r="L18" i="6"/>
  <c r="N21" i="7" s="1"/>
  <c r="M75" i="6"/>
  <c r="J244" i="6"/>
  <c r="L247" i="7" s="1"/>
  <c r="M200" i="6"/>
  <c r="L80" i="6"/>
  <c r="N83" i="7" s="1"/>
  <c r="C139" i="7"/>
  <c r="BH139" i="7" s="1"/>
  <c r="BI139" i="7" s="1"/>
  <c r="J213" i="6"/>
  <c r="L216" i="7" s="1"/>
  <c r="L69" i="6"/>
  <c r="N72" i="7" s="1"/>
  <c r="J227" i="6"/>
  <c r="L230" i="7" s="1"/>
  <c r="L64" i="6"/>
  <c r="N67" i="7" s="1"/>
  <c r="L58" i="6"/>
  <c r="N61" i="7" s="1"/>
  <c r="M199" i="6"/>
  <c r="C75" i="7"/>
  <c r="BH75" i="7" s="1"/>
  <c r="BI75" i="7" s="1"/>
  <c r="M33" i="6"/>
  <c r="J160" i="6"/>
  <c r="L163" i="7" s="1"/>
  <c r="M207" i="6"/>
  <c r="M124" i="6"/>
  <c r="L204" i="6"/>
  <c r="N207" i="7" s="1"/>
  <c r="L161" i="6"/>
  <c r="N164" i="7" s="1"/>
  <c r="M125" i="6"/>
  <c r="J150" i="6"/>
  <c r="L153" i="7" s="1"/>
  <c r="J171" i="6"/>
  <c r="L174" i="7" s="1"/>
  <c r="M105" i="6"/>
  <c r="J118" i="6"/>
  <c r="L121" i="7" s="1"/>
  <c r="J82" i="6"/>
  <c r="L85" i="7" s="1"/>
  <c r="M172" i="6"/>
  <c r="L96" i="6"/>
  <c r="N99" i="7" s="1"/>
  <c r="J246" i="6"/>
  <c r="L249" i="7" s="1"/>
  <c r="J205" i="6"/>
  <c r="L208" i="7" s="1"/>
  <c r="J43" i="6"/>
  <c r="L46" i="7" s="1"/>
  <c r="M245" i="6"/>
  <c r="L192" i="6"/>
  <c r="N195" i="7" s="1"/>
  <c r="C160" i="7"/>
  <c r="BH160" i="7" s="1"/>
  <c r="BI160" i="7" s="1"/>
  <c r="M244" i="6"/>
  <c r="L309" i="6"/>
  <c r="N312" i="7" s="1"/>
  <c r="C203" i="7"/>
  <c r="BH203" i="7" s="1"/>
  <c r="BI203" i="7" s="1"/>
  <c r="J120" i="6"/>
  <c r="L123" i="7" s="1"/>
  <c r="L73" i="6"/>
  <c r="N76" i="7" s="1"/>
  <c r="M301" i="6"/>
  <c r="J121" i="6"/>
  <c r="L124" i="7" s="1"/>
  <c r="M121" i="6"/>
  <c r="L152" i="6"/>
  <c r="N155" i="7" s="1"/>
  <c r="J152" i="6"/>
  <c r="L155" i="7" s="1"/>
  <c r="J241" i="6"/>
  <c r="L244" i="7" s="1"/>
  <c r="L241" i="6"/>
  <c r="N244" i="7" s="1"/>
  <c r="J132" i="6"/>
  <c r="L135" i="7" s="1"/>
  <c r="C135" i="7"/>
  <c r="BH135" i="7" s="1"/>
  <c r="BI135" i="7" s="1"/>
  <c r="J130" i="6"/>
  <c r="L133" i="7" s="1"/>
  <c r="M130" i="6"/>
  <c r="J93" i="6"/>
  <c r="L96" i="7" s="1"/>
  <c r="M93" i="6"/>
  <c r="J255" i="6"/>
  <c r="L258" i="7" s="1"/>
  <c r="M255" i="6"/>
  <c r="L296" i="6"/>
  <c r="N299" i="7" s="1"/>
  <c r="C299" i="7"/>
  <c r="BH299" i="7" s="1"/>
  <c r="BI299" i="7" s="1"/>
  <c r="L115" i="6"/>
  <c r="N118" i="7" s="1"/>
  <c r="J115" i="6"/>
  <c r="L118" i="7" s="1"/>
  <c r="L288" i="6"/>
  <c r="N291" i="7" s="1"/>
  <c r="M288" i="6"/>
  <c r="C309" i="7"/>
  <c r="BH309" i="7" s="1"/>
  <c r="BI309" i="7" s="1"/>
  <c r="L306" i="6"/>
  <c r="N309" i="7" s="1"/>
  <c r="J147" i="6"/>
  <c r="L150" i="7" s="1"/>
  <c r="L147" i="6"/>
  <c r="N150" i="7" s="1"/>
  <c r="M147" i="6"/>
  <c r="L268" i="6"/>
  <c r="N271" i="7" s="1"/>
  <c r="C271" i="7"/>
  <c r="BH271" i="7" s="1"/>
  <c r="BI271" i="7" s="1"/>
  <c r="J308" i="6"/>
  <c r="L311" i="7" s="1"/>
  <c r="L308" i="6"/>
  <c r="N311" i="7" s="1"/>
  <c r="C265" i="7"/>
  <c r="BH265" i="7" s="1"/>
  <c r="BI265" i="7" s="1"/>
  <c r="L262" i="6"/>
  <c r="N265" i="7" s="1"/>
  <c r="J30" i="6"/>
  <c r="L33" i="7" s="1"/>
  <c r="L30" i="6"/>
  <c r="N33" i="7" s="1"/>
  <c r="L99" i="6"/>
  <c r="N102" i="7" s="1"/>
  <c r="M99" i="6"/>
  <c r="M179" i="6"/>
  <c r="C182" i="7"/>
  <c r="BH182" i="7" s="1"/>
  <c r="BI182" i="7" s="1"/>
  <c r="M128" i="6"/>
  <c r="L128" i="6"/>
  <c r="N131" i="7" s="1"/>
  <c r="J272" i="6"/>
  <c r="L275" i="7" s="1"/>
  <c r="J176" i="6"/>
  <c r="L179" i="7" s="1"/>
  <c r="M164" i="6"/>
  <c r="J138" i="6"/>
  <c r="L141" i="7" s="1"/>
  <c r="C111" i="7"/>
  <c r="BH111" i="7" s="1"/>
  <c r="BI111" i="7" s="1"/>
  <c r="J236" i="6"/>
  <c r="L239" i="7" s="1"/>
  <c r="L310" i="6"/>
  <c r="N313" i="7" s="1"/>
  <c r="J185" i="6"/>
  <c r="L188" i="7" s="1"/>
  <c r="J237" i="6"/>
  <c r="L240" i="7" s="1"/>
  <c r="J153" i="6"/>
  <c r="L156" i="7" s="1"/>
  <c r="J99" i="6"/>
  <c r="L102" i="7" s="1"/>
  <c r="L311" i="6"/>
  <c r="N314" i="7" s="1"/>
  <c r="L86" i="6"/>
  <c r="N89" i="7" s="1"/>
  <c r="J179" i="6"/>
  <c r="L182" i="7" s="1"/>
  <c r="L291" i="6"/>
  <c r="N294" i="7" s="1"/>
  <c r="J229" i="6"/>
  <c r="L232" i="7" s="1"/>
  <c r="L84" i="6"/>
  <c r="N87" i="7" s="1"/>
  <c r="M84" i="6"/>
  <c r="C102" i="7"/>
  <c r="BH102" i="7" s="1"/>
  <c r="BI102" i="7" s="1"/>
  <c r="C87" i="7"/>
  <c r="BH87" i="7" s="1"/>
  <c r="BI87" i="7" s="1"/>
  <c r="J24" i="6"/>
  <c r="L27" i="7" s="1"/>
  <c r="C27" i="7"/>
  <c r="BH27" i="7" s="1"/>
  <c r="BI27" i="7" s="1"/>
  <c r="L24" i="6"/>
  <c r="N27" i="7" s="1"/>
  <c r="A24" i="6"/>
  <c r="E24" i="6" s="1"/>
  <c r="G27" i="7" s="1"/>
  <c r="C289" i="7"/>
  <c r="BH289" i="7" s="1"/>
  <c r="BI289" i="7" s="1"/>
  <c r="J286" i="6"/>
  <c r="L289" i="7" s="1"/>
  <c r="M225" i="6"/>
  <c r="L225" i="6"/>
  <c r="N228" i="7" s="1"/>
  <c r="C138" i="7"/>
  <c r="BH138" i="7" s="1"/>
  <c r="BI138" i="7" s="1"/>
  <c r="M181" i="6"/>
  <c r="J119" i="6"/>
  <c r="L122" i="7" s="1"/>
  <c r="L65" i="6"/>
  <c r="N68" i="7" s="1"/>
  <c r="M290" i="6"/>
  <c r="L41" i="6"/>
  <c r="N44" i="7" s="1"/>
  <c r="L179" i="6"/>
  <c r="N182" i="7" s="1"/>
  <c r="J112" i="6"/>
  <c r="L115" i="7" s="1"/>
  <c r="J233" i="6"/>
  <c r="L236" i="7" s="1"/>
  <c r="K19" i="6"/>
  <c r="M22" i="7" s="1"/>
  <c r="M247" i="6"/>
  <c r="L217" i="6"/>
  <c r="N220" i="7" s="1"/>
  <c r="J110" i="6"/>
  <c r="L113" i="7" s="1"/>
  <c r="J90" i="6"/>
  <c r="L93" i="7" s="1"/>
  <c r="M50" i="6"/>
  <c r="M83" i="6"/>
  <c r="C140" i="7"/>
  <c r="BH140" i="7" s="1"/>
  <c r="BI140" i="7" s="1"/>
  <c r="J288" i="6"/>
  <c r="L291" i="7" s="1"/>
  <c r="L253" i="6"/>
  <c r="N256" i="7" s="1"/>
  <c r="L45" i="6"/>
  <c r="N48" i="7" s="1"/>
  <c r="M94" i="6"/>
  <c r="M234" i="6"/>
  <c r="C28" i="7"/>
  <c r="BH28" i="7" s="1"/>
  <c r="BI28" i="7" s="1"/>
  <c r="C124" i="7"/>
  <c r="BH124" i="7" s="1"/>
  <c r="BI124" i="7" s="1"/>
  <c r="C117" i="7"/>
  <c r="BH117" i="7" s="1"/>
  <c r="BI117" i="7" s="1"/>
  <c r="M152" i="6"/>
  <c r="L132" i="6"/>
  <c r="N135" i="7" s="1"/>
  <c r="L255" i="6"/>
  <c r="N258" i="7" s="1"/>
  <c r="L78" i="6"/>
  <c r="N81" i="7" s="1"/>
  <c r="M161" i="6"/>
  <c r="M158" i="6"/>
  <c r="M48" i="6"/>
  <c r="C315" i="7"/>
  <c r="BH315" i="7" s="1"/>
  <c r="BI315" i="7" s="1"/>
  <c r="M53" i="6"/>
  <c r="J265" i="6"/>
  <c r="L268" i="7" s="1"/>
  <c r="L289" i="6"/>
  <c r="N292" i="7" s="1"/>
  <c r="L303" i="6"/>
  <c r="N306" i="7" s="1"/>
  <c r="C172" i="7"/>
  <c r="BH172" i="7" s="1"/>
  <c r="BI172" i="7" s="1"/>
  <c r="C118" i="7"/>
  <c r="BH118" i="7" s="1"/>
  <c r="BI118" i="7" s="1"/>
  <c r="M212" i="6"/>
  <c r="J254" i="6"/>
  <c r="L257" i="7" s="1"/>
  <c r="L168" i="6"/>
  <c r="N171" i="7" s="1"/>
  <c r="J267" i="6"/>
  <c r="L270" i="7" s="1"/>
  <c r="J26" i="6"/>
  <c r="L29" i="7" s="1"/>
  <c r="M54" i="6"/>
  <c r="J215" i="6"/>
  <c r="L218" i="7" s="1"/>
  <c r="J302" i="6"/>
  <c r="L305" i="7" s="1"/>
  <c r="J306" i="6"/>
  <c r="L309" i="7" s="1"/>
  <c r="M237" i="6"/>
  <c r="K16" i="6"/>
  <c r="J83" i="6"/>
  <c r="L86" i="7" s="1"/>
  <c r="C291" i="7"/>
  <c r="BH291" i="7" s="1"/>
  <c r="BI291" i="7" s="1"/>
  <c r="J253" i="6"/>
  <c r="L256" i="7" s="1"/>
  <c r="M45" i="6"/>
  <c r="J94" i="6"/>
  <c r="L97" i="7" s="1"/>
  <c r="C237" i="7"/>
  <c r="BH237" i="7" s="1"/>
  <c r="BI237" i="7" s="1"/>
  <c r="L55" i="6"/>
  <c r="N58" i="7" s="1"/>
  <c r="L266" i="6"/>
  <c r="N269" i="7" s="1"/>
  <c r="J195" i="6"/>
  <c r="L198" i="7" s="1"/>
  <c r="J128" i="6"/>
  <c r="L131" i="7" s="1"/>
  <c r="J25" i="6"/>
  <c r="L28" i="7" s="1"/>
  <c r="L29" i="6"/>
  <c r="N32" i="7" s="1"/>
  <c r="L121" i="6"/>
  <c r="N124" i="7" s="1"/>
  <c r="C261" i="7"/>
  <c r="BH261" i="7" s="1"/>
  <c r="BI261" i="7" s="1"/>
  <c r="J116" i="6"/>
  <c r="L119" i="7" s="1"/>
  <c r="J140" i="6"/>
  <c r="L143" i="7" s="1"/>
  <c r="C133" i="7"/>
  <c r="BH133" i="7" s="1"/>
  <c r="BI133" i="7" s="1"/>
  <c r="C96" i="7"/>
  <c r="BH96" i="7" s="1"/>
  <c r="BI96" i="7" s="1"/>
  <c r="C258" i="7"/>
  <c r="BH258" i="7" s="1"/>
  <c r="BI258" i="7" s="1"/>
  <c r="C81" i="7"/>
  <c r="BH81" i="7" s="1"/>
  <c r="BI81" i="7" s="1"/>
  <c r="L48" i="6"/>
  <c r="N51" i="7" s="1"/>
  <c r="L183" i="6"/>
  <c r="N186" i="7" s="1"/>
  <c r="J225" i="6"/>
  <c r="L228" i="7" s="1"/>
  <c r="J312" i="6"/>
  <c r="L315" i="7" s="1"/>
  <c r="L282" i="6"/>
  <c r="N285" i="7" s="1"/>
  <c r="L304" i="6"/>
  <c r="N307" i="7" s="1"/>
  <c r="C268" i="7"/>
  <c r="BH268" i="7" s="1"/>
  <c r="BI268" i="7" s="1"/>
  <c r="L15" i="6"/>
  <c r="N18" i="7" s="1"/>
  <c r="M289" i="6"/>
  <c r="M296" i="6"/>
  <c r="L32" i="6"/>
  <c r="N35" i="7" s="1"/>
  <c r="J148" i="6"/>
  <c r="L151" i="7" s="1"/>
  <c r="J303" i="6"/>
  <c r="L306" i="7" s="1"/>
  <c r="C249" i="7"/>
  <c r="BH249" i="7" s="1"/>
  <c r="BI249" i="7" s="1"/>
  <c r="C294" i="7"/>
  <c r="BH294" i="7" s="1"/>
  <c r="BI294" i="7" s="1"/>
  <c r="K18" i="6"/>
  <c r="A18" i="6" s="1"/>
  <c r="L295" i="6"/>
  <c r="N298" i="7" s="1"/>
  <c r="L169" i="6"/>
  <c r="N172" i="7" s="1"/>
  <c r="M115" i="6"/>
  <c r="C215" i="7"/>
  <c r="BH215" i="7" s="1"/>
  <c r="BI215" i="7" s="1"/>
  <c r="C171" i="7"/>
  <c r="BH171" i="7" s="1"/>
  <c r="BI171" i="7" s="1"/>
  <c r="C232" i="7"/>
  <c r="BH232" i="7" s="1"/>
  <c r="BI232" i="7" s="1"/>
  <c r="C193" i="7"/>
  <c r="BH193" i="7" s="1"/>
  <c r="BI193" i="7" s="1"/>
  <c r="L267" i="6"/>
  <c r="N270" i="7" s="1"/>
  <c r="M26" i="6"/>
  <c r="M183" i="6"/>
  <c r="M302" i="6"/>
  <c r="L286" i="6"/>
  <c r="N289" i="7" s="1"/>
  <c r="M286" i="6"/>
  <c r="L277" i="6"/>
  <c r="N280" i="7" s="1"/>
  <c r="M87" i="6"/>
  <c r="M109" i="6"/>
  <c r="C112" i="7"/>
  <c r="BH112" i="7" s="1"/>
  <c r="BI112" i="7" s="1"/>
  <c r="C187" i="7"/>
  <c r="BH187" i="7" s="1"/>
  <c r="BI187" i="7" s="1"/>
  <c r="J184" i="6"/>
  <c r="L187" i="7" s="1"/>
  <c r="J80" i="6"/>
  <c r="L83" i="7" s="1"/>
  <c r="C303" i="7"/>
  <c r="BH303" i="7" s="1"/>
  <c r="BI303" i="7" s="1"/>
  <c r="M283" i="6"/>
  <c r="J56" i="6"/>
  <c r="L59" i="7" s="1"/>
  <c r="M256" i="6"/>
  <c r="C71" i="7"/>
  <c r="BH71" i="7" s="1"/>
  <c r="BI71" i="7" s="1"/>
  <c r="L23" i="6"/>
  <c r="N26" i="7" s="1"/>
  <c r="L250" i="6"/>
  <c r="N253" i="7" s="1"/>
  <c r="C170" i="7"/>
  <c r="BH170" i="7" s="1"/>
  <c r="BI170" i="7" s="1"/>
  <c r="M163" i="6"/>
  <c r="C121" i="7"/>
  <c r="BH121" i="7" s="1"/>
  <c r="BI121" i="7" s="1"/>
  <c r="M35" i="6"/>
  <c r="J298" i="6"/>
  <c r="L301" i="7" s="1"/>
  <c r="M208" i="6"/>
  <c r="C234" i="7"/>
  <c r="BH234" i="7" s="1"/>
  <c r="BI234" i="7" s="1"/>
  <c r="M231" i="6"/>
  <c r="J269" i="6"/>
  <c r="L272" i="7" s="1"/>
  <c r="C272" i="7"/>
  <c r="BH272" i="7" s="1"/>
  <c r="BI272" i="7" s="1"/>
  <c r="L193" i="6"/>
  <c r="N196" i="7" s="1"/>
  <c r="M67" i="6"/>
  <c r="J28" i="6"/>
  <c r="L31" i="7" s="1"/>
  <c r="J294" i="6"/>
  <c r="L297" i="7" s="1"/>
  <c r="L213" i="6"/>
  <c r="N216" i="7" s="1"/>
  <c r="M69" i="6"/>
  <c r="K22" i="6"/>
  <c r="M25" i="7" s="1"/>
  <c r="C147" i="7"/>
  <c r="BH147" i="7" s="1"/>
  <c r="BI147" i="7" s="1"/>
  <c r="M31" i="6"/>
  <c r="J58" i="6"/>
  <c r="L61" i="7" s="1"/>
  <c r="M146" i="6"/>
  <c r="L98" i="6"/>
  <c r="N101" i="7" s="1"/>
  <c r="J111" i="6"/>
  <c r="L114" i="7" s="1"/>
  <c r="C128" i="7"/>
  <c r="BH128" i="7" s="1"/>
  <c r="BI128" i="7" s="1"/>
  <c r="M150" i="6"/>
  <c r="K21" i="6"/>
  <c r="M24" i="7" s="1"/>
  <c r="M187" i="6"/>
  <c r="L105" i="6"/>
  <c r="N108" i="7" s="1"/>
  <c r="M228" i="6"/>
  <c r="J75" i="6"/>
  <c r="L78" i="7" s="1"/>
  <c r="J245" i="6"/>
  <c r="L248" i="7" s="1"/>
  <c r="L275" i="6"/>
  <c r="N278" i="7" s="1"/>
  <c r="L113" i="6"/>
  <c r="N116" i="7" s="1"/>
  <c r="L184" i="6"/>
  <c r="N187" i="7" s="1"/>
  <c r="C148" i="7"/>
  <c r="BH148" i="7" s="1"/>
  <c r="BI148" i="7" s="1"/>
  <c r="J270" i="6"/>
  <c r="L273" i="7" s="1"/>
  <c r="J193" i="6"/>
  <c r="L196" i="7" s="1"/>
  <c r="L67" i="6"/>
  <c r="N70" i="7" s="1"/>
  <c r="M80" i="6"/>
  <c r="M28" i="6"/>
  <c r="M136" i="6"/>
  <c r="M294" i="6"/>
  <c r="M213" i="6"/>
  <c r="M300" i="6"/>
  <c r="C72" i="7"/>
  <c r="BH72" i="7" s="1"/>
  <c r="BI72" i="7" s="1"/>
  <c r="L22" i="6"/>
  <c r="N25" i="7" s="1"/>
  <c r="C286" i="7"/>
  <c r="BH286" i="7" s="1"/>
  <c r="BI286" i="7" s="1"/>
  <c r="L56" i="6"/>
  <c r="N59" i="7" s="1"/>
  <c r="J31" i="6"/>
  <c r="L34" i="7" s="1"/>
  <c r="J146" i="6"/>
  <c r="L149" i="7" s="1"/>
  <c r="C36" i="7"/>
  <c r="BH36" i="7" s="1"/>
  <c r="BI36" i="7" s="1"/>
  <c r="M123" i="6"/>
  <c r="M37" i="6"/>
  <c r="J177" i="6"/>
  <c r="L180" i="7" s="1"/>
  <c r="K23" i="6"/>
  <c r="A23" i="6" s="1"/>
  <c r="J178" i="6"/>
  <c r="L181" i="7" s="1"/>
  <c r="C227" i="7"/>
  <c r="BH227" i="7" s="1"/>
  <c r="BI227" i="7" s="1"/>
  <c r="C127" i="7"/>
  <c r="BH127" i="7" s="1"/>
  <c r="BI127" i="7" s="1"/>
  <c r="J182" i="6"/>
  <c r="L185" i="7" s="1"/>
  <c r="M203" i="6"/>
  <c r="M197" i="6"/>
  <c r="M173" i="6"/>
  <c r="M184" i="6"/>
  <c r="L21" i="6"/>
  <c r="N24" i="7" s="1"/>
  <c r="J187" i="6"/>
  <c r="L190" i="7" s="1"/>
  <c r="J280" i="6"/>
  <c r="L283" i="7" s="1"/>
  <c r="J250" i="6"/>
  <c r="L253" i="7" s="1"/>
  <c r="L180" i="6"/>
  <c r="N183" i="7" s="1"/>
  <c r="L216" i="6"/>
  <c r="N219" i="7" s="1"/>
  <c r="J105" i="6"/>
  <c r="L108" i="7" s="1"/>
  <c r="J167" i="6"/>
  <c r="L170" i="7" s="1"/>
  <c r="J163" i="6"/>
  <c r="L166" i="7" s="1"/>
  <c r="J101" i="6"/>
  <c r="L104" i="7" s="1"/>
  <c r="J218" i="6"/>
  <c r="L221" i="7" s="1"/>
  <c r="J35" i="6"/>
  <c r="L38" i="7" s="1"/>
  <c r="J219" i="6"/>
  <c r="L222" i="7" s="1"/>
  <c r="C231" i="7"/>
  <c r="BH231" i="7" s="1"/>
  <c r="BI231" i="7" s="1"/>
  <c r="J149" i="6"/>
  <c r="L152" i="7" s="1"/>
  <c r="C78" i="7"/>
  <c r="BH78" i="7" s="1"/>
  <c r="BI78" i="7" s="1"/>
  <c r="C248" i="7"/>
  <c r="BH248" i="7" s="1"/>
  <c r="BI248" i="7" s="1"/>
  <c r="J275" i="6"/>
  <c r="L278" i="7" s="1"/>
  <c r="L298" i="6"/>
  <c r="N301" i="7" s="1"/>
  <c r="C211" i="7"/>
  <c r="BH211" i="7" s="1"/>
  <c r="BI211" i="7" s="1"/>
  <c r="M206" i="6"/>
  <c r="M113" i="6"/>
  <c r="C153" i="7"/>
  <c r="BH153" i="7" s="1"/>
  <c r="BI153" i="7" s="1"/>
  <c r="L201" i="6"/>
  <c r="N204" i="7" s="1"/>
  <c r="M307" i="6"/>
  <c r="M210" i="6"/>
  <c r="C39" i="7"/>
  <c r="BH39" i="7" s="1"/>
  <c r="BI39" i="7" s="1"/>
  <c r="L36" i="6"/>
  <c r="N39" i="7" s="1"/>
  <c r="M145" i="6"/>
  <c r="M270" i="6"/>
  <c r="L136" i="6"/>
  <c r="N139" i="7" s="1"/>
  <c r="L37" i="6"/>
  <c r="N40" i="7" s="1"/>
  <c r="M204" i="6"/>
  <c r="L307" i="6"/>
  <c r="N310" i="7" s="1"/>
  <c r="J180" i="6"/>
  <c r="L183" i="7" s="1"/>
  <c r="M216" i="6"/>
  <c r="M218" i="6"/>
  <c r="M219" i="6"/>
  <c r="L149" i="6"/>
  <c r="N152" i="7" s="1"/>
  <c r="C209" i="7"/>
  <c r="BH209" i="7" s="1"/>
  <c r="BI209" i="7" s="1"/>
  <c r="J201" i="6"/>
  <c r="L204" i="7" s="1"/>
  <c r="J144" i="6"/>
  <c r="L147" i="7" s="1"/>
  <c r="M174" i="6"/>
  <c r="J251" i="6"/>
  <c r="L254" i="7" s="1"/>
  <c r="M170" i="6"/>
  <c r="M160" i="6"/>
  <c r="L154" i="6"/>
  <c r="N157" i="7" s="1"/>
  <c r="J126" i="6"/>
  <c r="L129" i="7" s="1"/>
  <c r="M224" i="6"/>
  <c r="M182" i="6"/>
  <c r="C207" i="7"/>
  <c r="BH207" i="7" s="1"/>
  <c r="BI207" i="7" s="1"/>
  <c r="J197" i="6"/>
  <c r="L200" i="7" s="1"/>
  <c r="L111" i="6"/>
  <c r="N114" i="7" s="1"/>
  <c r="L125" i="6"/>
  <c r="N128" i="7" s="1"/>
  <c r="C283" i="7"/>
  <c r="BH283" i="7" s="1"/>
  <c r="BI283" i="7" s="1"/>
  <c r="L118" i="6"/>
  <c r="N121" i="7" s="1"/>
  <c r="M101" i="6"/>
  <c r="J307" i="6"/>
  <c r="L310" i="7" s="1"/>
  <c r="C246" i="7"/>
  <c r="BH246" i="7" s="1"/>
  <c r="BI246" i="7" s="1"/>
  <c r="L243" i="6"/>
  <c r="N246" i="7" s="1"/>
  <c r="M243" i="6"/>
  <c r="M88" i="6"/>
  <c r="L88" i="6"/>
  <c r="N91" i="7" s="1"/>
  <c r="C241" i="7"/>
  <c r="BH241" i="7" s="1"/>
  <c r="BI241" i="7" s="1"/>
  <c r="L238" i="6"/>
  <c r="N241" i="7" s="1"/>
  <c r="J238" i="6"/>
  <c r="L241" i="7" s="1"/>
  <c r="M238" i="6"/>
  <c r="C233" i="7"/>
  <c r="BH233" i="7" s="1"/>
  <c r="BI233" i="7" s="1"/>
  <c r="J230" i="6"/>
  <c r="L233" i="7" s="1"/>
  <c r="L230" i="6"/>
  <c r="N233" i="7" s="1"/>
  <c r="M46" i="6"/>
  <c r="C49" i="7"/>
  <c r="BH49" i="7" s="1"/>
  <c r="BI49" i="7" s="1"/>
  <c r="C88" i="7"/>
  <c r="BH88" i="7" s="1"/>
  <c r="BI88" i="7" s="1"/>
  <c r="J85" i="6"/>
  <c r="L88" i="7" s="1"/>
  <c r="C224" i="7"/>
  <c r="BH224" i="7" s="1"/>
  <c r="BI224" i="7" s="1"/>
  <c r="L221" i="6"/>
  <c r="N224" i="7" s="1"/>
  <c r="M63" i="6"/>
  <c r="M227" i="6"/>
  <c r="C287" i="7"/>
  <c r="BH287" i="7" s="1"/>
  <c r="BI287" i="7" s="1"/>
  <c r="J292" i="6"/>
  <c r="L295" i="7" s="1"/>
  <c r="J72" i="6"/>
  <c r="L75" i="7" s="1"/>
  <c r="L33" i="6"/>
  <c r="N36" i="7" s="1"/>
  <c r="L123" i="6"/>
  <c r="N126" i="7" s="1"/>
  <c r="J174" i="6"/>
  <c r="L177" i="7" s="1"/>
  <c r="M156" i="6"/>
  <c r="J37" i="6"/>
  <c r="L40" i="7" s="1"/>
  <c r="C259" i="7"/>
  <c r="BH259" i="7" s="1"/>
  <c r="BI259" i="7" s="1"/>
  <c r="C163" i="7"/>
  <c r="BH163" i="7" s="1"/>
  <c r="BI163" i="7" s="1"/>
  <c r="C210" i="7"/>
  <c r="BH210" i="7" s="1"/>
  <c r="BI210" i="7" s="1"/>
  <c r="M264" i="6"/>
  <c r="J154" i="6"/>
  <c r="L157" i="7" s="1"/>
  <c r="M98" i="6"/>
  <c r="C91" i="7"/>
  <c r="BH91" i="7" s="1"/>
  <c r="BI91" i="7" s="1"/>
  <c r="L76" i="6"/>
  <c r="N79" i="7" s="1"/>
  <c r="C181" i="7"/>
  <c r="BH181" i="7" s="1"/>
  <c r="BI181" i="7" s="1"/>
  <c r="C23" i="7"/>
  <c r="BH23" i="7" s="1"/>
  <c r="BI23" i="7" s="1"/>
  <c r="L203" i="6"/>
  <c r="N206" i="7" s="1"/>
  <c r="L109" i="6"/>
  <c r="N112" i="7" s="1"/>
  <c r="L155" i="6"/>
  <c r="N158" i="7" s="1"/>
  <c r="L85" i="6"/>
  <c r="N88" i="7" s="1"/>
  <c r="C174" i="7"/>
  <c r="BH174" i="7" s="1"/>
  <c r="BI174" i="7" s="1"/>
  <c r="L139" i="6"/>
  <c r="N142" i="7" s="1"/>
  <c r="C154" i="7"/>
  <c r="BH154" i="7" s="1"/>
  <c r="BI154" i="7" s="1"/>
  <c r="J172" i="6"/>
  <c r="L175" i="7" s="1"/>
  <c r="M205" i="6"/>
  <c r="J281" i="6"/>
  <c r="L284" i="7" s="1"/>
  <c r="L61" i="6"/>
  <c r="N64" i="7" s="1"/>
  <c r="M309" i="6"/>
  <c r="M120" i="6"/>
  <c r="J259" i="6"/>
  <c r="L262" i="7" s="1"/>
  <c r="M162" i="6"/>
  <c r="J252" i="6"/>
  <c r="L255" i="7" s="1"/>
  <c r="M51" i="6"/>
  <c r="C129" i="7"/>
  <c r="BH129" i="7" s="1"/>
  <c r="BI129" i="7" s="1"/>
  <c r="L46" i="6"/>
  <c r="N49" i="7" s="1"/>
  <c r="L116" i="6"/>
  <c r="N119" i="7" s="1"/>
  <c r="C119" i="7"/>
  <c r="BH119" i="7" s="1"/>
  <c r="BI119" i="7" s="1"/>
  <c r="J97" i="6"/>
  <c r="L100" i="7" s="1"/>
  <c r="C100" i="7"/>
  <c r="BH100" i="7" s="1"/>
  <c r="BI100" i="7" s="1"/>
  <c r="M100" i="6"/>
  <c r="L100" i="6"/>
  <c r="N103" i="7" s="1"/>
  <c r="J100" i="6"/>
  <c r="L103" i="7" s="1"/>
  <c r="C74" i="7"/>
  <c r="BH74" i="7" s="1"/>
  <c r="BI74" i="7" s="1"/>
  <c r="L71" i="6"/>
  <c r="N74" i="7" s="1"/>
  <c r="J71" i="6"/>
  <c r="L74" i="7" s="1"/>
  <c r="L177" i="6"/>
  <c r="N180" i="7" s="1"/>
  <c r="C180" i="7"/>
  <c r="BH180" i="7" s="1"/>
  <c r="BI180" i="7" s="1"/>
  <c r="K14" i="6"/>
  <c r="C17" i="7"/>
  <c r="J211" i="6"/>
  <c r="L214" i="7" s="1"/>
  <c r="L211" i="6"/>
  <c r="N214" i="7" s="1"/>
  <c r="C214" i="7"/>
  <c r="BH214" i="7" s="1"/>
  <c r="BI214" i="7" s="1"/>
  <c r="M211" i="6"/>
  <c r="C46" i="7"/>
  <c r="BH46" i="7" s="1"/>
  <c r="BI46" i="7" s="1"/>
  <c r="M43" i="6"/>
  <c r="J186" i="6"/>
  <c r="L189" i="7" s="1"/>
  <c r="M186" i="6"/>
  <c r="L186" i="6"/>
  <c r="N189" i="7" s="1"/>
  <c r="M64" i="6"/>
  <c r="C202" i="7"/>
  <c r="BH202" i="7" s="1"/>
  <c r="BI202" i="7" s="1"/>
  <c r="M72" i="6"/>
  <c r="C126" i="7"/>
  <c r="BH126" i="7" s="1"/>
  <c r="BI126" i="7" s="1"/>
  <c r="L174" i="6"/>
  <c r="N177" i="7" s="1"/>
  <c r="C254" i="7"/>
  <c r="BH254" i="7" s="1"/>
  <c r="BI254" i="7" s="1"/>
  <c r="C159" i="7"/>
  <c r="BH159" i="7" s="1"/>
  <c r="BI159" i="7" s="1"/>
  <c r="C173" i="7"/>
  <c r="BH173" i="7" s="1"/>
  <c r="BI173" i="7" s="1"/>
  <c r="J256" i="6"/>
  <c r="L259" i="7" s="1"/>
  <c r="L207" i="6"/>
  <c r="N210" i="7" s="1"/>
  <c r="C267" i="7"/>
  <c r="BH267" i="7" s="1"/>
  <c r="BI267" i="7" s="1"/>
  <c r="M23" i="6"/>
  <c r="M154" i="6"/>
  <c r="C101" i="7"/>
  <c r="BH101" i="7" s="1"/>
  <c r="BI101" i="7" s="1"/>
  <c r="L126" i="6"/>
  <c r="N129" i="7" s="1"/>
  <c r="M76" i="6"/>
  <c r="K20" i="6"/>
  <c r="M23" i="7" s="1"/>
  <c r="J124" i="6"/>
  <c r="L127" i="7" s="1"/>
  <c r="L14" i="6"/>
  <c r="N17" i="7" s="1"/>
  <c r="L173" i="6"/>
  <c r="N176" i="7" s="1"/>
  <c r="J109" i="6"/>
  <c r="L112" i="7" s="1"/>
  <c r="L175" i="6"/>
  <c r="N178" i="7" s="1"/>
  <c r="L171" i="6"/>
  <c r="N174" i="7" s="1"/>
  <c r="M107" i="6"/>
  <c r="L226" i="6"/>
  <c r="N229" i="7" s="1"/>
  <c r="J139" i="6"/>
  <c r="L142" i="7" s="1"/>
  <c r="J96" i="6"/>
  <c r="L99" i="7" s="1"/>
  <c r="L205" i="6"/>
  <c r="N208" i="7" s="1"/>
  <c r="M230" i="6"/>
  <c r="M192" i="6"/>
  <c r="M61" i="6"/>
  <c r="M143" i="6"/>
  <c r="M102" i="6"/>
  <c r="L120" i="6"/>
  <c r="N123" i="7" s="1"/>
  <c r="L259" i="6"/>
  <c r="N262" i="7" s="1"/>
  <c r="C76" i="7"/>
  <c r="BH76" i="7" s="1"/>
  <c r="BI76" i="7" s="1"/>
  <c r="C255" i="7"/>
  <c r="BH255" i="7" s="1"/>
  <c r="BI255" i="7" s="1"/>
  <c r="L51" i="6"/>
  <c r="N54" i="7" s="1"/>
  <c r="L39" i="6"/>
  <c r="N42" i="7" s="1"/>
  <c r="J210" i="6"/>
  <c r="L213" i="7" s="1"/>
  <c r="L210" i="6"/>
  <c r="N213" i="7" s="1"/>
  <c r="J243" i="6"/>
  <c r="L246" i="7" s="1"/>
  <c r="M68" i="6"/>
  <c r="J68" i="6"/>
  <c r="L71" i="7" s="1"/>
  <c r="L38" i="6"/>
  <c r="N41" i="7" s="1"/>
  <c r="C41" i="7"/>
  <c r="BH41" i="7" s="1"/>
  <c r="BI41" i="7" s="1"/>
  <c r="J38" i="6"/>
  <c r="L41" i="7" s="1"/>
  <c r="C304" i="7"/>
  <c r="BH304" i="7" s="1"/>
  <c r="BI304" i="7" s="1"/>
  <c r="J301" i="6"/>
  <c r="L304" i="7" s="1"/>
  <c r="C55" i="7"/>
  <c r="BH55" i="7" s="1"/>
  <c r="BI55" i="7" s="1"/>
  <c r="M52" i="6"/>
  <c r="C243" i="7"/>
  <c r="BH243" i="7" s="1"/>
  <c r="BI243" i="7" s="1"/>
  <c r="M240" i="6"/>
  <c r="J240" i="6"/>
  <c r="L243" i="7" s="1"/>
  <c r="L240" i="6"/>
  <c r="N243" i="7" s="1"/>
  <c r="L198" i="6"/>
  <c r="N201" i="7" s="1"/>
  <c r="C201" i="7"/>
  <c r="BH201" i="7" s="1"/>
  <c r="BI201" i="7" s="1"/>
  <c r="J198" i="6"/>
  <c r="L201" i="7" s="1"/>
  <c r="M198" i="6"/>
  <c r="J166" i="6"/>
  <c r="L169" i="7" s="1"/>
  <c r="C169" i="7"/>
  <c r="BH169" i="7" s="1"/>
  <c r="BI169" i="7" s="1"/>
  <c r="L166" i="6"/>
  <c r="N169" i="7" s="1"/>
  <c r="L53" i="6"/>
  <c r="N56" i="7" s="1"/>
  <c r="J53" i="6"/>
  <c r="L56" i="7" s="1"/>
  <c r="C290" i="7"/>
  <c r="BH290" i="7" s="1"/>
  <c r="BI290" i="7" s="1"/>
  <c r="J287" i="6"/>
  <c r="L290" i="7" s="1"/>
  <c r="L287" i="6"/>
  <c r="N290" i="7" s="1"/>
  <c r="M287" i="6"/>
  <c r="J87" i="6"/>
  <c r="L90" i="7" s="1"/>
  <c r="J239" i="6"/>
  <c r="L242" i="7" s="1"/>
  <c r="C223" i="7"/>
  <c r="BH223" i="7" s="1"/>
  <c r="BI223" i="7" s="1"/>
  <c r="J220" i="6"/>
  <c r="L223" i="7" s="1"/>
  <c r="M114" i="6"/>
  <c r="J114" i="6"/>
  <c r="L117" i="7" s="1"/>
  <c r="L214" i="6"/>
  <c r="N217" i="7" s="1"/>
  <c r="C217" i="7"/>
  <c r="BH217" i="7" s="1"/>
  <c r="BI217" i="7" s="1"/>
  <c r="M214" i="6"/>
  <c r="M223" i="6"/>
  <c r="C226" i="7"/>
  <c r="BH226" i="7" s="1"/>
  <c r="BI226" i="7" s="1"/>
  <c r="J77" i="6"/>
  <c r="L80" i="7" s="1"/>
  <c r="M77" i="6"/>
  <c r="M299" i="6"/>
  <c r="C302" i="7"/>
  <c r="BH302" i="7" s="1"/>
  <c r="BI302" i="7" s="1"/>
  <c r="C168" i="7"/>
  <c r="BH168" i="7" s="1"/>
  <c r="BI168" i="7" s="1"/>
  <c r="M165" i="6"/>
  <c r="L165" i="6"/>
  <c r="N168" i="7" s="1"/>
  <c r="J165" i="6"/>
  <c r="L168" i="7" s="1"/>
  <c r="M81" i="6"/>
  <c r="L81" i="6"/>
  <c r="N84" i="7" s="1"/>
  <c r="J81" i="6"/>
  <c r="L84" i="7" s="1"/>
  <c r="C84" i="7"/>
  <c r="BH84" i="7" s="1"/>
  <c r="BI84" i="7" s="1"/>
  <c r="M13" i="6"/>
  <c r="L13" i="6"/>
  <c r="N16" i="7" s="1"/>
  <c r="K13" i="6"/>
  <c r="C274" i="7"/>
  <c r="BH274" i="7" s="1"/>
  <c r="BI274" i="7" s="1"/>
  <c r="M271" i="6"/>
  <c r="L278" i="6"/>
  <c r="N281" i="7" s="1"/>
  <c r="J278" i="6"/>
  <c r="L281" i="7" s="1"/>
  <c r="C281" i="7"/>
  <c r="BH281" i="7" s="1"/>
  <c r="BI281" i="7" s="1"/>
  <c r="M278" i="6"/>
  <c r="M74" i="6"/>
  <c r="C77" i="7"/>
  <c r="BH77" i="7" s="1"/>
  <c r="BI77" i="7" s="1"/>
  <c r="J74" i="6"/>
  <c r="L77" i="7" s="1"/>
  <c r="C132" i="7"/>
  <c r="BH132" i="7" s="1"/>
  <c r="BI132" i="7" s="1"/>
  <c r="M129" i="6"/>
  <c r="J129" i="6"/>
  <c r="L132" i="7" s="1"/>
  <c r="L129" i="6"/>
  <c r="N132" i="7" s="1"/>
  <c r="M232" i="6"/>
  <c r="L232" i="6"/>
  <c r="N235" i="7" s="1"/>
  <c r="C235" i="7"/>
  <c r="BH235" i="7" s="1"/>
  <c r="BI235" i="7" s="1"/>
  <c r="J232" i="6"/>
  <c r="L235" i="7" s="1"/>
  <c r="J196" i="6"/>
  <c r="L199" i="7" s="1"/>
  <c r="M196" i="6"/>
  <c r="L196" i="6"/>
  <c r="N199" i="7" s="1"/>
  <c r="C199" i="7"/>
  <c r="BH199" i="7" s="1"/>
  <c r="BI199" i="7" s="1"/>
  <c r="M18" i="7"/>
  <c r="A15" i="6"/>
  <c r="M20" i="7"/>
  <c r="A17" i="6"/>
  <c r="A19" i="6"/>
  <c r="C21" i="12"/>
  <c r="Y83" i="2"/>
  <c r="V83" i="2"/>
  <c r="X83" i="2"/>
  <c r="Z83" i="2"/>
  <c r="W83" i="2"/>
  <c r="S77" i="2"/>
  <c r="F105" i="2"/>
  <c r="A106" i="2"/>
  <c r="B105" i="2"/>
  <c r="O84" i="2"/>
  <c r="N85" i="2"/>
  <c r="P84" i="2"/>
  <c r="S80" i="2"/>
  <c r="B21" i="12"/>
  <c r="A21" i="12"/>
  <c r="M19" i="7" l="1"/>
  <c r="A16" i="6"/>
  <c r="H16" i="6" s="1"/>
  <c r="J19" i="7" s="1"/>
  <c r="M21" i="7"/>
  <c r="BQ21" i="7" s="1"/>
  <c r="A22" i="6"/>
  <c r="T22" i="6" s="1"/>
  <c r="Q24" i="6"/>
  <c r="V27" i="7" s="1"/>
  <c r="A20" i="6"/>
  <c r="A23" i="7" s="1"/>
  <c r="BQ107" i="7"/>
  <c r="F24" i="6"/>
  <c r="H27" i="7" s="1"/>
  <c r="BQ272" i="7"/>
  <c r="G24" i="6"/>
  <c r="I27" i="7" s="1"/>
  <c r="AK27" i="7" s="1"/>
  <c r="T24" i="6"/>
  <c r="Y27" i="7" s="1"/>
  <c r="A27" i="7"/>
  <c r="BQ209" i="7"/>
  <c r="BQ246" i="7"/>
  <c r="BQ247" i="7"/>
  <c r="BH212" i="5"/>
  <c r="BH17" i="7"/>
  <c r="BI17" i="7" s="1"/>
  <c r="K10" i="6"/>
  <c r="A10" i="6" s="1"/>
  <c r="BQ219" i="7"/>
  <c r="BQ200" i="7"/>
  <c r="BH122" i="5"/>
  <c r="BH184" i="5"/>
  <c r="BH226" i="5"/>
  <c r="BQ32" i="7"/>
  <c r="BQ308" i="7"/>
  <c r="BH134" i="5"/>
  <c r="I24" i="6"/>
  <c r="K27" i="7" s="1"/>
  <c r="D24" i="6"/>
  <c r="F27" i="7" s="1"/>
  <c r="H24" i="6"/>
  <c r="J27" i="7" s="1"/>
  <c r="BQ120" i="7"/>
  <c r="BH103" i="5"/>
  <c r="BQ194" i="7"/>
  <c r="BH137" i="5"/>
  <c r="BQ213" i="7"/>
  <c r="BQ91" i="7"/>
  <c r="BH110" i="5"/>
  <c r="M26" i="7"/>
  <c r="BQ26" i="7" s="1"/>
  <c r="A21" i="6"/>
  <c r="G21" i="6" s="1"/>
  <c r="I24" i="7" s="1"/>
  <c r="BH27" i="5"/>
  <c r="BQ86" i="7"/>
  <c r="BH50" i="5"/>
  <c r="BQ46" i="7"/>
  <c r="BH296" i="5"/>
  <c r="BQ302" i="7"/>
  <c r="BH188" i="5"/>
  <c r="BH35" i="5"/>
  <c r="BH65" i="5"/>
  <c r="BQ264" i="7"/>
  <c r="BH195" i="5"/>
  <c r="BQ101" i="7"/>
  <c r="BH244" i="5"/>
  <c r="BQ22" i="7"/>
  <c r="BH94" i="5"/>
  <c r="BH230" i="5"/>
  <c r="BH82" i="5"/>
  <c r="BQ298" i="7"/>
  <c r="BH138" i="5"/>
  <c r="BQ296" i="7"/>
  <c r="BH295" i="5"/>
  <c r="BH61" i="5"/>
  <c r="BQ252" i="7"/>
  <c r="BH262" i="5"/>
  <c r="BQ301" i="7"/>
  <c r="BH205" i="5"/>
  <c r="BH179" i="5"/>
  <c r="BQ131" i="7"/>
  <c r="BH160" i="5"/>
  <c r="BH204" i="5"/>
  <c r="BQ221" i="7"/>
  <c r="BQ215" i="7"/>
  <c r="BH36" i="5"/>
  <c r="BH39" i="5"/>
  <c r="BH105" i="5"/>
  <c r="BQ202" i="7"/>
  <c r="BQ271" i="7"/>
  <c r="BH81" i="5"/>
  <c r="BQ132" i="7"/>
  <c r="BQ59" i="7"/>
  <c r="BQ129" i="7"/>
  <c r="BH97" i="5"/>
  <c r="BQ206" i="7"/>
  <c r="BQ217" i="7"/>
  <c r="BQ262" i="7"/>
  <c r="BQ24" i="7"/>
  <c r="BQ249" i="7"/>
  <c r="BQ279" i="7"/>
  <c r="BH132" i="5"/>
  <c r="BH60" i="5"/>
  <c r="BQ27" i="7"/>
  <c r="BQ270" i="7"/>
  <c r="BH185" i="5"/>
  <c r="BH29" i="5"/>
  <c r="BQ163" i="7"/>
  <c r="BQ126" i="7"/>
  <c r="BQ81" i="7"/>
  <c r="BQ196" i="7"/>
  <c r="BQ57" i="7"/>
  <c r="BH310" i="5"/>
  <c r="BH148" i="5"/>
  <c r="BH241" i="5"/>
  <c r="BH165" i="5"/>
  <c r="BQ297" i="7"/>
  <c r="BH307" i="5"/>
  <c r="BH130" i="5"/>
  <c r="BH266" i="5"/>
  <c r="BQ45" i="7"/>
  <c r="BQ68" i="7"/>
  <c r="BQ43" i="7"/>
  <c r="BH41" i="5"/>
  <c r="BH123" i="5"/>
  <c r="BH26" i="5"/>
  <c r="BQ109" i="7"/>
  <c r="BQ124" i="7"/>
  <c r="BQ92" i="7"/>
  <c r="BH245" i="5"/>
  <c r="BH238" i="5"/>
  <c r="BH177" i="5"/>
  <c r="BH38" i="5"/>
  <c r="BH152" i="5"/>
  <c r="BH277" i="5"/>
  <c r="BQ173" i="7"/>
  <c r="BH59" i="5"/>
  <c r="BH193" i="5"/>
  <c r="BH249" i="5"/>
  <c r="BH84" i="5"/>
  <c r="BH187" i="5"/>
  <c r="BH263" i="5"/>
  <c r="BH154" i="5"/>
  <c r="BQ65" i="7"/>
  <c r="BH78" i="5"/>
  <c r="BH208" i="5"/>
  <c r="BH118" i="5"/>
  <c r="BQ273" i="7"/>
  <c r="BQ208" i="7"/>
  <c r="BH74" i="5"/>
  <c r="BH112" i="5"/>
  <c r="BH149" i="5"/>
  <c r="BH191" i="5"/>
  <c r="BH299" i="5"/>
  <c r="BQ18" i="7"/>
  <c r="BH28" i="5"/>
  <c r="BQ235" i="7"/>
  <c r="BH233" i="5"/>
  <c r="BQ299" i="7"/>
  <c r="BH73" i="5"/>
  <c r="BH302" i="5"/>
  <c r="BH206" i="5"/>
  <c r="BH150" i="5"/>
  <c r="BH201" i="5"/>
  <c r="BH199" i="5"/>
  <c r="BH92" i="5"/>
  <c r="BH117" i="5"/>
  <c r="BQ292" i="7"/>
  <c r="BQ82" i="7"/>
  <c r="BQ231" i="7"/>
  <c r="BQ281" i="7"/>
  <c r="BQ222" i="7"/>
  <c r="BQ190" i="7"/>
  <c r="BQ76" i="7"/>
  <c r="BH224" i="5"/>
  <c r="BQ100" i="7"/>
  <c r="BQ47" i="7"/>
  <c r="BQ95" i="7"/>
  <c r="BQ216" i="7"/>
  <c r="BQ77" i="7"/>
  <c r="BH156" i="5"/>
  <c r="BH135" i="5"/>
  <c r="BQ290" i="7"/>
  <c r="BQ56" i="7"/>
  <c r="BQ243" i="7"/>
  <c r="BQ42" i="7"/>
  <c r="BQ174" i="7"/>
  <c r="BQ285" i="7"/>
  <c r="BQ187" i="7"/>
  <c r="BQ172" i="7"/>
  <c r="BQ265" i="7"/>
  <c r="BQ134" i="7"/>
  <c r="BQ141" i="7"/>
  <c r="BQ277" i="7"/>
  <c r="BQ139" i="7"/>
  <c r="BQ240" i="7"/>
  <c r="BQ254" i="7"/>
  <c r="BQ185" i="7"/>
  <c r="BQ274" i="7"/>
  <c r="BQ85" i="7"/>
  <c r="BQ232" i="7"/>
  <c r="BQ71" i="7"/>
  <c r="BQ197" i="7"/>
  <c r="BQ275" i="7"/>
  <c r="BQ266" i="7"/>
  <c r="BQ145" i="7"/>
  <c r="BQ170" i="7"/>
  <c r="BQ269" i="7"/>
  <c r="BQ268" i="7"/>
  <c r="BQ184" i="7"/>
  <c r="BQ212" i="7"/>
  <c r="BQ195" i="7"/>
  <c r="BQ193" i="7"/>
  <c r="BQ97" i="7"/>
  <c r="BQ295" i="7"/>
  <c r="BQ49" i="7"/>
  <c r="BQ121" i="7"/>
  <c r="BQ96" i="7"/>
  <c r="BQ220" i="7"/>
  <c r="BQ51" i="7"/>
  <c r="BQ183" i="7"/>
  <c r="BQ248" i="7"/>
  <c r="BQ237" i="7"/>
  <c r="BQ52" i="7"/>
  <c r="BQ90" i="7"/>
  <c r="BQ70" i="7"/>
  <c r="BQ34" i="7"/>
  <c r="BQ171" i="7"/>
  <c r="BQ256" i="7"/>
  <c r="BQ177" i="7"/>
  <c r="BQ157" i="7"/>
  <c r="BQ313" i="7"/>
  <c r="BQ310" i="7"/>
  <c r="BQ207" i="7"/>
  <c r="BQ117" i="7"/>
  <c r="BQ154" i="7"/>
  <c r="BQ289" i="7"/>
  <c r="BQ291" i="7"/>
  <c r="BQ110" i="7"/>
  <c r="BQ245" i="7"/>
  <c r="BQ159" i="7"/>
  <c r="BQ38" i="7"/>
  <c r="BQ44" i="7"/>
  <c r="BQ61" i="7"/>
  <c r="BQ315" i="7"/>
  <c r="BQ205" i="7"/>
  <c r="BQ306" i="7"/>
  <c r="BQ84" i="7"/>
  <c r="BQ238" i="7"/>
  <c r="BQ118" i="7"/>
  <c r="BQ314" i="7"/>
  <c r="BQ130" i="7"/>
  <c r="BQ218" i="7"/>
  <c r="BQ143" i="7"/>
  <c r="BQ40" i="7"/>
  <c r="BQ191" i="7"/>
  <c r="BQ99" i="7"/>
  <c r="BQ233" i="7"/>
  <c r="BQ276" i="7"/>
  <c r="BQ251" i="7"/>
  <c r="BQ98" i="7"/>
  <c r="BQ259" i="7"/>
  <c r="BQ89" i="7"/>
  <c r="BQ104" i="7"/>
  <c r="BQ176" i="7"/>
  <c r="BQ37" i="7"/>
  <c r="BQ29" i="7"/>
  <c r="BQ152" i="7"/>
  <c r="BQ112" i="7"/>
  <c r="BQ311" i="7"/>
  <c r="BQ287" i="7"/>
  <c r="BQ72" i="7"/>
  <c r="BQ128" i="7"/>
  <c r="BQ135" i="7"/>
  <c r="BQ64" i="7"/>
  <c r="BQ153" i="7"/>
  <c r="BQ160" i="7"/>
  <c r="BQ280" i="7"/>
  <c r="BQ158" i="7"/>
  <c r="BQ144" i="7"/>
  <c r="BQ73" i="7"/>
  <c r="BQ312" i="7"/>
  <c r="BQ119" i="7"/>
  <c r="BQ180" i="7"/>
  <c r="BQ151" i="7"/>
  <c r="BQ167" i="7"/>
  <c r="BQ282" i="7"/>
  <c r="BQ94" i="7"/>
  <c r="BQ286" i="7"/>
  <c r="BQ102" i="7"/>
  <c r="BQ127" i="7"/>
  <c r="BQ225" i="7"/>
  <c r="BQ224" i="7"/>
  <c r="BQ211" i="7"/>
  <c r="BQ115" i="7"/>
  <c r="BQ136" i="7"/>
  <c r="BQ242" i="7"/>
  <c r="BQ148" i="7"/>
  <c r="BQ236" i="7"/>
  <c r="BQ186" i="7"/>
  <c r="BQ189" i="7"/>
  <c r="BQ161" i="7"/>
  <c r="BQ60" i="7"/>
  <c r="BQ210" i="7"/>
  <c r="BQ164" i="7"/>
  <c r="BQ53" i="7"/>
  <c r="BQ83" i="7"/>
  <c r="BQ227" i="7"/>
  <c r="BQ123" i="7"/>
  <c r="BQ267" i="7"/>
  <c r="BQ36" i="7"/>
  <c r="BQ204" i="7"/>
  <c r="BQ250" i="7"/>
  <c r="BQ150" i="7"/>
  <c r="BQ294" i="7"/>
  <c r="BQ48" i="7"/>
  <c r="BQ257" i="7"/>
  <c r="BQ142" i="7"/>
  <c r="BQ138" i="7"/>
  <c r="BQ88" i="7"/>
  <c r="BQ230" i="7"/>
  <c r="BQ35" i="7"/>
  <c r="BQ50" i="7"/>
  <c r="BQ188" i="7"/>
  <c r="BQ54" i="7"/>
  <c r="BQ146" i="7"/>
  <c r="BQ156" i="7"/>
  <c r="BQ113" i="7"/>
  <c r="BQ203" i="7"/>
  <c r="BQ283" i="7"/>
  <c r="BQ79" i="7"/>
  <c r="BQ133" i="7"/>
  <c r="BQ300" i="7"/>
  <c r="BQ201" i="7"/>
  <c r="BQ303" i="7"/>
  <c r="BQ263" i="7"/>
  <c r="BQ69" i="7"/>
  <c r="BQ106" i="7"/>
  <c r="BQ165" i="7"/>
  <c r="BQ108" i="7"/>
  <c r="BQ226" i="7"/>
  <c r="BQ58" i="7"/>
  <c r="BQ198" i="7"/>
  <c r="BQ309" i="7"/>
  <c r="BQ41" i="7"/>
  <c r="BQ234" i="7"/>
  <c r="BQ140" i="7"/>
  <c r="BQ105" i="7"/>
  <c r="BQ155" i="7"/>
  <c r="BQ125" i="7"/>
  <c r="BQ28" i="7"/>
  <c r="BQ87" i="7"/>
  <c r="BQ39" i="7"/>
  <c r="BQ149" i="7"/>
  <c r="BQ229" i="7"/>
  <c r="BQ192" i="7"/>
  <c r="BQ214" i="7"/>
  <c r="BQ114" i="7"/>
  <c r="BH89" i="5"/>
  <c r="BH308" i="5"/>
  <c r="BH47" i="5"/>
  <c r="BH210" i="5"/>
  <c r="BH292" i="5"/>
  <c r="BH79" i="5"/>
  <c r="BH116" i="5"/>
  <c r="BH217" i="5"/>
  <c r="BH196" i="5"/>
  <c r="BH273" i="5"/>
  <c r="BH159" i="5"/>
  <c r="BH91" i="5"/>
  <c r="BH211" i="5"/>
  <c r="BH75" i="5"/>
  <c r="BH72" i="5"/>
  <c r="BH285" i="5"/>
  <c r="BH54" i="5"/>
  <c r="BH276" i="5"/>
  <c r="BH253" i="5"/>
  <c r="BH147" i="5"/>
  <c r="BH143" i="5"/>
  <c r="BH311" i="5"/>
  <c r="BH172" i="5"/>
  <c r="BH151" i="5"/>
  <c r="BH250" i="5"/>
  <c r="BH157" i="5"/>
  <c r="BH216" i="5"/>
  <c r="BH144" i="5"/>
  <c r="BH269" i="5"/>
  <c r="BH256" i="5"/>
  <c r="BH113" i="5"/>
  <c r="BH223" i="5"/>
  <c r="BH133" i="5"/>
  <c r="BH140" i="5"/>
  <c r="BH254" i="5"/>
  <c r="BH239" i="5"/>
  <c r="BH66" i="5"/>
  <c r="BH237" i="5"/>
  <c r="BH40" i="5"/>
  <c r="BH70" i="5"/>
  <c r="BH243" i="5"/>
  <c r="BH207" i="5"/>
  <c r="BH24" i="5"/>
  <c r="BH93" i="5"/>
  <c r="BH265" i="5"/>
  <c r="BH231" i="5"/>
  <c r="BH48" i="5"/>
  <c r="BH115" i="5"/>
  <c r="BH100" i="5"/>
  <c r="BH240" i="5"/>
  <c r="BH284" i="5"/>
  <c r="BH280" i="5"/>
  <c r="BH180" i="5"/>
  <c r="BH297" i="5"/>
  <c r="BH162" i="5"/>
  <c r="BH43" i="5"/>
  <c r="BH257" i="5"/>
  <c r="BH260" i="5"/>
  <c r="BH274" i="5"/>
  <c r="BH44" i="5"/>
  <c r="BH64" i="5"/>
  <c r="BH141" i="5"/>
  <c r="BH136" i="5"/>
  <c r="BH86" i="5"/>
  <c r="BH309" i="5"/>
  <c r="BH42" i="5"/>
  <c r="BH288" i="5"/>
  <c r="BH234" i="5"/>
  <c r="BH178" i="5"/>
  <c r="BH146" i="5"/>
  <c r="BH181" i="5"/>
  <c r="BH108" i="5"/>
  <c r="BH168" i="5"/>
  <c r="BH229" i="5"/>
  <c r="BH255" i="5"/>
  <c r="BH55" i="5"/>
  <c r="BH139" i="5"/>
  <c r="BH119" i="5"/>
  <c r="BH96" i="5"/>
  <c r="BH298" i="5"/>
  <c r="BH83" i="5"/>
  <c r="BH62" i="5"/>
  <c r="BH290" i="5"/>
  <c r="BH56" i="5"/>
  <c r="BH30" i="5"/>
  <c r="BH182" i="5"/>
  <c r="BH227" i="5"/>
  <c r="BH99" i="5"/>
  <c r="BH305" i="5"/>
  <c r="BH281" i="5"/>
  <c r="BH71" i="5"/>
  <c r="BH31" i="5"/>
  <c r="BH124" i="5"/>
  <c r="BH101" i="5"/>
  <c r="BH194" i="5"/>
  <c r="BH222" i="5"/>
  <c r="BH161" i="5"/>
  <c r="BH271" i="5"/>
  <c r="BH190" i="5"/>
  <c r="BH175" i="5"/>
  <c r="BH247" i="5"/>
  <c r="BH242" i="5"/>
  <c r="BH283" i="5"/>
  <c r="BH203" i="5"/>
  <c r="BH209" i="5"/>
  <c r="BH221" i="5"/>
  <c r="BH289" i="5"/>
  <c r="BH174" i="5"/>
  <c r="BH293" i="5"/>
  <c r="BH85" i="5"/>
  <c r="BH300" i="5"/>
  <c r="BH220" i="5"/>
  <c r="BH214" i="5"/>
  <c r="BH109" i="5"/>
  <c r="BH225" i="5"/>
  <c r="BH303" i="5"/>
  <c r="BH102" i="5"/>
  <c r="BH259" i="5"/>
  <c r="BH111" i="5"/>
  <c r="BH264" i="5"/>
  <c r="BH218" i="5"/>
  <c r="BH286" i="5"/>
  <c r="BH232" i="5"/>
  <c r="BH77" i="5"/>
  <c r="BH53" i="5"/>
  <c r="BH69" i="5"/>
  <c r="BH46" i="5"/>
  <c r="BH272" i="5"/>
  <c r="BH142" i="5"/>
  <c r="BH171" i="5"/>
  <c r="BH33" i="5"/>
  <c r="BH80" i="5"/>
  <c r="BH301" i="5"/>
  <c r="BH90" i="5"/>
  <c r="BH251" i="5"/>
  <c r="BH198" i="5"/>
  <c r="BH287" i="5"/>
  <c r="BH88" i="5"/>
  <c r="BH129" i="5"/>
  <c r="BH186" i="5"/>
  <c r="BH306" i="5"/>
  <c r="BH153" i="5"/>
  <c r="BH219" i="5"/>
  <c r="BH197" i="5"/>
  <c r="BH169" i="5"/>
  <c r="BH304" i="5"/>
  <c r="BH275" i="5"/>
  <c r="BH258" i="5"/>
  <c r="BH57" i="5"/>
  <c r="BH200" i="5"/>
  <c r="BH236" i="5"/>
  <c r="BH252" i="5"/>
  <c r="BH128" i="5"/>
  <c r="BH215" i="5"/>
  <c r="BH268" i="5"/>
  <c r="BH114" i="5"/>
  <c r="BH98" i="5"/>
  <c r="BH176" i="5"/>
  <c r="BH189" i="5"/>
  <c r="BH32" i="5"/>
  <c r="BH127" i="5"/>
  <c r="BH104" i="5"/>
  <c r="BQ103" i="7"/>
  <c r="BQ241" i="7"/>
  <c r="BH25" i="5"/>
  <c r="BQ261" i="7"/>
  <c r="BH246" i="5"/>
  <c r="BH52" i="5"/>
  <c r="BH106" i="5"/>
  <c r="BH261" i="5"/>
  <c r="BH213" i="5"/>
  <c r="BQ93" i="7"/>
  <c r="BQ239" i="7"/>
  <c r="BH173" i="5"/>
  <c r="BH192" i="5"/>
  <c r="BH166" i="5"/>
  <c r="BH121" i="5"/>
  <c r="BQ33" i="7"/>
  <c r="BQ166" i="7"/>
  <c r="BH67" i="5"/>
  <c r="BH131" i="5"/>
  <c r="BQ284" i="7"/>
  <c r="BQ30" i="7"/>
  <c r="BQ293" i="7"/>
  <c r="BH87" i="5"/>
  <c r="BQ244" i="7"/>
  <c r="BH170" i="5"/>
  <c r="BH120" i="5"/>
  <c r="BH68" i="5"/>
  <c r="BQ67" i="7"/>
  <c r="BQ258" i="7"/>
  <c r="BQ147" i="7"/>
  <c r="BQ181" i="7"/>
  <c r="BQ111" i="7"/>
  <c r="BQ168" i="7"/>
  <c r="BQ169" i="7"/>
  <c r="BQ178" i="7"/>
  <c r="BQ74" i="7"/>
  <c r="BQ80" i="7"/>
  <c r="BH278" i="5"/>
  <c r="BH164" i="5"/>
  <c r="BQ116" i="7"/>
  <c r="BH294" i="5"/>
  <c r="BH125" i="5"/>
  <c r="BH155" i="5"/>
  <c r="BH49" i="5"/>
  <c r="BH163" i="5"/>
  <c r="BH282" i="5"/>
  <c r="BQ137" i="7"/>
  <c r="BH63" i="5"/>
  <c r="BQ162" i="7"/>
  <c r="BQ31" i="7"/>
  <c r="BH76" i="5"/>
  <c r="BH248" i="5"/>
  <c r="BH126" i="5"/>
  <c r="BH37" i="5"/>
  <c r="BQ307" i="7"/>
  <c r="BH202" i="5"/>
  <c r="BH235" i="5"/>
  <c r="BH107" i="5"/>
  <c r="BQ182" i="7"/>
  <c r="BQ304" i="7"/>
  <c r="BH267" i="5"/>
  <c r="BH45" i="5"/>
  <c r="BH279" i="5"/>
  <c r="BH291" i="5"/>
  <c r="BH58" i="5"/>
  <c r="BH34" i="5"/>
  <c r="BQ122" i="7"/>
  <c r="BQ305" i="7"/>
  <c r="BQ253" i="7"/>
  <c r="BH167" i="5"/>
  <c r="BH183" i="5"/>
  <c r="BQ228" i="7"/>
  <c r="BH145" i="5"/>
  <c r="BH51" i="5"/>
  <c r="BQ278" i="7"/>
  <c r="BH270" i="5"/>
  <c r="BH158" i="5"/>
  <c r="BQ255" i="7"/>
  <c r="BQ223" i="7"/>
  <c r="BQ78" i="7"/>
  <c r="BQ175" i="7"/>
  <c r="BQ199" i="7"/>
  <c r="BQ62" i="7"/>
  <c r="BQ288" i="7"/>
  <c r="BQ260" i="7"/>
  <c r="BQ63" i="7"/>
  <c r="BQ66" i="7"/>
  <c r="BQ55" i="7"/>
  <c r="BQ75" i="7"/>
  <c r="BQ179" i="7"/>
  <c r="BH95" i="5"/>
  <c r="BH228" i="5"/>
  <c r="BQ19" i="7"/>
  <c r="BQ25" i="7"/>
  <c r="BQ20" i="7"/>
  <c r="M16" i="7"/>
  <c r="BQ16" i="7" s="1"/>
  <c r="A13" i="6"/>
  <c r="A14" i="6"/>
  <c r="M17" i="7"/>
  <c r="BQ17" i="7" s="1"/>
  <c r="BQ23" i="7"/>
  <c r="Q23" i="6"/>
  <c r="G23" i="6"/>
  <c r="I26" i="7" s="1"/>
  <c r="F23" i="6"/>
  <c r="H26" i="7" s="1"/>
  <c r="A26" i="7"/>
  <c r="T23" i="6"/>
  <c r="I23" i="6"/>
  <c r="K26" i="7" s="1"/>
  <c r="H23" i="6"/>
  <c r="J26" i="7" s="1"/>
  <c r="E23" i="6"/>
  <c r="G26" i="7" s="1"/>
  <c r="D23" i="6"/>
  <c r="F26" i="7" s="1"/>
  <c r="I19" i="6"/>
  <c r="K22" i="7" s="1"/>
  <c r="A22" i="7"/>
  <c r="D19" i="6"/>
  <c r="F22" i="7" s="1"/>
  <c r="F19" i="6"/>
  <c r="H22" i="7" s="1"/>
  <c r="E19" i="6"/>
  <c r="G22" i="7" s="1"/>
  <c r="H19" i="6"/>
  <c r="J22" i="7" s="1"/>
  <c r="Q19" i="6"/>
  <c r="G19" i="6"/>
  <c r="I22" i="7" s="1"/>
  <c r="T19" i="6"/>
  <c r="Q20" i="6"/>
  <c r="T20" i="6"/>
  <c r="G20" i="6"/>
  <c r="I23" i="7" s="1"/>
  <c r="E20" i="6"/>
  <c r="G23" i="7" s="1"/>
  <c r="G16" i="6"/>
  <c r="I19" i="7" s="1"/>
  <c r="D16" i="6"/>
  <c r="F19" i="7" s="1"/>
  <c r="Q16" i="6"/>
  <c r="F16" i="6"/>
  <c r="H19" i="7" s="1"/>
  <c r="T16" i="6"/>
  <c r="E16" i="6"/>
  <c r="G19" i="7" s="1"/>
  <c r="T17" i="6"/>
  <c r="I17" i="6"/>
  <c r="K20" i="7" s="1"/>
  <c r="G17" i="6"/>
  <c r="I20" i="7" s="1"/>
  <c r="H17" i="6"/>
  <c r="J20" i="7" s="1"/>
  <c r="E17" i="6"/>
  <c r="G20" i="7" s="1"/>
  <c r="Q17" i="6"/>
  <c r="A20" i="7"/>
  <c r="F17" i="6"/>
  <c r="H20" i="7" s="1"/>
  <c r="D17" i="6"/>
  <c r="F20" i="7" s="1"/>
  <c r="G15" i="6"/>
  <c r="I18" i="7" s="1"/>
  <c r="E15" i="6"/>
  <c r="G18" i="7" s="1"/>
  <c r="H15" i="6"/>
  <c r="J18" i="7" s="1"/>
  <c r="I15" i="6"/>
  <c r="K18" i="7" s="1"/>
  <c r="Q15" i="6"/>
  <c r="A18" i="7"/>
  <c r="D15" i="6"/>
  <c r="F18" i="7" s="1"/>
  <c r="F15" i="6"/>
  <c r="H18" i="7" s="1"/>
  <c r="T15" i="6"/>
  <c r="I18" i="6"/>
  <c r="K21" i="7" s="1"/>
  <c r="Q18" i="6"/>
  <c r="H18" i="6"/>
  <c r="J21" i="7" s="1"/>
  <c r="T18" i="6"/>
  <c r="E18" i="6"/>
  <c r="G21" i="7" s="1"/>
  <c r="D18" i="6"/>
  <c r="F21" i="7" s="1"/>
  <c r="A21" i="7"/>
  <c r="G18" i="6"/>
  <c r="I21" i="7" s="1"/>
  <c r="F18" i="6"/>
  <c r="H21" i="7" s="1"/>
  <c r="I21" i="6"/>
  <c r="K24" i="7" s="1"/>
  <c r="C22" i="12"/>
  <c r="C23" i="12" s="1"/>
  <c r="F106" i="2"/>
  <c r="A107" i="2"/>
  <c r="B106" i="2"/>
  <c r="Y84" i="2"/>
  <c r="W84" i="2"/>
  <c r="V84" i="2"/>
  <c r="X84" i="2"/>
  <c r="Z84" i="2"/>
  <c r="N86" i="2"/>
  <c r="P85" i="2"/>
  <c r="O85" i="2"/>
  <c r="B23" i="12"/>
  <c r="H21" i="6" l="1"/>
  <c r="J24" i="7" s="1"/>
  <c r="AH24" i="7" s="1"/>
  <c r="AI24" i="7" s="1"/>
  <c r="A19" i="7"/>
  <c r="D20" i="6"/>
  <c r="F23" i="7" s="1"/>
  <c r="F20" i="6"/>
  <c r="H23" i="7" s="1"/>
  <c r="I16" i="6"/>
  <c r="K19" i="7" s="1"/>
  <c r="I20" i="6"/>
  <c r="K23" i="7" s="1"/>
  <c r="H20" i="6"/>
  <c r="J23" i="7" s="1"/>
  <c r="AH23" i="7" s="1"/>
  <c r="AI23" i="7" s="1"/>
  <c r="G22" i="6"/>
  <c r="I25" i="7" s="1"/>
  <c r="AK25" i="7" s="1"/>
  <c r="AH27" i="7"/>
  <c r="AI27" i="7" s="1"/>
  <c r="AJ27" i="7"/>
  <c r="A25" i="7"/>
  <c r="D22" i="6"/>
  <c r="F25" i="7" s="1"/>
  <c r="H22" i="6"/>
  <c r="J25" i="7" s="1"/>
  <c r="I22" i="6"/>
  <c r="K25" i="7" s="1"/>
  <c r="Q22" i="6"/>
  <c r="S22" i="6" s="1"/>
  <c r="X25" i="7" s="1"/>
  <c r="E22" i="6"/>
  <c r="G25" i="7" s="1"/>
  <c r="F22" i="6"/>
  <c r="H25" i="7" s="1"/>
  <c r="V24" i="6"/>
  <c r="AA27" i="7" s="1"/>
  <c r="AL27" i="7" s="1"/>
  <c r="S24" i="6"/>
  <c r="X27" i="7" s="1"/>
  <c r="AO27" i="7" s="1"/>
  <c r="Z24" i="6"/>
  <c r="AE27" i="7" s="1"/>
  <c r="BE27" i="7" s="1"/>
  <c r="AD24" i="6" s="1"/>
  <c r="F21" i="6"/>
  <c r="H24" i="7" s="1"/>
  <c r="A24" i="7"/>
  <c r="D21" i="6"/>
  <c r="F24" i="7" s="1"/>
  <c r="T21" i="6"/>
  <c r="V21" i="6" s="1"/>
  <c r="AA24" i="7" s="1"/>
  <c r="AL24" i="7" s="1"/>
  <c r="Q21" i="6"/>
  <c r="S21" i="6" s="1"/>
  <c r="X24" i="7" s="1"/>
  <c r="E21" i="6"/>
  <c r="G24" i="7" s="1"/>
  <c r="G14" i="6"/>
  <c r="I17" i="7" s="1"/>
  <c r="H14" i="6"/>
  <c r="J17" i="7" s="1"/>
  <c r="Q14" i="6"/>
  <c r="E14" i="6"/>
  <c r="G17" i="7" s="1"/>
  <c r="T14" i="6"/>
  <c r="Y17" i="7" s="1"/>
  <c r="I14" i="6"/>
  <c r="K17" i="7" s="1"/>
  <c r="D14" i="6"/>
  <c r="F17" i="7" s="1"/>
  <c r="F14" i="6"/>
  <c r="H17" i="7" s="1"/>
  <c r="A17" i="7"/>
  <c r="Q13" i="6"/>
  <c r="A16" i="7"/>
  <c r="I13" i="6"/>
  <c r="K16" i="7" s="1"/>
  <c r="F13" i="6"/>
  <c r="H16" i="7" s="1"/>
  <c r="D13" i="6"/>
  <c r="F16" i="7" s="1"/>
  <c r="G13" i="6"/>
  <c r="I16" i="7" s="1"/>
  <c r="T13" i="6"/>
  <c r="H13" i="6"/>
  <c r="E13" i="6"/>
  <c r="G16" i="7" s="1"/>
  <c r="Z19" i="6"/>
  <c r="AE22" i="7" s="1"/>
  <c r="AG22" i="7" s="1"/>
  <c r="AH18" i="7"/>
  <c r="AI18" i="7" s="1"/>
  <c r="AH26" i="7"/>
  <c r="AI26" i="7" s="1"/>
  <c r="Z15" i="6"/>
  <c r="AE18" i="7" s="1"/>
  <c r="S15" i="6"/>
  <c r="X18" i="7" s="1"/>
  <c r="V18" i="7"/>
  <c r="AK18" i="7"/>
  <c r="AJ18" i="7"/>
  <c r="AK20" i="7"/>
  <c r="AH20" i="7"/>
  <c r="AI20" i="7" s="1"/>
  <c r="AJ20" i="7"/>
  <c r="AJ25" i="7"/>
  <c r="Y22" i="7"/>
  <c r="V19" i="6"/>
  <c r="AA22" i="7" s="1"/>
  <c r="AL22" i="7" s="1"/>
  <c r="Z21" i="6"/>
  <c r="AE24" i="7" s="1"/>
  <c r="Z18" i="6"/>
  <c r="AE21" i="7" s="1"/>
  <c r="S18" i="6"/>
  <c r="X21" i="7" s="1"/>
  <c r="V21" i="7"/>
  <c r="Z17" i="6"/>
  <c r="AE20" i="7" s="1"/>
  <c r="S17" i="6"/>
  <c r="X20" i="7" s="1"/>
  <c r="V20" i="7"/>
  <c r="V22" i="6"/>
  <c r="AA25" i="7" s="1"/>
  <c r="AL25" i="7" s="1"/>
  <c r="Y25" i="7"/>
  <c r="AK19" i="7"/>
  <c r="AJ19" i="7"/>
  <c r="AH19" i="7"/>
  <c r="AI19" i="7" s="1"/>
  <c r="AK23" i="7"/>
  <c r="AJ23" i="7"/>
  <c r="S20" i="6"/>
  <c r="X23" i="7" s="1"/>
  <c r="V23" i="7"/>
  <c r="AK22" i="7"/>
  <c r="AJ22" i="7"/>
  <c r="AH22" i="7"/>
  <c r="AI22" i="7" s="1"/>
  <c r="Z23" i="6"/>
  <c r="AE26" i="7" s="1"/>
  <c r="AJ26" i="7"/>
  <c r="AK26" i="7"/>
  <c r="Z16" i="6"/>
  <c r="AE19" i="7" s="1"/>
  <c r="V17" i="6"/>
  <c r="AA20" i="7" s="1"/>
  <c r="AL20" i="7" s="1"/>
  <c r="Y20" i="7"/>
  <c r="V22" i="7"/>
  <c r="S19" i="6"/>
  <c r="X22" i="7" s="1"/>
  <c r="V23" i="6"/>
  <c r="AA26" i="7" s="1"/>
  <c r="AL26" i="7" s="1"/>
  <c r="Y26" i="7"/>
  <c r="S23" i="6"/>
  <c r="X26" i="7" s="1"/>
  <c r="V26" i="7"/>
  <c r="AJ24" i="7"/>
  <c r="AK24" i="7"/>
  <c r="AJ21" i="7"/>
  <c r="AH21" i="7"/>
  <c r="AI21" i="7" s="1"/>
  <c r="AK21" i="7"/>
  <c r="V18" i="6"/>
  <c r="AA21" i="7" s="1"/>
  <c r="AL21" i="7" s="1"/>
  <c r="Y21" i="7"/>
  <c r="V15" i="6"/>
  <c r="AA18" i="7" s="1"/>
  <c r="AL18" i="7" s="1"/>
  <c r="Y18" i="7"/>
  <c r="V16" i="6"/>
  <c r="AA19" i="7" s="1"/>
  <c r="AL19" i="7" s="1"/>
  <c r="Y19" i="7"/>
  <c r="V19" i="7"/>
  <c r="S16" i="6"/>
  <c r="X19" i="7" s="1"/>
  <c r="Y23" i="7"/>
  <c r="V20" i="6"/>
  <c r="AA23" i="7" s="1"/>
  <c r="AL23" i="7" s="1"/>
  <c r="C24" i="12"/>
  <c r="Z85" i="2"/>
  <c r="W85" i="2"/>
  <c r="Y85" i="2"/>
  <c r="X85" i="2"/>
  <c r="V85" i="2"/>
  <c r="P86" i="2"/>
  <c r="N87" i="2"/>
  <c r="O86" i="2"/>
  <c r="F107" i="2"/>
  <c r="A108" i="2"/>
  <c r="B107" i="2"/>
  <c r="B24" i="12"/>
  <c r="Z22" i="6" l="1"/>
  <c r="AE25" i="7" s="1"/>
  <c r="Z20" i="6"/>
  <c r="AE23" i="7" s="1"/>
  <c r="Q23" i="7" s="1"/>
  <c r="R23" i="7" s="1"/>
  <c r="AQ27" i="7"/>
  <c r="AH25" i="7"/>
  <c r="AI25" i="7" s="1"/>
  <c r="V25" i="7"/>
  <c r="V24" i="7"/>
  <c r="AN27" i="7"/>
  <c r="AP27" i="7" s="1"/>
  <c r="AR27" i="7" s="1"/>
  <c r="Y24" i="7"/>
  <c r="Q27" i="7"/>
  <c r="R27" i="7" s="1"/>
  <c r="BF27" i="7" s="1"/>
  <c r="AE24" i="6" s="1"/>
  <c r="AG27" i="7"/>
  <c r="BA27" i="7" s="1"/>
  <c r="AF27" i="7"/>
  <c r="Z14" i="6"/>
  <c r="AE17" i="7" s="1"/>
  <c r="Q17" i="7" s="1"/>
  <c r="R17" i="7" s="1"/>
  <c r="BR29" i="7"/>
  <c r="BR116" i="7"/>
  <c r="BR198" i="7"/>
  <c r="BR53" i="7"/>
  <c r="BR138" i="7"/>
  <c r="BR314" i="7"/>
  <c r="BR133" i="7"/>
  <c r="BR73" i="7"/>
  <c r="BR37" i="7"/>
  <c r="BR68" i="7"/>
  <c r="BR105" i="7"/>
  <c r="BR35" i="7"/>
  <c r="BR177" i="7"/>
  <c r="BR178" i="7"/>
  <c r="BR206" i="7"/>
  <c r="BR38" i="7"/>
  <c r="BR58" i="7"/>
  <c r="BR196" i="7"/>
  <c r="BR166" i="7"/>
  <c r="BR25" i="7"/>
  <c r="BR21" i="7"/>
  <c r="BR143" i="7"/>
  <c r="BR88" i="7"/>
  <c r="BR174" i="7"/>
  <c r="BR207" i="7"/>
  <c r="BR219" i="7"/>
  <c r="BR253" i="7"/>
  <c r="BR304" i="7"/>
  <c r="BR204" i="7"/>
  <c r="BR218" i="7"/>
  <c r="BR67" i="7"/>
  <c r="BR79" i="7"/>
  <c r="AF22" i="7"/>
  <c r="BR24" i="7"/>
  <c r="BR201" i="7"/>
  <c r="BR300" i="7"/>
  <c r="BR141" i="7"/>
  <c r="BR298" i="7"/>
  <c r="BR244" i="7"/>
  <c r="BR297" i="7"/>
  <c r="BR269" i="7"/>
  <c r="BR262" i="7"/>
  <c r="BR267" i="7"/>
  <c r="BR179" i="7"/>
  <c r="BR57" i="7"/>
  <c r="BR310" i="7"/>
  <c r="BR99" i="7"/>
  <c r="BR27" i="7"/>
  <c r="BR107" i="7"/>
  <c r="BR220" i="7"/>
  <c r="AJ16" i="7"/>
  <c r="AK16" i="7"/>
  <c r="BR228" i="7"/>
  <c r="BR89" i="7"/>
  <c r="BR119" i="7"/>
  <c r="BR190" i="7"/>
  <c r="BR222" i="7"/>
  <c r="BR261" i="7"/>
  <c r="BR151" i="7"/>
  <c r="BR275" i="7"/>
  <c r="BR127" i="7"/>
  <c r="BR273" i="7"/>
  <c r="BR83" i="7"/>
  <c r="BR95" i="7"/>
  <c r="BR34" i="7"/>
  <c r="BR142" i="7"/>
  <c r="BR16" i="7"/>
  <c r="BR170" i="7"/>
  <c r="BR150" i="7"/>
  <c r="BR109" i="7"/>
  <c r="BR249" i="7"/>
  <c r="BR214" i="7"/>
  <c r="BR96" i="7"/>
  <c r="BR200" i="7"/>
  <c r="BR292" i="7"/>
  <c r="BR186" i="7"/>
  <c r="BR69" i="7"/>
  <c r="BR259" i="7"/>
  <c r="BR82" i="7"/>
  <c r="BR225" i="7"/>
  <c r="BR155" i="7"/>
  <c r="BR113" i="7"/>
  <c r="BR86" i="7"/>
  <c r="BR60" i="7"/>
  <c r="BR47" i="7"/>
  <c r="BR121" i="7"/>
  <c r="BR165" i="7"/>
  <c r="BR234" i="7"/>
  <c r="BR65" i="7"/>
  <c r="BR120" i="7"/>
  <c r="BR43" i="7"/>
  <c r="BR94" i="7"/>
  <c r="BR287" i="7"/>
  <c r="BR230" i="7"/>
  <c r="BR236" i="7"/>
  <c r="BR229" i="7"/>
  <c r="BR137" i="7"/>
  <c r="BR125" i="7"/>
  <c r="BR205" i="7"/>
  <c r="BR87" i="7"/>
  <c r="BR257" i="7"/>
  <c r="BR128" i="7"/>
  <c r="BR108" i="7"/>
  <c r="BR118" i="7"/>
  <c r="BR126" i="7"/>
  <c r="BR256" i="7"/>
  <c r="BR122" i="7"/>
  <c r="BR93" i="7"/>
  <c r="BR313" i="7"/>
  <c r="BR77" i="7"/>
  <c r="BR51" i="7"/>
  <c r="BR66" i="7"/>
  <c r="BR23" i="7"/>
  <c r="BR182" i="7"/>
  <c r="BR64" i="7"/>
  <c r="BR227" i="7"/>
  <c r="BR231" i="7"/>
  <c r="BR268" i="7"/>
  <c r="BR224" i="7"/>
  <c r="BR163" i="7"/>
  <c r="BR48" i="7"/>
  <c r="BR19" i="7"/>
  <c r="BR103" i="7"/>
  <c r="BR247" i="7"/>
  <c r="BR281" i="7"/>
  <c r="BR157" i="7"/>
  <c r="BR289" i="7"/>
  <c r="BR145" i="7"/>
  <c r="BR309" i="7"/>
  <c r="BR139" i="7"/>
  <c r="BR44" i="7"/>
  <c r="BR271" i="7"/>
  <c r="BR172" i="7"/>
  <c r="BR156" i="7"/>
  <c r="BR63" i="7"/>
  <c r="BR140" i="7"/>
  <c r="BR239" i="7"/>
  <c r="BR18" i="7"/>
  <c r="BR308" i="7"/>
  <c r="BR288" i="7"/>
  <c r="BR131" i="7"/>
  <c r="BR71" i="7"/>
  <c r="BR197" i="7"/>
  <c r="BR258" i="7"/>
  <c r="BR98" i="7"/>
  <c r="BR129" i="7"/>
  <c r="BR245" i="7"/>
  <c r="BR296" i="7"/>
  <c r="BR167" i="7"/>
  <c r="BR250" i="7"/>
  <c r="BR221" i="7"/>
  <c r="BR80" i="7"/>
  <c r="BR52" i="7"/>
  <c r="BR290" i="7"/>
  <c r="BR61" i="7"/>
  <c r="BR191" i="7"/>
  <c r="BR248" i="7"/>
  <c r="BR112" i="7"/>
  <c r="BR100" i="7"/>
  <c r="BR30" i="7"/>
  <c r="BR277" i="7"/>
  <c r="BR210" i="7"/>
  <c r="BR278" i="7"/>
  <c r="BR181" i="7"/>
  <c r="BR260" i="7"/>
  <c r="BR315" i="7"/>
  <c r="BR272" i="7"/>
  <c r="BR50" i="7"/>
  <c r="BR59" i="7"/>
  <c r="BR85" i="7"/>
  <c r="BR159" i="7"/>
  <c r="BR194" i="7"/>
  <c r="BR49" i="7"/>
  <c r="BR232" i="7"/>
  <c r="BR242" i="7"/>
  <c r="BR237" i="7"/>
  <c r="BR17" i="7"/>
  <c r="BR203" i="7"/>
  <c r="BR31" i="7"/>
  <c r="BR168" i="7"/>
  <c r="BR136" i="7"/>
  <c r="BR42" i="7"/>
  <c r="BR183" i="7"/>
  <c r="BR302" i="7"/>
  <c r="BR36" i="7"/>
  <c r="BR301" i="7"/>
  <c r="BR132" i="7"/>
  <c r="BR252" i="7"/>
  <c r="BR75" i="7"/>
  <c r="BR212" i="7"/>
  <c r="BR81" i="7"/>
  <c r="BR56" i="7"/>
  <c r="BR101" i="7"/>
  <c r="BR123" i="7"/>
  <c r="BR28" i="7"/>
  <c r="BR255" i="7"/>
  <c r="BR70" i="7"/>
  <c r="BR148" i="7"/>
  <c r="BR192" i="7"/>
  <c r="BR216" i="7"/>
  <c r="BR176" i="7"/>
  <c r="BR164" i="7"/>
  <c r="BR311" i="7"/>
  <c r="BR130" i="7"/>
  <c r="BR144" i="7"/>
  <c r="BR32" i="7"/>
  <c r="BR46" i="7"/>
  <c r="BR254" i="7"/>
  <c r="BR284" i="7"/>
  <c r="BR162" i="7"/>
  <c r="BR193" i="7"/>
  <c r="BR312" i="7"/>
  <c r="BR72" i="7"/>
  <c r="BR307" i="7"/>
  <c r="BR55" i="7"/>
  <c r="BR294" i="7"/>
  <c r="BR208" i="7"/>
  <c r="BR291" i="7"/>
  <c r="BR299" i="7"/>
  <c r="BR149" i="7"/>
  <c r="BR147" i="7"/>
  <c r="BR246" i="7"/>
  <c r="BR92" i="7"/>
  <c r="BR33" i="7"/>
  <c r="BR161" i="7"/>
  <c r="BR185" i="7"/>
  <c r="BR45" i="7"/>
  <c r="BR303" i="7"/>
  <c r="BR238" i="7"/>
  <c r="BR265" i="7"/>
  <c r="BR110" i="7"/>
  <c r="BR117" i="7"/>
  <c r="BR152" i="7"/>
  <c r="BR154" i="7"/>
  <c r="BR124" i="7"/>
  <c r="BR169" i="7"/>
  <c r="BR180" i="7"/>
  <c r="BR84" i="7"/>
  <c r="BR264" i="7"/>
  <c r="BR233" i="7"/>
  <c r="BR104" i="7"/>
  <c r="BR54" i="7"/>
  <c r="BR189" i="7"/>
  <c r="BR90" i="7"/>
  <c r="BR146" i="7"/>
  <c r="BR153" i="7"/>
  <c r="BR263" i="7"/>
  <c r="BR188" i="7"/>
  <c r="BR217" i="7"/>
  <c r="BR39" i="7"/>
  <c r="BR26" i="7"/>
  <c r="BR22" i="7"/>
  <c r="BR91" i="7"/>
  <c r="BR187" i="7"/>
  <c r="BR276" i="7"/>
  <c r="BR274" i="7"/>
  <c r="BR114" i="7"/>
  <c r="BR41" i="7"/>
  <c r="BR175" i="7"/>
  <c r="BR97" i="7"/>
  <c r="BR286" i="7"/>
  <c r="BR173" i="7"/>
  <c r="BR134" i="7"/>
  <c r="BR209" i="7"/>
  <c r="BR293" i="7"/>
  <c r="BR295" i="7"/>
  <c r="J16" i="7"/>
  <c r="AH16" i="7" s="1"/>
  <c r="AI16" i="7" s="1"/>
  <c r="Z13" i="6"/>
  <c r="AE16" i="7" s="1"/>
  <c r="BR184" i="7"/>
  <c r="BR106" i="7"/>
  <c r="BR40" i="7"/>
  <c r="BR199" i="7"/>
  <c r="BR226" i="7"/>
  <c r="BR158" i="7"/>
  <c r="BR160" i="7"/>
  <c r="BR305" i="7"/>
  <c r="BR279" i="7"/>
  <c r="BR195" i="7"/>
  <c r="BR223" i="7"/>
  <c r="BR135" i="7"/>
  <c r="BR266" i="7"/>
  <c r="BR240" i="7"/>
  <c r="BR306" i="7"/>
  <c r="BR283" i="7"/>
  <c r="BR78" i="7"/>
  <c r="BR285" i="7"/>
  <c r="BR74" i="7"/>
  <c r="BR241" i="7"/>
  <c r="BR270" i="7"/>
  <c r="BR215" i="7"/>
  <c r="BR171" i="7"/>
  <c r="BR20" i="7"/>
  <c r="BR62" i="7"/>
  <c r="BR102" i="7"/>
  <c r="BR111" i="7"/>
  <c r="BR251" i="7"/>
  <c r="BR282" i="7"/>
  <c r="BR76" i="7"/>
  <c r="BR213" i="7"/>
  <c r="BR115" i="7"/>
  <c r="BR243" i="7"/>
  <c r="BR202" i="7"/>
  <c r="BR211" i="7"/>
  <c r="BR235" i="7"/>
  <c r="BR280" i="7"/>
  <c r="S13" i="6"/>
  <c r="X16" i="7" s="1"/>
  <c r="V16" i="7"/>
  <c r="S14" i="6"/>
  <c r="X17" i="7" s="1"/>
  <c r="V17" i="7"/>
  <c r="V13" i="6"/>
  <c r="AA16" i="7" s="1"/>
  <c r="AL16" i="7" s="1"/>
  <c r="Y16" i="7"/>
  <c r="AJ17" i="7"/>
  <c r="AK17" i="7"/>
  <c r="AH17" i="7"/>
  <c r="AI17" i="7" s="1"/>
  <c r="Q22" i="7"/>
  <c r="R22" i="7" s="1"/>
  <c r="BC22" i="7"/>
  <c r="BB22" i="7"/>
  <c r="BJ22" i="7"/>
  <c r="BK22" i="7" s="1"/>
  <c r="BA22" i="7"/>
  <c r="BD22" i="7"/>
  <c r="AO21" i="7"/>
  <c r="AN21" i="7"/>
  <c r="AP21" i="7" s="1"/>
  <c r="AG20" i="7"/>
  <c r="Q20" i="7"/>
  <c r="R20" i="7" s="1"/>
  <c r="AF20" i="7"/>
  <c r="AO20" i="7"/>
  <c r="Q18" i="7"/>
  <c r="R18" i="7" s="1"/>
  <c r="AF18" i="7"/>
  <c r="AG18" i="7"/>
  <c r="AO26" i="7"/>
  <c r="AN26" i="7"/>
  <c r="AN18" i="7"/>
  <c r="AG25" i="7"/>
  <c r="Q25" i="7"/>
  <c r="R25" i="7" s="1"/>
  <c r="AF25" i="7"/>
  <c r="AG23" i="7"/>
  <c r="AF23" i="7"/>
  <c r="AG19" i="7"/>
  <c r="AF19" i="7"/>
  <c r="Q19" i="7"/>
  <c r="R19" i="7" s="1"/>
  <c r="AF24" i="7"/>
  <c r="AG24" i="7"/>
  <c r="Q24" i="7"/>
  <c r="R24" i="7" s="1"/>
  <c r="AO24" i="7"/>
  <c r="AN24" i="7"/>
  <c r="AF26" i="7"/>
  <c r="AG26" i="7"/>
  <c r="Q26" i="7"/>
  <c r="R26" i="7" s="1"/>
  <c r="AN22" i="7"/>
  <c r="AO22" i="7"/>
  <c r="AN23" i="7"/>
  <c r="AO23" i="7"/>
  <c r="AN19" i="7"/>
  <c r="AO19" i="7"/>
  <c r="AN20" i="7"/>
  <c r="AF21" i="7"/>
  <c r="Q21" i="7"/>
  <c r="R21" i="7" s="1"/>
  <c r="AG21" i="7"/>
  <c r="AN25" i="7"/>
  <c r="AO25" i="7"/>
  <c r="AO18" i="7"/>
  <c r="C25" i="12"/>
  <c r="W86" i="2"/>
  <c r="X86" i="2"/>
  <c r="Y86" i="2"/>
  <c r="Z86" i="2"/>
  <c r="V86" i="2"/>
  <c r="F108" i="2"/>
  <c r="A109" i="2"/>
  <c r="B108" i="2"/>
  <c r="N88" i="2"/>
  <c r="O87" i="2"/>
  <c r="P87" i="2"/>
  <c r="BD27" i="7" l="1"/>
  <c r="BJ27" i="7"/>
  <c r="BK27" i="7" s="1"/>
  <c r="AG24" i="6" s="1"/>
  <c r="AG17" i="7"/>
  <c r="BJ17" i="7" s="1"/>
  <c r="BK17" i="7" s="1"/>
  <c r="AG14" i="6" s="1"/>
  <c r="AA24" i="6"/>
  <c r="AT27" i="7"/>
  <c r="AC24" i="6" s="1"/>
  <c r="AS27" i="7"/>
  <c r="AB24" i="6" s="1"/>
  <c r="AF17" i="7"/>
  <c r="BG27" i="7"/>
  <c r="AF24" i="6" s="1"/>
  <c r="BB27" i="7"/>
  <c r="BC27" i="7"/>
  <c r="AO17" i="7"/>
  <c r="AN17" i="7"/>
  <c r="AG16" i="7"/>
  <c r="Q16" i="7"/>
  <c r="R16" i="7" s="1"/>
  <c r="BS202" i="7" s="1"/>
  <c r="AF16" i="7"/>
  <c r="AN16" i="7"/>
  <c r="AO16" i="7"/>
  <c r="BE22" i="7"/>
  <c r="AD19" i="6" s="1"/>
  <c r="BL22" i="7"/>
  <c r="AG19" i="6"/>
  <c r="BD26" i="7"/>
  <c r="BA26" i="7"/>
  <c r="BJ26" i="7"/>
  <c r="BK26" i="7" s="1"/>
  <c r="AG23" i="6" s="1"/>
  <c r="BB26" i="7"/>
  <c r="BC26" i="7"/>
  <c r="BA23" i="7"/>
  <c r="BD23" i="7"/>
  <c r="BB23" i="7"/>
  <c r="BC23" i="7"/>
  <c r="BJ23" i="7"/>
  <c r="BK23" i="7" s="1"/>
  <c r="AG20" i="6" s="1"/>
  <c r="BC21" i="7"/>
  <c r="BA21" i="7"/>
  <c r="BJ21" i="7"/>
  <c r="BK21" i="7" s="1"/>
  <c r="AG18" i="6" s="1"/>
  <c r="BB21" i="7"/>
  <c r="BD21" i="7"/>
  <c r="BJ24" i="7"/>
  <c r="BK24" i="7" s="1"/>
  <c r="AG21" i="6" s="1"/>
  <c r="BC24" i="7"/>
  <c r="BB24" i="7"/>
  <c r="BD24" i="7"/>
  <c r="BA24" i="7"/>
  <c r="BJ19" i="7"/>
  <c r="BK19" i="7" s="1"/>
  <c r="BA19" i="7"/>
  <c r="BB19" i="7"/>
  <c r="BC19" i="7"/>
  <c r="BD19" i="7"/>
  <c r="BJ25" i="7"/>
  <c r="BK25" i="7" s="1"/>
  <c r="BD25" i="7"/>
  <c r="BA25" i="7"/>
  <c r="BB25" i="7"/>
  <c r="BC25" i="7"/>
  <c r="BB18" i="7"/>
  <c r="BC18" i="7"/>
  <c r="BD18" i="7"/>
  <c r="BJ18" i="7"/>
  <c r="BK18" i="7" s="1"/>
  <c r="BA18" i="7"/>
  <c r="BJ20" i="7"/>
  <c r="BK20" i="7" s="1"/>
  <c r="BD20" i="7"/>
  <c r="BB20" i="7"/>
  <c r="BC20" i="7"/>
  <c r="BA20" i="7"/>
  <c r="C26" i="12"/>
  <c r="O88" i="2"/>
  <c r="P88" i="2"/>
  <c r="N89" i="2"/>
  <c r="V87" i="2"/>
  <c r="Y87" i="2"/>
  <c r="W87" i="2"/>
  <c r="Z87" i="2"/>
  <c r="X87" i="2"/>
  <c r="F109" i="2"/>
  <c r="A110" i="2"/>
  <c r="B109" i="2"/>
  <c r="BU202" i="7"/>
  <c r="B25" i="12"/>
  <c r="B26" i="12"/>
  <c r="BN27" i="7" l="1"/>
  <c r="BO27" i="7" s="1"/>
  <c r="BH23" i="5" s="1"/>
  <c r="BD17" i="7"/>
  <c r="BS235" i="7"/>
  <c r="BC17" i="7"/>
  <c r="BA17" i="7"/>
  <c r="BB17" i="7"/>
  <c r="BL27" i="7"/>
  <c r="BS174" i="7"/>
  <c r="BS299" i="7"/>
  <c r="BS315" i="7"/>
  <c r="BS232" i="7"/>
  <c r="BS236" i="7"/>
  <c r="BS85" i="7"/>
  <c r="BS103" i="7"/>
  <c r="BS311" i="7"/>
  <c r="BS284" i="7"/>
  <c r="BS221" i="7"/>
  <c r="BS264" i="7"/>
  <c r="BS177" i="7"/>
  <c r="BS256" i="7"/>
  <c r="BS43" i="7"/>
  <c r="BS156" i="7"/>
  <c r="BS38" i="7"/>
  <c r="BS55" i="7"/>
  <c r="BS306" i="7"/>
  <c r="BS252" i="7"/>
  <c r="BS281" i="7"/>
  <c r="BS295" i="7"/>
  <c r="BS154" i="7"/>
  <c r="BS239" i="7"/>
  <c r="BS267" i="7"/>
  <c r="BS135" i="7"/>
  <c r="BS167" i="7"/>
  <c r="BS254" i="7"/>
  <c r="BS142" i="7"/>
  <c r="BS114" i="7"/>
  <c r="BS227" i="7"/>
  <c r="BS273" i="7"/>
  <c r="BS192" i="7"/>
  <c r="BS215" i="7"/>
  <c r="BS41" i="7"/>
  <c r="BS148" i="7"/>
  <c r="BS274" i="7"/>
  <c r="BS94" i="7"/>
  <c r="BS197" i="7"/>
  <c r="BS112" i="7"/>
  <c r="BS195" i="7"/>
  <c r="BS46" i="7"/>
  <c r="BS250" i="7"/>
  <c r="BS143" i="7"/>
  <c r="BS16" i="7"/>
  <c r="BS146" i="7"/>
  <c r="BS111" i="7"/>
  <c r="BS25" i="7"/>
  <c r="BS47" i="7"/>
  <c r="BS290" i="7"/>
  <c r="BS129" i="7"/>
  <c r="BS231" i="7"/>
  <c r="BS289" i="7"/>
  <c r="BS19" i="7"/>
  <c r="BS44" i="7"/>
  <c r="BS312" i="7"/>
  <c r="BS151" i="7"/>
  <c r="BS209" i="7"/>
  <c r="BS65" i="7"/>
  <c r="BS169" i="7"/>
  <c r="BS115" i="7"/>
  <c r="BS180" i="7"/>
  <c r="BS130" i="7"/>
  <c r="BS73" i="7"/>
  <c r="BS49" i="7"/>
  <c r="BS213" i="7"/>
  <c r="BS260" i="7"/>
  <c r="BS21" i="7"/>
  <c r="BS184" i="7"/>
  <c r="BS95" i="7"/>
  <c r="BS106" i="7"/>
  <c r="BS68" i="7"/>
  <c r="BS304" i="7"/>
  <c r="BS28" i="7"/>
  <c r="BS214" i="7"/>
  <c r="BS89" i="7"/>
  <c r="BS42" i="7"/>
  <c r="BS124" i="7"/>
  <c r="BS56" i="7"/>
  <c r="BS303" i="7"/>
  <c r="BS35" i="7"/>
  <c r="BS225" i="7"/>
  <c r="BS266" i="7"/>
  <c r="BS178" i="7"/>
  <c r="BS308" i="7"/>
  <c r="BS238" i="7"/>
  <c r="BS193" i="7"/>
  <c r="BS175" i="7"/>
  <c r="BS33" i="7"/>
  <c r="BS160" i="7"/>
  <c r="BS189" i="7"/>
  <c r="BS37" i="7"/>
  <c r="BS144" i="7"/>
  <c r="BS245" i="7"/>
  <c r="BS117" i="7"/>
  <c r="BS258" i="7"/>
  <c r="BS240" i="7"/>
  <c r="BS309" i="7"/>
  <c r="BS66" i="7"/>
  <c r="BS79" i="7"/>
  <c r="BS218" i="7"/>
  <c r="BS80" i="7"/>
  <c r="BS48" i="7"/>
  <c r="BS291" i="7"/>
  <c r="BS247" i="7"/>
  <c r="BS216" i="7"/>
  <c r="BS69" i="7"/>
  <c r="BS88" i="7"/>
  <c r="BS253" i="7"/>
  <c r="BS63" i="7"/>
  <c r="BS277" i="7"/>
  <c r="BS186" i="7"/>
  <c r="BS29" i="7"/>
  <c r="BS234" i="7"/>
  <c r="BS93" i="7"/>
  <c r="BS110" i="7"/>
  <c r="BS81" i="7"/>
  <c r="BS170" i="7"/>
  <c r="BS157" i="7"/>
  <c r="BS198" i="7"/>
  <c r="BS32" i="7"/>
  <c r="BS228" i="7"/>
  <c r="BS305" i="7"/>
  <c r="BS82" i="7"/>
  <c r="BS120" i="7"/>
  <c r="BS77" i="7"/>
  <c r="BS220" i="7"/>
  <c r="BS176" i="7"/>
  <c r="BS237" i="7"/>
  <c r="BS67" i="7"/>
  <c r="BS255" i="7"/>
  <c r="BS39" i="7"/>
  <c r="BS204" i="7"/>
  <c r="BS53" i="7"/>
  <c r="BS296" i="7"/>
  <c r="BS205" i="7"/>
  <c r="BS122" i="7"/>
  <c r="BS272" i="7"/>
  <c r="BS242" i="7"/>
  <c r="BS259" i="7"/>
  <c r="BS78" i="7"/>
  <c r="BS194" i="7"/>
  <c r="BS191" i="7"/>
  <c r="BS282" i="7"/>
  <c r="BS126" i="7"/>
  <c r="BS168" i="7"/>
  <c r="BS222" i="7"/>
  <c r="BS229" i="7"/>
  <c r="BS276" i="7"/>
  <c r="BS72" i="7"/>
  <c r="BS31" i="7"/>
  <c r="BS301" i="7"/>
  <c r="BS87" i="7"/>
  <c r="BS96" i="7"/>
  <c r="BS162" i="7"/>
  <c r="BS30" i="7"/>
  <c r="BS161" i="7"/>
  <c r="BS105" i="7"/>
  <c r="BS185" i="7"/>
  <c r="BS183" i="7"/>
  <c r="BS62" i="7"/>
  <c r="BS121" i="7"/>
  <c r="BS139" i="7"/>
  <c r="BS141" i="7"/>
  <c r="BS211" i="7"/>
  <c r="BS52" i="7"/>
  <c r="BS61" i="7"/>
  <c r="BS70" i="7"/>
  <c r="BS107" i="7"/>
  <c r="BS158" i="7"/>
  <c r="BS97" i="7"/>
  <c r="BS173" i="7"/>
  <c r="BS288" i="7"/>
  <c r="BS241" i="7"/>
  <c r="BS108" i="7"/>
  <c r="BS83" i="7"/>
  <c r="BS20" i="7"/>
  <c r="BS127" i="7"/>
  <c r="BS280" i="7"/>
  <c r="BS313" i="7"/>
  <c r="BS182" i="7"/>
  <c r="BS140" i="7"/>
  <c r="BS206" i="7"/>
  <c r="BS74" i="7"/>
  <c r="BS99" i="7"/>
  <c r="BS118" i="7"/>
  <c r="BS76" i="7"/>
  <c r="BS275" i="7"/>
  <c r="BS84" i="7"/>
  <c r="BS217" i="7"/>
  <c r="BS164" i="7"/>
  <c r="BS104" i="7"/>
  <c r="BS249" i="7"/>
  <c r="BS101" i="7"/>
  <c r="BS279" i="7"/>
  <c r="BS145" i="7"/>
  <c r="BS196" i="7"/>
  <c r="BS293" i="7"/>
  <c r="BS302" i="7"/>
  <c r="BS226" i="7"/>
  <c r="BS307" i="7"/>
  <c r="BS179" i="7"/>
  <c r="BS57" i="7"/>
  <c r="BS128" i="7"/>
  <c r="BS23" i="7"/>
  <c r="BS171" i="7"/>
  <c r="BS17" i="7"/>
  <c r="BS187" i="7"/>
  <c r="BS22" i="7"/>
  <c r="BS159" i="7"/>
  <c r="BS132" i="7"/>
  <c r="BS270" i="7"/>
  <c r="BS294" i="7"/>
  <c r="BS298" i="7"/>
  <c r="BS138" i="7"/>
  <c r="BS119" i="7"/>
  <c r="BS90" i="7"/>
  <c r="BS133" i="7"/>
  <c r="BS207" i="7"/>
  <c r="BS98" i="7"/>
  <c r="BS60" i="7"/>
  <c r="BS257" i="7"/>
  <c r="BS75" i="7"/>
  <c r="BS91" i="7"/>
  <c r="BS208" i="7"/>
  <c r="BS163" i="7"/>
  <c r="BS246" i="7"/>
  <c r="BS125" i="7"/>
  <c r="BS113" i="7"/>
  <c r="BS58" i="7"/>
  <c r="BS109" i="7"/>
  <c r="BL17" i="7"/>
  <c r="BJ16" i="7"/>
  <c r="BK16" i="7" s="1"/>
  <c r="AG13" i="6" s="1"/>
  <c r="BC16" i="7"/>
  <c r="BB16" i="7"/>
  <c r="BD16" i="7"/>
  <c r="BA16" i="7"/>
  <c r="BS92" i="7"/>
  <c r="BS283" i="7"/>
  <c r="BS199" i="7"/>
  <c r="BS297" i="7"/>
  <c r="BS261" i="7"/>
  <c r="BS153" i="7"/>
  <c r="BS285" i="7"/>
  <c r="BS59" i="7"/>
  <c r="BS149" i="7"/>
  <c r="BS71" i="7"/>
  <c r="BS244" i="7"/>
  <c r="BS116" i="7"/>
  <c r="BS262" i="7"/>
  <c r="BS34" i="7"/>
  <c r="BS137" i="7"/>
  <c r="BS18" i="7"/>
  <c r="BS210" i="7"/>
  <c r="BS188" i="7"/>
  <c r="BS131" i="7"/>
  <c r="BS27" i="7"/>
  <c r="BS134" i="7"/>
  <c r="BS165" i="7"/>
  <c r="BS147" i="7"/>
  <c r="BS201" i="7"/>
  <c r="BS251" i="7"/>
  <c r="BS36" i="7"/>
  <c r="BS102" i="7"/>
  <c r="BS50" i="7"/>
  <c r="BS86" i="7"/>
  <c r="BS64" i="7"/>
  <c r="BS54" i="7"/>
  <c r="BS265" i="7"/>
  <c r="BS190" i="7"/>
  <c r="BS123" i="7"/>
  <c r="BS100" i="7"/>
  <c r="BS278" i="7"/>
  <c r="BS200" i="7"/>
  <c r="BS166" i="7"/>
  <c r="BS45" i="7"/>
  <c r="BS286" i="7"/>
  <c r="BS203" i="7"/>
  <c r="BS268" i="7"/>
  <c r="BS212" i="7"/>
  <c r="BS150" i="7"/>
  <c r="BS292" i="7"/>
  <c r="BS263" i="7"/>
  <c r="BS223" i="7"/>
  <c r="BS51" i="7"/>
  <c r="BS224" i="7"/>
  <c r="BS269" i="7"/>
  <c r="BS152" i="7"/>
  <c r="BS219" i="7"/>
  <c r="BS40" i="7"/>
  <c r="BS26" i="7"/>
  <c r="BS172" i="7"/>
  <c r="BS230" i="7"/>
  <c r="BS155" i="7"/>
  <c r="BS287" i="7"/>
  <c r="BS271" i="7"/>
  <c r="BS300" i="7"/>
  <c r="BS181" i="7"/>
  <c r="BS136" i="7"/>
  <c r="BS24" i="7"/>
  <c r="BS314" i="7"/>
  <c r="BS233" i="7"/>
  <c r="BS248" i="7"/>
  <c r="BS310" i="7"/>
  <c r="BS243" i="7"/>
  <c r="BF22" i="7"/>
  <c r="AG17" i="6"/>
  <c r="BL20" i="7"/>
  <c r="AH17" i="6" s="1"/>
  <c r="BE19" i="7"/>
  <c r="BE18" i="7"/>
  <c r="BL24" i="7"/>
  <c r="BE26" i="7"/>
  <c r="BL21" i="7"/>
  <c r="BM22" i="7"/>
  <c r="AI19" i="6" s="1"/>
  <c r="AH19" i="6"/>
  <c r="BL18" i="7"/>
  <c r="AG15" i="6"/>
  <c r="AG22" i="6"/>
  <c r="BL25" i="7"/>
  <c r="AG16" i="6"/>
  <c r="BL19" i="7"/>
  <c r="BL23" i="7"/>
  <c r="BE20" i="7"/>
  <c r="BE25" i="7"/>
  <c r="BE24" i="7"/>
  <c r="BE21" i="7"/>
  <c r="BE23" i="7"/>
  <c r="BL26" i="7"/>
  <c r="C27" i="12"/>
  <c r="Y88" i="2"/>
  <c r="Z88" i="2"/>
  <c r="V88" i="2"/>
  <c r="X88" i="2"/>
  <c r="W88" i="2"/>
  <c r="F110" i="2"/>
  <c r="A111" i="2"/>
  <c r="B110" i="2"/>
  <c r="AQ21" i="7"/>
  <c r="AR21" i="7" s="1"/>
  <c r="N90" i="2"/>
  <c r="P89" i="2"/>
  <c r="O89" i="2"/>
  <c r="BP27" i="7" l="1"/>
  <c r="BE16" i="7"/>
  <c r="BL16" i="7"/>
  <c r="BE17" i="7"/>
  <c r="AD14" i="6" s="1"/>
  <c r="AH24" i="6"/>
  <c r="BM27" i="7"/>
  <c r="AI24" i="6" s="1"/>
  <c r="AE19" i="6"/>
  <c r="BG22" i="7"/>
  <c r="AF19" i="6" s="1"/>
  <c r="BM17" i="7"/>
  <c r="AI14" i="6" s="1"/>
  <c r="AH14" i="6"/>
  <c r="BM20" i="7"/>
  <c r="BF19" i="7"/>
  <c r="AD16" i="6"/>
  <c r="AD18" i="6"/>
  <c r="BF21" i="7"/>
  <c r="AH22" i="6"/>
  <c r="BM25" i="7"/>
  <c r="AI22" i="6" s="1"/>
  <c r="AD15" i="6"/>
  <c r="BF18" i="7"/>
  <c r="BF24" i="7"/>
  <c r="AD21" i="6"/>
  <c r="AH23" i="6"/>
  <c r="BM26" i="7"/>
  <c r="BF25" i="7"/>
  <c r="AD22" i="6"/>
  <c r="BM23" i="7"/>
  <c r="AH20" i="6"/>
  <c r="AH16" i="6"/>
  <c r="BM19" i="7"/>
  <c r="AI16" i="6" s="1"/>
  <c r="BM21" i="7"/>
  <c r="AI18" i="6" s="1"/>
  <c r="AH18" i="6"/>
  <c r="AD23" i="6"/>
  <c r="BF26" i="7"/>
  <c r="BF23" i="7"/>
  <c r="AD20" i="6"/>
  <c r="BF20" i="7"/>
  <c r="AD17" i="6"/>
  <c r="AH15" i="6"/>
  <c r="BM18" i="7"/>
  <c r="AI15" i="6" s="1"/>
  <c r="BM24" i="7"/>
  <c r="AH21" i="6"/>
  <c r="C28" i="12"/>
  <c r="Y89" i="2"/>
  <c r="Z89" i="2"/>
  <c r="X89" i="2"/>
  <c r="W89" i="2"/>
  <c r="V89" i="2"/>
  <c r="AA18" i="6"/>
  <c r="AS21" i="7"/>
  <c r="AB18" i="6" s="1"/>
  <c r="BN21" i="7"/>
  <c r="BO21" i="7" s="1"/>
  <c r="O90" i="2"/>
  <c r="P90" i="2"/>
  <c r="N91" i="2"/>
  <c r="F111" i="2"/>
  <c r="A112" i="2"/>
  <c r="B111" i="2"/>
  <c r="BU154" i="7"/>
  <c r="BU139" i="7"/>
  <c r="BU42" i="7"/>
  <c r="BU309" i="7"/>
  <c r="BU149" i="7"/>
  <c r="BU177" i="7"/>
  <c r="BU37" i="7"/>
  <c r="BU108" i="7"/>
  <c r="BU131" i="7"/>
  <c r="BU123" i="7"/>
  <c r="BU264" i="7"/>
  <c r="BU23" i="7"/>
  <c r="BU81" i="7"/>
  <c r="BU272" i="7"/>
  <c r="BU261" i="7"/>
  <c r="BU130" i="7"/>
  <c r="BU229" i="7"/>
  <c r="BU109" i="7"/>
  <c r="BU74" i="7"/>
  <c r="BU93" i="7"/>
  <c r="BU83" i="7"/>
  <c r="BU173" i="7"/>
  <c r="BU43" i="7"/>
  <c r="BU160" i="7"/>
  <c r="BU79" i="7"/>
  <c r="BU197" i="7"/>
  <c r="BU144" i="7"/>
  <c r="BU221" i="7"/>
  <c r="BU164" i="7"/>
  <c r="BU192" i="7"/>
  <c r="BU45" i="7"/>
  <c r="BU58" i="7"/>
  <c r="BU64" i="7"/>
  <c r="BU80" i="7"/>
  <c r="BU227" i="7"/>
  <c r="BU276" i="7"/>
  <c r="BU315" i="7"/>
  <c r="BU112" i="7"/>
  <c r="BU52" i="7"/>
  <c r="BU216" i="7"/>
  <c r="BU252" i="7"/>
  <c r="BU294" i="7"/>
  <c r="BU120" i="7"/>
  <c r="BU168" i="7"/>
  <c r="BU155" i="7"/>
  <c r="BU44" i="7"/>
  <c r="BU259" i="7"/>
  <c r="BU75" i="7"/>
  <c r="BU300" i="7"/>
  <c r="BU230" i="7"/>
  <c r="BU235" i="7"/>
  <c r="BU303" i="7"/>
  <c r="BU211" i="7"/>
  <c r="BU285" i="7"/>
  <c r="BU36" i="7"/>
  <c r="BU277" i="7"/>
  <c r="BU293" i="7"/>
  <c r="BU146" i="7"/>
  <c r="BU297" i="7"/>
  <c r="BU34" i="7"/>
  <c r="BU295" i="7"/>
  <c r="BU254" i="7"/>
  <c r="BU96" i="7"/>
  <c r="BU141" i="7"/>
  <c r="BU278" i="7"/>
  <c r="BU196" i="7"/>
  <c r="BU253" i="7"/>
  <c r="BU201" i="7"/>
  <c r="BU35" i="7"/>
  <c r="BU210" i="7"/>
  <c r="BU132" i="7"/>
  <c r="BU273" i="7"/>
  <c r="BU245" i="7"/>
  <c r="BU105" i="7"/>
  <c r="BU212" i="7"/>
  <c r="B28" i="12"/>
  <c r="BU236" i="7"/>
  <c r="BU258" i="7"/>
  <c r="BU287" i="7"/>
  <c r="BU180" i="7"/>
  <c r="BU251" i="7"/>
  <c r="BU270" i="7"/>
  <c r="BU290" i="7"/>
  <c r="BU60" i="7"/>
  <c r="BU48" i="7"/>
  <c r="BU271" i="7"/>
  <c r="BU233" i="7"/>
  <c r="BU291" i="7"/>
  <c r="BU157" i="7"/>
  <c r="BU116" i="7"/>
  <c r="BU282" i="7"/>
  <c r="BU41" i="7"/>
  <c r="BU63" i="7"/>
  <c r="BU162" i="7"/>
  <c r="BU311" i="7"/>
  <c r="BU288" i="7"/>
  <c r="BU143" i="7"/>
  <c r="BU134" i="7"/>
  <c r="BU72" i="7"/>
  <c r="BU195" i="7"/>
  <c r="BU198" i="7"/>
  <c r="BU57" i="7"/>
  <c r="BU223" i="7"/>
  <c r="BU136" i="7"/>
  <c r="BU296" i="7"/>
  <c r="BU257" i="7"/>
  <c r="BU95" i="7"/>
  <c r="BU50" i="7"/>
  <c r="BU153" i="7"/>
  <c r="BU214" i="7"/>
  <c r="BU183" i="7"/>
  <c r="BU284" i="7"/>
  <c r="BU145" i="7"/>
  <c r="BU129" i="7"/>
  <c r="BU249" i="7"/>
  <c r="BU247" i="7"/>
  <c r="BU77" i="7"/>
  <c r="BU71" i="7"/>
  <c r="BU179" i="7"/>
  <c r="BU239" i="7"/>
  <c r="BU187" i="7"/>
  <c r="BU186" i="7"/>
  <c r="BU299" i="7"/>
  <c r="BU194" i="7"/>
  <c r="BU182" i="7"/>
  <c r="BU234" i="7"/>
  <c r="BU88" i="7"/>
  <c r="BU181" i="7"/>
  <c r="BU184" i="7"/>
  <c r="BU281" i="7"/>
  <c r="BU102" i="7"/>
  <c r="BU82" i="7"/>
  <c r="BU283" i="7"/>
  <c r="BU73" i="7"/>
  <c r="BU18" i="7"/>
  <c r="BU275" i="7"/>
  <c r="BU217" i="7"/>
  <c r="BU47" i="7"/>
  <c r="BU117" i="7"/>
  <c r="BU266" i="7"/>
  <c r="BU70" i="7"/>
  <c r="BU55" i="7"/>
  <c r="BU128" i="7"/>
  <c r="BU250" i="7"/>
  <c r="BU99" i="7"/>
  <c r="BU240" i="7"/>
  <c r="BU170" i="7"/>
  <c r="BU86" i="7"/>
  <c r="B27" i="12"/>
  <c r="BU305" i="7"/>
  <c r="BU159" i="7"/>
  <c r="BU209" i="7"/>
  <c r="BU92" i="7"/>
  <c r="BU25" i="7"/>
  <c r="BU21" i="7"/>
  <c r="BU87" i="7"/>
  <c r="BU241" i="7"/>
  <c r="BU161" i="7"/>
  <c r="BU90" i="7"/>
  <c r="BU314" i="7"/>
  <c r="BU127" i="7"/>
  <c r="BU156" i="7"/>
  <c r="BU124" i="7"/>
  <c r="BU260" i="7"/>
  <c r="BU301" i="7"/>
  <c r="BU213" i="7"/>
  <c r="BU16" i="7"/>
  <c r="BU152" i="7"/>
  <c r="BU97" i="7"/>
  <c r="BU158" i="7"/>
  <c r="BU185" i="7"/>
  <c r="BU208" i="7"/>
  <c r="BU110" i="7"/>
  <c r="BU114" i="7"/>
  <c r="BU302" i="7"/>
  <c r="BU148" i="7"/>
  <c r="BU113" i="7"/>
  <c r="BU78" i="7"/>
  <c r="BU310" i="7"/>
  <c r="BU30" i="7"/>
  <c r="BU125" i="7"/>
  <c r="BU280" i="7"/>
  <c r="BU220" i="7"/>
  <c r="BU27" i="7"/>
  <c r="BU238" i="7"/>
  <c r="BU206" i="7"/>
  <c r="BU193" i="7"/>
  <c r="BU200" i="7"/>
  <c r="BU91" i="7"/>
  <c r="BU174" i="7"/>
  <c r="BU267" i="7"/>
  <c r="BU54" i="7"/>
  <c r="BU171" i="7"/>
  <c r="BU224" i="7"/>
  <c r="BU246" i="7"/>
  <c r="BU20" i="7"/>
  <c r="BU40" i="7"/>
  <c r="BU243" i="7"/>
  <c r="BU175" i="7"/>
  <c r="BU167" i="7"/>
  <c r="BU46" i="7"/>
  <c r="BU24" i="7"/>
  <c r="BU66" i="7"/>
  <c r="BU118" i="7"/>
  <c r="BU215" i="7"/>
  <c r="BU98" i="7"/>
  <c r="BU103" i="7"/>
  <c r="BU307" i="7"/>
  <c r="BU29" i="7"/>
  <c r="BU53" i="7"/>
  <c r="BU292" i="7"/>
  <c r="BU286" i="7"/>
  <c r="BU242" i="7"/>
  <c r="BU163" i="7"/>
  <c r="BU28" i="7"/>
  <c r="BU190" i="7"/>
  <c r="BU232" i="7"/>
  <c r="BU178" i="7"/>
  <c r="BU107" i="7"/>
  <c r="BU244" i="7"/>
  <c r="BU231" i="7"/>
  <c r="BU207" i="7"/>
  <c r="BU31" i="7"/>
  <c r="BU269" i="7"/>
  <c r="BU204" i="7"/>
  <c r="BU56" i="7"/>
  <c r="BU268" i="7"/>
  <c r="BU205" i="7"/>
  <c r="BU59" i="7"/>
  <c r="BU237" i="7"/>
  <c r="BU166" i="7"/>
  <c r="BU135" i="7"/>
  <c r="BU22" i="7"/>
  <c r="BU67" i="7"/>
  <c r="BU126" i="7"/>
  <c r="BU172" i="7"/>
  <c r="BU101" i="7"/>
  <c r="BU306" i="7"/>
  <c r="BU203" i="7"/>
  <c r="BU17" i="7"/>
  <c r="BU176" i="7"/>
  <c r="BU85" i="7"/>
  <c r="BU222" i="7"/>
  <c r="BU115" i="7"/>
  <c r="BU225" i="7"/>
  <c r="BU51" i="7"/>
  <c r="BU312" i="7"/>
  <c r="BU89" i="7"/>
  <c r="BU62" i="7"/>
  <c r="BU199" i="7"/>
  <c r="BU188" i="7"/>
  <c r="BU111" i="7"/>
  <c r="BU84" i="7"/>
  <c r="BU218" i="7"/>
  <c r="BU228" i="7"/>
  <c r="BU26" i="7"/>
  <c r="BU289" i="7"/>
  <c r="BU39" i="7"/>
  <c r="BU138" i="7"/>
  <c r="BU248" i="7"/>
  <c r="BU150" i="7"/>
  <c r="BU49" i="7"/>
  <c r="BU265" i="7"/>
  <c r="BU279" i="7"/>
  <c r="BU191" i="7"/>
  <c r="BU226" i="7"/>
  <c r="BU255" i="7"/>
  <c r="BU133" i="7"/>
  <c r="BU137" i="7"/>
  <c r="BU169" i="7"/>
  <c r="BU262" i="7"/>
  <c r="BU308" i="7"/>
  <c r="BU165" i="7"/>
  <c r="BU304" i="7"/>
  <c r="BU122" i="7"/>
  <c r="BU119" i="7"/>
  <c r="BU121" i="7"/>
  <c r="BU106" i="7"/>
  <c r="BU104" i="7"/>
  <c r="BU38" i="7"/>
  <c r="BU147" i="7"/>
  <c r="BU298" i="7"/>
  <c r="BU68" i="7"/>
  <c r="BU189" i="7"/>
  <c r="BU151" i="7"/>
  <c r="BU100" i="7"/>
  <c r="BU256" i="7"/>
  <c r="BU69" i="7"/>
  <c r="BU61" i="7"/>
  <c r="BU219" i="7"/>
  <c r="BU76" i="7"/>
  <c r="BU263" i="7"/>
  <c r="BU19" i="7"/>
  <c r="BU65" i="7"/>
  <c r="BU313" i="7"/>
  <c r="BU33" i="7"/>
  <c r="BU142" i="7"/>
  <c r="BU32" i="7"/>
  <c r="BU94" i="7"/>
  <c r="BU274" i="7"/>
  <c r="BU140" i="7"/>
  <c r="E119" i="7" l="1"/>
  <c r="E114" i="7"/>
  <c r="E140" i="7"/>
  <c r="E212" i="7"/>
  <c r="E302" i="7"/>
  <c r="E110" i="7"/>
  <c r="E24" i="7"/>
  <c r="E105" i="7"/>
  <c r="E122" i="7"/>
  <c r="E208" i="7"/>
  <c r="E134" i="7"/>
  <c r="E245" i="7"/>
  <c r="E304" i="7"/>
  <c r="E185" i="7"/>
  <c r="E274" i="7"/>
  <c r="E273" i="7"/>
  <c r="E165" i="7"/>
  <c r="E158" i="7"/>
  <c r="E46" i="7"/>
  <c r="E132" i="7"/>
  <c r="E308" i="7"/>
  <c r="E97" i="7"/>
  <c r="E143" i="7"/>
  <c r="E210" i="7"/>
  <c r="E262" i="7"/>
  <c r="E152" i="7"/>
  <c r="E94" i="7"/>
  <c r="E35" i="7"/>
  <c r="E169" i="7"/>
  <c r="E202" i="7"/>
  <c r="E16" i="7"/>
  <c r="E167" i="7"/>
  <c r="E201" i="7"/>
  <c r="E137" i="7"/>
  <c r="E213" i="7"/>
  <c r="E288" i="7"/>
  <c r="E253" i="7"/>
  <c r="E133" i="7"/>
  <c r="E301" i="7"/>
  <c r="E175" i="7"/>
  <c r="E196" i="7"/>
  <c r="E255" i="7"/>
  <c r="E260" i="7"/>
  <c r="E311" i="7"/>
  <c r="E278" i="7"/>
  <c r="E226" i="7"/>
  <c r="E124" i="7"/>
  <c r="E32" i="7"/>
  <c r="E141" i="7"/>
  <c r="E191" i="7"/>
  <c r="E156" i="7"/>
  <c r="E243" i="7"/>
  <c r="E96" i="7"/>
  <c r="E279" i="7"/>
  <c r="E127" i="7"/>
  <c r="E162" i="7"/>
  <c r="E254" i="7"/>
  <c r="E265" i="7"/>
  <c r="E314" i="7"/>
  <c r="E72" i="7"/>
  <c r="E295" i="7"/>
  <c r="E49" i="7"/>
  <c r="E90" i="7"/>
  <c r="E142" i="7"/>
  <c r="E34" i="7"/>
  <c r="E150" i="7"/>
  <c r="E161" i="7"/>
  <c r="E40" i="7"/>
  <c r="E297" i="7"/>
  <c r="E248" i="7"/>
  <c r="E241" i="7"/>
  <c r="E63" i="7"/>
  <c r="E146" i="7"/>
  <c r="E138" i="7"/>
  <c r="E87" i="7"/>
  <c r="E33" i="7"/>
  <c r="E293" i="7"/>
  <c r="E39" i="7"/>
  <c r="E21" i="7"/>
  <c r="E20" i="7"/>
  <c r="E277" i="7"/>
  <c r="E289" i="7"/>
  <c r="E25" i="7"/>
  <c r="E41" i="7"/>
  <c r="E36" i="7"/>
  <c r="E26" i="7"/>
  <c r="E92" i="7"/>
  <c r="E313" i="7"/>
  <c r="E285" i="7"/>
  <c r="E228" i="7"/>
  <c r="E209" i="7"/>
  <c r="E246" i="7"/>
  <c r="E211" i="7"/>
  <c r="E218" i="7"/>
  <c r="E159" i="7"/>
  <c r="E282" i="7"/>
  <c r="E303" i="7"/>
  <c r="E84" i="7"/>
  <c r="E305" i="7"/>
  <c r="E65" i="7"/>
  <c r="E235" i="7"/>
  <c r="E111" i="7"/>
  <c r="E224" i="7"/>
  <c r="E230" i="7"/>
  <c r="E188" i="7"/>
  <c r="E86" i="7"/>
  <c r="E116" i="7"/>
  <c r="E300" i="7"/>
  <c r="E199" i="7"/>
  <c r="E170" i="7"/>
  <c r="E19" i="7"/>
  <c r="E75" i="7"/>
  <c r="E62" i="7"/>
  <c r="E240" i="7"/>
  <c r="E171" i="7"/>
  <c r="E259" i="7"/>
  <c r="E89" i="7"/>
  <c r="E99" i="7"/>
  <c r="E157" i="7"/>
  <c r="E44" i="7"/>
  <c r="E312" i="7"/>
  <c r="E250" i="7"/>
  <c r="E263" i="7"/>
  <c r="E155" i="7"/>
  <c r="E51" i="7"/>
  <c r="E128" i="7"/>
  <c r="E54" i="7"/>
  <c r="E168" i="7"/>
  <c r="E225" i="7"/>
  <c r="E55" i="7"/>
  <c r="E76" i="7"/>
  <c r="E120" i="7"/>
  <c r="E115" i="7"/>
  <c r="E70" i="7"/>
  <c r="E291" i="7"/>
  <c r="E294" i="7"/>
  <c r="E222" i="7"/>
  <c r="E266" i="7"/>
  <c r="E267" i="7"/>
  <c r="E252" i="7"/>
  <c r="E85" i="7"/>
  <c r="E117" i="7"/>
  <c r="E219" i="7"/>
  <c r="E216" i="7"/>
  <c r="E176" i="7"/>
  <c r="E47" i="7"/>
  <c r="E233" i="7"/>
  <c r="E52" i="7"/>
  <c r="E17" i="7"/>
  <c r="E217" i="7"/>
  <c r="E61" i="7"/>
  <c r="E112" i="7"/>
  <c r="E203" i="7"/>
  <c r="E275" i="7"/>
  <c r="E174" i="7"/>
  <c r="E315" i="7"/>
  <c r="E306" i="7"/>
  <c r="E18" i="7"/>
  <c r="E271" i="7"/>
  <c r="E276" i="7"/>
  <c r="E101" i="7"/>
  <c r="E73" i="7"/>
  <c r="E69" i="7"/>
  <c r="E227" i="7"/>
  <c r="E172" i="7"/>
  <c r="E283" i="7"/>
  <c r="E91" i="7"/>
  <c r="E80" i="7"/>
  <c r="E126" i="7"/>
  <c r="E82" i="7"/>
  <c r="E48" i="7"/>
  <c r="E64" i="7"/>
  <c r="E67" i="7"/>
  <c r="E102" i="7"/>
  <c r="E256" i="7"/>
  <c r="E58" i="7"/>
  <c r="E22" i="7"/>
  <c r="E281" i="7"/>
  <c r="E200" i="7"/>
  <c r="E45" i="7"/>
  <c r="E135" i="7"/>
  <c r="E184" i="7"/>
  <c r="E60" i="7"/>
  <c r="E192" i="7"/>
  <c r="E166" i="7"/>
  <c r="E181" i="7"/>
  <c r="E100" i="7"/>
  <c r="E164" i="7"/>
  <c r="E237" i="7"/>
  <c r="E88" i="7"/>
  <c r="E193" i="7"/>
  <c r="E221" i="7"/>
  <c r="E59" i="7"/>
  <c r="E234" i="7"/>
  <c r="E290" i="7"/>
  <c r="E144" i="7"/>
  <c r="E205" i="7"/>
  <c r="E182" i="7"/>
  <c r="E151" i="7"/>
  <c r="E197" i="7"/>
  <c r="E268" i="7"/>
  <c r="E194" i="7"/>
  <c r="E206" i="7"/>
  <c r="E79" i="7"/>
  <c r="E56" i="7"/>
  <c r="E299" i="7"/>
  <c r="E270" i="7"/>
  <c r="E160" i="7"/>
  <c r="E204" i="7"/>
  <c r="E186" i="7"/>
  <c r="E189" i="7"/>
  <c r="E43" i="7"/>
  <c r="E269" i="7"/>
  <c r="E187" i="7"/>
  <c r="E238" i="7"/>
  <c r="E173" i="7"/>
  <c r="E31" i="7"/>
  <c r="E239" i="7"/>
  <c r="E251" i="7"/>
  <c r="E83" i="7"/>
  <c r="E207" i="7"/>
  <c r="E179" i="7"/>
  <c r="E68" i="7"/>
  <c r="E93" i="7"/>
  <c r="E231" i="7"/>
  <c r="E71" i="7"/>
  <c r="E27" i="7"/>
  <c r="E74" i="7"/>
  <c r="E244" i="7"/>
  <c r="E77" i="7"/>
  <c r="E180" i="7"/>
  <c r="E109" i="7"/>
  <c r="E107" i="7"/>
  <c r="E247" i="7"/>
  <c r="E298" i="7"/>
  <c r="E229" i="7"/>
  <c r="E178" i="7"/>
  <c r="E249" i="7"/>
  <c r="E220" i="7"/>
  <c r="E130" i="7"/>
  <c r="E232" i="7"/>
  <c r="E129" i="7"/>
  <c r="E287" i="7"/>
  <c r="E261" i="7"/>
  <c r="E190" i="7"/>
  <c r="E145" i="7"/>
  <c r="E147" i="7"/>
  <c r="E272" i="7"/>
  <c r="E28" i="7"/>
  <c r="E284" i="7"/>
  <c r="E280" i="7"/>
  <c r="E81" i="7"/>
  <c r="E163" i="7"/>
  <c r="E183" i="7"/>
  <c r="E258" i="7"/>
  <c r="E23" i="7"/>
  <c r="E242" i="7"/>
  <c r="E214" i="7"/>
  <c r="E38" i="7"/>
  <c r="E264" i="7"/>
  <c r="E286" i="7"/>
  <c r="E153" i="7"/>
  <c r="E125" i="7"/>
  <c r="E123" i="7"/>
  <c r="E292" i="7"/>
  <c r="E50" i="7"/>
  <c r="E104" i="7"/>
  <c r="E131" i="7"/>
  <c r="E53" i="7"/>
  <c r="E95" i="7"/>
  <c r="E236" i="7"/>
  <c r="E108" i="7"/>
  <c r="E29" i="7"/>
  <c r="E257" i="7"/>
  <c r="E30" i="7"/>
  <c r="E37" i="7"/>
  <c r="E307" i="7"/>
  <c r="E296" i="7"/>
  <c r="E106" i="7"/>
  <c r="E177" i="7"/>
  <c r="E103" i="7"/>
  <c r="E136" i="7"/>
  <c r="E310" i="7"/>
  <c r="E149" i="7"/>
  <c r="E98" i="7"/>
  <c r="E223" i="7"/>
  <c r="E121" i="7"/>
  <c r="E309" i="7"/>
  <c r="E215" i="7"/>
  <c r="E57" i="7"/>
  <c r="E78" i="7"/>
  <c r="E42" i="7"/>
  <c r="E118" i="7"/>
  <c r="E198" i="7"/>
  <c r="E113" i="7"/>
  <c r="E139" i="7"/>
  <c r="E66" i="7"/>
  <c r="E195" i="7"/>
  <c r="E148" i="7"/>
  <c r="E154" i="7"/>
  <c r="AH13" i="6"/>
  <c r="BM16" i="7"/>
  <c r="AI13" i="6" s="1"/>
  <c r="AD13" i="6"/>
  <c r="BF16" i="7"/>
  <c r="BF17" i="7"/>
  <c r="BG17" i="7" s="1"/>
  <c r="AI17" i="6"/>
  <c r="BG19" i="7"/>
  <c r="AF16" i="6" s="1"/>
  <c r="AE16" i="6"/>
  <c r="AI20" i="6"/>
  <c r="AI23" i="6"/>
  <c r="AE15" i="6"/>
  <c r="BG18" i="7"/>
  <c r="AF15" i="6" s="1"/>
  <c r="AE18" i="6"/>
  <c r="BG21" i="7"/>
  <c r="AF18" i="6" s="1"/>
  <c r="BG23" i="7"/>
  <c r="AE20" i="6"/>
  <c r="BG25" i="7"/>
  <c r="AF22" i="6" s="1"/>
  <c r="AE22" i="6"/>
  <c r="AI21" i="6"/>
  <c r="AE17" i="6"/>
  <c r="BG20" i="7"/>
  <c r="AE23" i="6"/>
  <c r="BG26" i="7"/>
  <c r="BG24" i="7"/>
  <c r="AE21" i="6"/>
  <c r="C29" i="12"/>
  <c r="C30" i="12" s="1"/>
  <c r="AT21" i="7"/>
  <c r="AC18" i="6" s="1"/>
  <c r="V90" i="2"/>
  <c r="X90" i="2"/>
  <c r="Z90" i="2"/>
  <c r="Y90" i="2"/>
  <c r="W90" i="2"/>
  <c r="F112" i="2"/>
  <c r="A113" i="2"/>
  <c r="B112" i="2"/>
  <c r="P91" i="2"/>
  <c r="N92" i="2"/>
  <c r="O91" i="2"/>
  <c r="BH17" i="5"/>
  <c r="BP21" i="7"/>
  <c r="A30" i="12"/>
  <c r="C51" i="8" l="1"/>
  <c r="C312" i="8"/>
  <c r="C118" i="8"/>
  <c r="AD118" i="8" s="1"/>
  <c r="C144" i="8"/>
  <c r="A144" i="8" s="1"/>
  <c r="AB144" i="8" s="1"/>
  <c r="C252" i="8"/>
  <c r="C29" i="8"/>
  <c r="C97" i="8"/>
  <c r="AA97" i="8" s="1"/>
  <c r="C22" i="8"/>
  <c r="A22" i="8" s="1"/>
  <c r="AB22" i="8" s="1"/>
  <c r="C13" i="8"/>
  <c r="AE13" i="8" s="1"/>
  <c r="C166" i="8"/>
  <c r="C149" i="8"/>
  <c r="AD149" i="8" s="1"/>
  <c r="C34" i="8"/>
  <c r="AA34" i="8" s="1"/>
  <c r="C62" i="8"/>
  <c r="C171" i="8"/>
  <c r="C168" i="8"/>
  <c r="C248" i="8"/>
  <c r="AC248" i="8" s="1"/>
  <c r="C240" i="8"/>
  <c r="C152" i="8"/>
  <c r="C222" i="8"/>
  <c r="AA222" i="8" s="1"/>
  <c r="C178" i="8"/>
  <c r="AD178" i="8" s="1"/>
  <c r="C201" i="8"/>
  <c r="A201" i="8" s="1"/>
  <c r="AB201" i="8" s="1"/>
  <c r="C165" i="8"/>
  <c r="C130" i="8"/>
  <c r="A130" i="8" s="1"/>
  <c r="AB130" i="8" s="1"/>
  <c r="C266" i="8"/>
  <c r="AD266" i="8" s="1"/>
  <c r="C217" i="8"/>
  <c r="C282" i="8"/>
  <c r="C176" i="8"/>
  <c r="AD176" i="8" s="1"/>
  <c r="C284" i="8"/>
  <c r="AA284" i="8" s="1"/>
  <c r="C278" i="8"/>
  <c r="C287" i="8"/>
  <c r="C247" i="8"/>
  <c r="AD247" i="8" s="1"/>
  <c r="C85" i="8"/>
  <c r="A85" i="8" s="1"/>
  <c r="AB85" i="8" s="1"/>
  <c r="C275" i="8"/>
  <c r="C60" i="8"/>
  <c r="C56" i="8"/>
  <c r="AA56" i="8" s="1"/>
  <c r="C215" i="8"/>
  <c r="A215" i="8" s="1"/>
  <c r="AB215" i="8" s="1"/>
  <c r="C286" i="8"/>
  <c r="AC286" i="8" s="1"/>
  <c r="C78" i="8"/>
  <c r="C147" i="8"/>
  <c r="AC147" i="8" s="1"/>
  <c r="C225" i="8"/>
  <c r="AD225" i="8" s="1"/>
  <c r="C15" i="8"/>
  <c r="C186" i="8"/>
  <c r="C187" i="8"/>
  <c r="A187" i="8" s="1"/>
  <c r="AB187" i="8" s="1"/>
  <c r="C227" i="8"/>
  <c r="AC227" i="8" s="1"/>
  <c r="C81" i="8"/>
  <c r="C74" i="8"/>
  <c r="C170" i="8"/>
  <c r="AA170" i="8" s="1"/>
  <c r="C272" i="8"/>
  <c r="AD272" i="8" s="1"/>
  <c r="C54" i="8"/>
  <c r="AC54" i="8" s="1"/>
  <c r="C184" i="8"/>
  <c r="C28" i="8"/>
  <c r="A28" i="8" s="1"/>
  <c r="AB28" i="8" s="1"/>
  <c r="C103" i="8"/>
  <c r="AA103" i="8" s="1"/>
  <c r="C123" i="8"/>
  <c r="C20" i="8"/>
  <c r="C197" i="8"/>
  <c r="A197" i="8" s="1"/>
  <c r="AB197" i="8" s="1"/>
  <c r="C88" i="8"/>
  <c r="AC88" i="8" s="1"/>
  <c r="C223" i="8"/>
  <c r="C251" i="8"/>
  <c r="C302" i="8"/>
  <c r="AC302" i="8" s="1"/>
  <c r="AE302" i="8" s="1"/>
  <c r="C267" i="8"/>
  <c r="C245" i="8"/>
  <c r="AD245" i="8" s="1"/>
  <c r="C30" i="8"/>
  <c r="AC30" i="8" s="1"/>
  <c r="C233" i="8"/>
  <c r="AD233" i="8" s="1"/>
  <c r="C40" i="8"/>
  <c r="AA40" i="8" s="1"/>
  <c r="C91" i="8"/>
  <c r="A91" i="8" s="1"/>
  <c r="C44" i="8"/>
  <c r="C182" i="8"/>
  <c r="AD182" i="8" s="1"/>
  <c r="C198" i="8"/>
  <c r="C209" i="8"/>
  <c r="AD209" i="8" s="1"/>
  <c r="C195" i="8"/>
  <c r="C109" i="8"/>
  <c r="AC109" i="8" s="1"/>
  <c r="C160" i="8"/>
  <c r="C141" i="8"/>
  <c r="A141" i="8" s="1"/>
  <c r="AB141" i="8" s="1"/>
  <c r="C102" i="8"/>
  <c r="C36" i="8"/>
  <c r="AD36" i="8" s="1"/>
  <c r="C76" i="8"/>
  <c r="C188" i="8"/>
  <c r="AC188" i="8" s="1"/>
  <c r="C258" i="8"/>
  <c r="C260" i="8"/>
  <c r="A260" i="8" s="1"/>
  <c r="AB260" i="8" s="1"/>
  <c r="C255" i="8"/>
  <c r="C294" i="8"/>
  <c r="AA294" i="8" s="1"/>
  <c r="C237" i="8"/>
  <c r="C61" i="8"/>
  <c r="A61" i="8" s="1"/>
  <c r="AB61" i="8" s="1"/>
  <c r="C43" i="8"/>
  <c r="C298" i="8"/>
  <c r="AA298" i="8" s="1"/>
  <c r="C276" i="8"/>
  <c r="C127" i="8"/>
  <c r="AD127" i="8" s="1"/>
  <c r="C38" i="8"/>
  <c r="AD38" i="8" s="1"/>
  <c r="C136" i="8"/>
  <c r="AD136" i="8" s="1"/>
  <c r="C229" i="8"/>
  <c r="C117" i="8"/>
  <c r="A117" i="8" s="1"/>
  <c r="AB117" i="8" s="1"/>
  <c r="C21" i="8"/>
  <c r="AE21" i="8" s="1"/>
  <c r="C194" i="8"/>
  <c r="AC194" i="8" s="1"/>
  <c r="C288" i="8"/>
  <c r="C239" i="8"/>
  <c r="AC239" i="8" s="1"/>
  <c r="C16" i="8"/>
  <c r="C139" i="8"/>
  <c r="C133" i="8"/>
  <c r="C69" i="8"/>
  <c r="AD69" i="8" s="1"/>
  <c r="C264" i="8"/>
  <c r="C214" i="8"/>
  <c r="C191" i="8"/>
  <c r="C206" i="8"/>
  <c r="AA206" i="8" s="1"/>
  <c r="C311" i="8"/>
  <c r="C295" i="8"/>
  <c r="C114" i="8"/>
  <c r="C163" i="8"/>
  <c r="AC163" i="8" s="1"/>
  <c r="C99" i="8"/>
  <c r="C293" i="8"/>
  <c r="C177" i="8"/>
  <c r="C259" i="8"/>
  <c r="AD259" i="8" s="1"/>
  <c r="C157" i="8"/>
  <c r="C153" i="8"/>
  <c r="C307" i="8"/>
  <c r="C173" i="8"/>
  <c r="AC173" i="8" s="1"/>
  <c r="C68" i="8"/>
  <c r="AA68" i="8" s="1"/>
  <c r="C106" i="8"/>
  <c r="C230" i="8"/>
  <c r="C82" i="8"/>
  <c r="AD82" i="8" s="1"/>
  <c r="C124" i="8"/>
  <c r="AA124" i="8" s="1"/>
  <c r="C159" i="8"/>
  <c r="C95" i="8"/>
  <c r="C49" i="8"/>
  <c r="A49" i="8" s="1"/>
  <c r="C122" i="8"/>
  <c r="AC122" i="8" s="1"/>
  <c r="C219" i="8"/>
  <c r="C71" i="8"/>
  <c r="C262" i="8"/>
  <c r="AA262" i="8" s="1"/>
  <c r="C63" i="8"/>
  <c r="AC63" i="8" s="1"/>
  <c r="C90" i="8"/>
  <c r="C236" i="8"/>
  <c r="C47" i="8"/>
  <c r="AC47" i="8" s="1"/>
  <c r="C291" i="8"/>
  <c r="C250" i="8"/>
  <c r="C73" i="8"/>
  <c r="C208" i="8"/>
  <c r="AD208" i="8" s="1"/>
  <c r="C203" i="8"/>
  <c r="A203" i="8" s="1"/>
  <c r="AB203" i="8" s="1"/>
  <c r="C270" i="8"/>
  <c r="AA270" i="8" s="1"/>
  <c r="C238" i="8"/>
  <c r="C26" i="8"/>
  <c r="AD26" i="8" s="1"/>
  <c r="C33" i="8"/>
  <c r="C273" i="8"/>
  <c r="A273" i="8" s="1"/>
  <c r="AB273" i="8" s="1"/>
  <c r="C162" i="8"/>
  <c r="C169" i="8"/>
  <c r="A169" i="8" s="1"/>
  <c r="AB169" i="8" s="1"/>
  <c r="C100" i="8"/>
  <c r="C59" i="8"/>
  <c r="C161" i="8"/>
  <c r="C172" i="8"/>
  <c r="AD172" i="8" s="1"/>
  <c r="C175" i="8"/>
  <c r="AA175" i="8" s="1"/>
  <c r="C53" i="8"/>
  <c r="C24" i="8"/>
  <c r="C192" i="8"/>
  <c r="AC192" i="8" s="1"/>
  <c r="C241" i="8"/>
  <c r="AA241" i="8" s="1"/>
  <c r="C41" i="8"/>
  <c r="AD41" i="8" s="1"/>
  <c r="C200" i="8"/>
  <c r="C256" i="8"/>
  <c r="AA256" i="8" s="1"/>
  <c r="C242" i="8"/>
  <c r="A242" i="8" s="1"/>
  <c r="AB242" i="8" s="1"/>
  <c r="C105" i="8"/>
  <c r="A105" i="8" s="1"/>
  <c r="AB105" i="8" s="1"/>
  <c r="C65" i="8"/>
  <c r="C94" i="8"/>
  <c r="A94" i="8" s="1"/>
  <c r="AB94" i="8" s="1"/>
  <c r="C212" i="8"/>
  <c r="C207" i="8"/>
  <c r="AC207" i="8" s="1"/>
  <c r="C142" i="8"/>
  <c r="C285" i="8"/>
  <c r="AD285" i="8" s="1"/>
  <c r="C185" i="8"/>
  <c r="C190" i="8"/>
  <c r="AC190" i="8" s="1"/>
  <c r="C143" i="8"/>
  <c r="C310" i="8"/>
  <c r="AA310" i="8" s="1"/>
  <c r="C14" i="8"/>
  <c r="AE14" i="8" s="1"/>
  <c r="C48" i="8"/>
  <c r="C289" i="8"/>
  <c r="C134" i="8"/>
  <c r="AA134" i="8" s="1"/>
  <c r="C309" i="8"/>
  <c r="AD309" i="8" s="1"/>
  <c r="C179" i="8"/>
  <c r="C211" i="8"/>
  <c r="A211" i="8" s="1"/>
  <c r="AB211" i="8" s="1"/>
  <c r="C77" i="8"/>
  <c r="A77" i="8" s="1"/>
  <c r="AB77" i="8" s="1"/>
  <c r="C93" i="8"/>
  <c r="AC93" i="8" s="1"/>
  <c r="C202" i="8"/>
  <c r="AA202" i="8" s="1"/>
  <c r="C75" i="8"/>
  <c r="AC75" i="8" s="1"/>
  <c r="C290" i="8"/>
  <c r="AC290" i="8" s="1"/>
  <c r="C113" i="8"/>
  <c r="C52" i="8"/>
  <c r="AA52" i="8" s="1"/>
  <c r="C107" i="8"/>
  <c r="AD107" i="8" s="1"/>
  <c r="C55" i="8"/>
  <c r="AA55" i="8" s="1"/>
  <c r="C196" i="8"/>
  <c r="C268" i="8"/>
  <c r="AA268" i="8" s="1"/>
  <c r="C228" i="8"/>
  <c r="AA228" i="8" s="1"/>
  <c r="C45" i="8"/>
  <c r="A45" i="8" s="1"/>
  <c r="AB45" i="8" s="1"/>
  <c r="C27" i="8"/>
  <c r="C42" i="8"/>
  <c r="AA42" i="8" s="1"/>
  <c r="C32" i="8"/>
  <c r="AC32" i="8" s="1"/>
  <c r="C116" i="8"/>
  <c r="A116" i="8" s="1"/>
  <c r="AB116" i="8" s="1"/>
  <c r="C58" i="8"/>
  <c r="C254" i="8"/>
  <c r="AC254" i="8" s="1"/>
  <c r="C306" i="8"/>
  <c r="AC306" i="8" s="1"/>
  <c r="C296" i="8"/>
  <c r="AC296" i="8" s="1"/>
  <c r="C235" i="8"/>
  <c r="C271" i="8"/>
  <c r="A271" i="8" s="1"/>
  <c r="AB271" i="8" s="1"/>
  <c r="C80" i="8"/>
  <c r="AA80" i="8" s="1"/>
  <c r="C216" i="8"/>
  <c r="AC216" i="8" s="1"/>
  <c r="C140" i="8"/>
  <c r="C220" i="8"/>
  <c r="A220" i="8" s="1"/>
  <c r="C274" i="8"/>
  <c r="AD274" i="8" s="1"/>
  <c r="C79" i="8"/>
  <c r="C305" i="8"/>
  <c r="AD305" i="8" s="1"/>
  <c r="C128" i="8"/>
  <c r="C50" i="8"/>
  <c r="AC50" i="8" s="1"/>
  <c r="C35" i="8"/>
  <c r="AC35" i="8" s="1"/>
  <c r="C19" i="8"/>
  <c r="AD19" i="8" s="1"/>
  <c r="C269" i="8"/>
  <c r="AC269" i="8" s="1"/>
  <c r="C151" i="8"/>
  <c r="AA151" i="8" s="1"/>
  <c r="C174" i="8"/>
  <c r="AD174" i="8" s="1"/>
  <c r="C300" i="8"/>
  <c r="AA300" i="8" s="1"/>
  <c r="C137" i="8"/>
  <c r="AC137" i="8" s="1"/>
  <c r="C183" i="8"/>
  <c r="AC183" i="8" s="1"/>
  <c r="Q183" i="8" s="1"/>
  <c r="C150" i="8"/>
  <c r="C301" i="8"/>
  <c r="C112" i="8"/>
  <c r="A112" i="8" s="1"/>
  <c r="AB112" i="8" s="1"/>
  <c r="C263" i="8"/>
  <c r="C181" i="8"/>
  <c r="A181" i="8" s="1"/>
  <c r="AB181" i="8" s="1"/>
  <c r="C121" i="8"/>
  <c r="AC121" i="8" s="1"/>
  <c r="C86" i="8"/>
  <c r="AD86" i="8" s="1"/>
  <c r="C104" i="8"/>
  <c r="A104" i="8" s="1"/>
  <c r="AB104" i="8" s="1"/>
  <c r="C146" i="8"/>
  <c r="A146" i="8" s="1"/>
  <c r="AB146" i="8" s="1"/>
  <c r="C25" i="8"/>
  <c r="C138" i="8"/>
  <c r="AD138" i="8" s="1"/>
  <c r="C277" i="8"/>
  <c r="AD277" i="8" s="1"/>
  <c r="C98" i="8"/>
  <c r="AA98" i="8" s="1"/>
  <c r="C18" i="8"/>
  <c r="AD18" i="8" s="1"/>
  <c r="C154" i="8"/>
  <c r="C243" i="8"/>
  <c r="A243" i="8" s="1"/>
  <c r="C70" i="8"/>
  <c r="A70" i="8" s="1"/>
  <c r="AB70" i="8" s="1"/>
  <c r="C31" i="8"/>
  <c r="C87" i="8"/>
  <c r="A87" i="8" s="1"/>
  <c r="AB87" i="8" s="1"/>
  <c r="C261" i="8"/>
  <c r="AC261" i="8" s="1"/>
  <c r="C283" i="8"/>
  <c r="AA283" i="8" s="1"/>
  <c r="C210" i="8"/>
  <c r="C164" i="8"/>
  <c r="AA164" i="8" s="1"/>
  <c r="C110" i="8"/>
  <c r="AA110" i="8" s="1"/>
  <c r="C246" i="8"/>
  <c r="AA246" i="8" s="1"/>
  <c r="C226" i="8"/>
  <c r="AA226" i="8" s="1"/>
  <c r="C279" i="8"/>
  <c r="A279" i="8" s="1"/>
  <c r="AB279" i="8" s="1"/>
  <c r="C83" i="8"/>
  <c r="AC83" i="8" s="1"/>
  <c r="C64" i="8"/>
  <c r="C119" i="8"/>
  <c r="A119" i="8" s="1"/>
  <c r="AB119" i="8" s="1"/>
  <c r="C135" i="8"/>
  <c r="C193" i="8"/>
  <c r="AD193" i="8" s="1"/>
  <c r="C257" i="8"/>
  <c r="AA257" i="8" s="1"/>
  <c r="C303" i="8"/>
  <c r="C205" i="8"/>
  <c r="AD205" i="8" s="1"/>
  <c r="C89" i="8"/>
  <c r="AA89" i="8" s="1"/>
  <c r="C46" i="8"/>
  <c r="A46" i="8" s="1"/>
  <c r="AB46" i="8" s="1"/>
  <c r="C148" i="8"/>
  <c r="C308" i="8"/>
  <c r="AC308" i="8" s="1"/>
  <c r="C39" i="8"/>
  <c r="AC39" i="8" s="1"/>
  <c r="C232" i="8"/>
  <c r="AA232" i="8" s="1"/>
  <c r="C281" i="8"/>
  <c r="AD281" i="8" s="1"/>
  <c r="C125" i="8"/>
  <c r="C213" i="8"/>
  <c r="AA213" i="8" s="1"/>
  <c r="C292" i="8"/>
  <c r="C204" i="8"/>
  <c r="C234" i="8"/>
  <c r="C156" i="8"/>
  <c r="A156" i="8" s="1"/>
  <c r="C111" i="8"/>
  <c r="C101" i="8"/>
  <c r="AC101" i="8" s="1"/>
  <c r="C218" i="8"/>
  <c r="AA218" i="8" s="1"/>
  <c r="C265" i="8"/>
  <c r="C84" i="8"/>
  <c r="C17" i="8"/>
  <c r="AA17" i="8" s="1"/>
  <c r="T17" i="8" s="1"/>
  <c r="C23" i="8"/>
  <c r="AC23" i="8" s="1"/>
  <c r="M23" i="8" s="1"/>
  <c r="C299" i="8"/>
  <c r="A299" i="8" s="1"/>
  <c r="AB299" i="8" s="1"/>
  <c r="C224" i="8"/>
  <c r="C221" i="8"/>
  <c r="AA221" i="8" s="1"/>
  <c r="C126" i="8"/>
  <c r="AC126" i="8" s="1"/>
  <c r="C199" i="8"/>
  <c r="AD199" i="8" s="1"/>
  <c r="C67" i="8"/>
  <c r="A67" i="8" s="1"/>
  <c r="AB67" i="8" s="1"/>
  <c r="C158" i="8"/>
  <c r="AD158" i="8" s="1"/>
  <c r="C253" i="8"/>
  <c r="AD253" i="8" s="1"/>
  <c r="C304" i="8"/>
  <c r="AA304" i="8" s="1"/>
  <c r="C66" i="8"/>
  <c r="AD66" i="8" s="1"/>
  <c r="C145" i="8"/>
  <c r="AD145" i="8" s="1"/>
  <c r="C115" i="8"/>
  <c r="C244" i="8"/>
  <c r="A244" i="8" s="1"/>
  <c r="AB244" i="8" s="1"/>
  <c r="C92" i="8"/>
  <c r="C155" i="8"/>
  <c r="A155" i="8" s="1"/>
  <c r="AB155" i="8" s="1"/>
  <c r="C249" i="8"/>
  <c r="AA249" i="8" s="1"/>
  <c r="C37" i="8"/>
  <c r="A37" i="8" s="1"/>
  <c r="AB37" i="8" s="1"/>
  <c r="C132" i="8"/>
  <c r="A132" i="8" s="1"/>
  <c r="AB132" i="8" s="1"/>
  <c r="C96" i="8"/>
  <c r="C280" i="8"/>
  <c r="AC280" i="8" s="1"/>
  <c r="C297" i="8"/>
  <c r="AA297" i="8" s="1"/>
  <c r="C167" i="8"/>
  <c r="AA167" i="8" s="1"/>
  <c r="C108" i="8"/>
  <c r="AD108" i="8" s="1"/>
  <c r="C231" i="8"/>
  <c r="A231" i="8" s="1"/>
  <c r="C131" i="8"/>
  <c r="AD131" i="8" s="1"/>
  <c r="C57" i="8"/>
  <c r="AA57" i="8" s="1"/>
  <c r="C189" i="8"/>
  <c r="C120" i="8"/>
  <c r="AC120" i="8" s="1"/>
  <c r="C72" i="8"/>
  <c r="AD72" i="8" s="1"/>
  <c r="C180" i="8"/>
  <c r="AC180" i="8" s="1"/>
  <c r="C129" i="8"/>
  <c r="A129" i="8" s="1"/>
  <c r="AB129" i="8" s="1"/>
  <c r="AD30" i="8"/>
  <c r="AA245" i="8"/>
  <c r="AC245" i="8"/>
  <c r="AA30" i="8"/>
  <c r="S30" i="8" s="1"/>
  <c r="A30" i="8"/>
  <c r="AB30" i="8" s="1"/>
  <c r="AA91" i="8"/>
  <c r="AD91" i="8"/>
  <c r="AD44" i="8"/>
  <c r="AC44" i="8"/>
  <c r="A44" i="8"/>
  <c r="AB44" i="8" s="1"/>
  <c r="AA44" i="8"/>
  <c r="A209" i="8"/>
  <c r="AB209" i="8" s="1"/>
  <c r="AA209" i="8"/>
  <c r="A195" i="8"/>
  <c r="AB195" i="8" s="1"/>
  <c r="AD195" i="8"/>
  <c r="AC195" i="8"/>
  <c r="AA195" i="8"/>
  <c r="AC141" i="8"/>
  <c r="AD141" i="8"/>
  <c r="AC102" i="8"/>
  <c r="A102" i="8"/>
  <c r="AA102" i="8"/>
  <c r="AD102" i="8"/>
  <c r="AD188" i="8"/>
  <c r="AA188" i="8"/>
  <c r="A258" i="8"/>
  <c r="AB258" i="8" s="1"/>
  <c r="AA258" i="8"/>
  <c r="AC258" i="8"/>
  <c r="AD258" i="8"/>
  <c r="AC294" i="8"/>
  <c r="A294" i="8"/>
  <c r="AB294" i="8" s="1"/>
  <c r="AD237" i="8"/>
  <c r="A237" i="8"/>
  <c r="AB237" i="8" s="1"/>
  <c r="AA237" i="8"/>
  <c r="AC237" i="8"/>
  <c r="AC298" i="8"/>
  <c r="AD298" i="8"/>
  <c r="A276" i="8"/>
  <c r="AB276" i="8" s="1"/>
  <c r="AD276" i="8"/>
  <c r="AC276" i="8"/>
  <c r="AA276" i="8"/>
  <c r="AA136" i="8"/>
  <c r="AC136" i="8"/>
  <c r="A229" i="8"/>
  <c r="AB229" i="8" s="1"/>
  <c r="AC229" i="8"/>
  <c r="AA229" i="8"/>
  <c r="AD229" i="8"/>
  <c r="AD194" i="8"/>
  <c r="AA194" i="8"/>
  <c r="A194" i="8"/>
  <c r="AB194" i="8" s="1"/>
  <c r="A288" i="8"/>
  <c r="AB288" i="8" s="1"/>
  <c r="AD288" i="8"/>
  <c r="AA288" i="8"/>
  <c r="AC288" i="8"/>
  <c r="AD139" i="8"/>
  <c r="A139" i="8"/>
  <c r="AB139" i="8" s="1"/>
  <c r="A133" i="8"/>
  <c r="AB133" i="8" s="1"/>
  <c r="AC133" i="8"/>
  <c r="AA133" i="8"/>
  <c r="AD133" i="8"/>
  <c r="AA214" i="8"/>
  <c r="A214" i="8"/>
  <c r="AB214" i="8" s="1"/>
  <c r="AA191" i="8"/>
  <c r="A191" i="8"/>
  <c r="AB191" i="8" s="1"/>
  <c r="AD191" i="8"/>
  <c r="AC191" i="8"/>
  <c r="AD295" i="8"/>
  <c r="A295" i="8"/>
  <c r="AB295" i="8" s="1"/>
  <c r="AC114" i="8"/>
  <c r="AA114" i="8"/>
  <c r="AD114" i="8"/>
  <c r="A114" i="8"/>
  <c r="AB114" i="8" s="1"/>
  <c r="A293" i="8"/>
  <c r="AB293" i="8" s="1"/>
  <c r="AD293" i="8"/>
  <c r="AA177" i="8"/>
  <c r="AC177" i="8"/>
  <c r="A177" i="8"/>
  <c r="AB177" i="8" s="1"/>
  <c r="AD177" i="8"/>
  <c r="AC153" i="8"/>
  <c r="AC307" i="8"/>
  <c r="A307" i="8"/>
  <c r="AA307" i="8"/>
  <c r="AD307" i="8"/>
  <c r="AD106" i="8"/>
  <c r="AA230" i="8"/>
  <c r="AC230" i="8"/>
  <c r="AD230" i="8"/>
  <c r="A230" i="8"/>
  <c r="AB230" i="8" s="1"/>
  <c r="A159" i="8"/>
  <c r="AB159" i="8" s="1"/>
  <c r="AA159" i="8"/>
  <c r="A95" i="8"/>
  <c r="AB95" i="8" s="1"/>
  <c r="AA95" i="8"/>
  <c r="AC95" i="8"/>
  <c r="AD95" i="8"/>
  <c r="AA219" i="8"/>
  <c r="A219" i="8"/>
  <c r="AB219" i="8" s="1"/>
  <c r="AA71" i="8"/>
  <c r="AC71" i="8"/>
  <c r="AD71" i="8"/>
  <c r="A71" i="8"/>
  <c r="AB71" i="8" s="1"/>
  <c r="AD90" i="8"/>
  <c r="A236" i="8"/>
  <c r="AB236" i="8" s="1"/>
  <c r="AC236" i="8"/>
  <c r="AA236" i="8"/>
  <c r="AD236" i="8"/>
  <c r="AC250" i="8"/>
  <c r="AD73" i="8"/>
  <c r="AC73" i="8"/>
  <c r="A73" i="8"/>
  <c r="AB73" i="8" s="1"/>
  <c r="AA73" i="8"/>
  <c r="A59" i="8"/>
  <c r="AB59" i="8" s="1"/>
  <c r="AA59" i="8"/>
  <c r="A161" i="8"/>
  <c r="AB161" i="8" s="1"/>
  <c r="AD161" i="8"/>
  <c r="AC161" i="8"/>
  <c r="AA161" i="8"/>
  <c r="A53" i="8"/>
  <c r="AC24" i="8"/>
  <c r="AD24" i="8"/>
  <c r="AA24" i="8"/>
  <c r="T24" i="8" s="1"/>
  <c r="AE24" i="8"/>
  <c r="A24" i="8"/>
  <c r="AC41" i="8"/>
  <c r="AA41" i="8"/>
  <c r="AA200" i="8"/>
  <c r="AD200" i="8"/>
  <c r="A200" i="8"/>
  <c r="AB200" i="8" s="1"/>
  <c r="AC200" i="8"/>
  <c r="AA105" i="8"/>
  <c r="AD105" i="8"/>
  <c r="A65" i="8"/>
  <c r="AB65" i="8" s="1"/>
  <c r="AD65" i="8"/>
  <c r="AC65" i="8"/>
  <c r="AA65" i="8"/>
  <c r="AD207" i="8"/>
  <c r="A207" i="8"/>
  <c r="AB207" i="8" s="1"/>
  <c r="AA142" i="8"/>
  <c r="AD142" i="8"/>
  <c r="A142" i="8"/>
  <c r="AB142" i="8" s="1"/>
  <c r="AC142" i="8"/>
  <c r="AA190" i="8"/>
  <c r="AD190" i="8"/>
  <c r="AC143" i="8"/>
  <c r="AA143" i="8"/>
  <c r="A143" i="8"/>
  <c r="AD143" i="8"/>
  <c r="A48" i="8"/>
  <c r="AB48" i="8" s="1"/>
  <c r="AD48" i="8"/>
  <c r="AD289" i="8"/>
  <c r="AC289" i="8"/>
  <c r="A289" i="8"/>
  <c r="AB289" i="8" s="1"/>
  <c r="AA289" i="8"/>
  <c r="A179" i="8"/>
  <c r="AB179" i="8" s="1"/>
  <c r="AA211" i="8"/>
  <c r="AC211" i="8"/>
  <c r="AD211" i="8"/>
  <c r="A75" i="8"/>
  <c r="AD75" i="8"/>
  <c r="AA75" i="8"/>
  <c r="A52" i="8"/>
  <c r="AB52" i="8" s="1"/>
  <c r="A107" i="8"/>
  <c r="AB107" i="8" s="1"/>
  <c r="AC268" i="8"/>
  <c r="A228" i="8"/>
  <c r="AB228" i="8" s="1"/>
  <c r="AD42" i="8"/>
  <c r="AA29" i="8"/>
  <c r="A29" i="8"/>
  <c r="AB29" i="8" s="1"/>
  <c r="AC29" i="8"/>
  <c r="AD29" i="8"/>
  <c r="AD278" i="8"/>
  <c r="AC186" i="8"/>
  <c r="A186" i="8"/>
  <c r="AD186" i="8"/>
  <c r="AA186" i="8"/>
  <c r="A287" i="8"/>
  <c r="AB287" i="8" s="1"/>
  <c r="AC287" i="8"/>
  <c r="AA287" i="8"/>
  <c r="AD287" i="8"/>
  <c r="A152" i="8"/>
  <c r="AB152" i="8" s="1"/>
  <c r="AA152" i="8"/>
  <c r="AC152" i="8"/>
  <c r="AD152" i="8"/>
  <c r="AA74" i="8"/>
  <c r="A74" i="8"/>
  <c r="AB74" i="8" s="1"/>
  <c r="AC74" i="8"/>
  <c r="AD74" i="8"/>
  <c r="AC60" i="8"/>
  <c r="AA60" i="8"/>
  <c r="A60" i="8"/>
  <c r="AD60" i="8"/>
  <c r="AC166" i="8"/>
  <c r="AD166" i="8"/>
  <c r="AA166" i="8"/>
  <c r="A166" i="8"/>
  <c r="AD165" i="8"/>
  <c r="AC165" i="8"/>
  <c r="AA165" i="8"/>
  <c r="A165" i="8"/>
  <c r="AB165" i="8" s="1"/>
  <c r="A184" i="8"/>
  <c r="AB184" i="8" s="1"/>
  <c r="AD184" i="8"/>
  <c r="AC184" i="8"/>
  <c r="AA184" i="8"/>
  <c r="A312" i="8"/>
  <c r="AB312" i="8" s="1"/>
  <c r="AD312" i="8"/>
  <c r="AA312" i="8"/>
  <c r="AC312" i="8"/>
  <c r="A78" i="8"/>
  <c r="AB78" i="8" s="1"/>
  <c r="AC78" i="8"/>
  <c r="AA78" i="8"/>
  <c r="AD78" i="8"/>
  <c r="AA51" i="8"/>
  <c r="AC51" i="8"/>
  <c r="A51" i="8"/>
  <c r="AB51" i="8" s="1"/>
  <c r="AD51" i="8"/>
  <c r="A282" i="8"/>
  <c r="AB282" i="8" s="1"/>
  <c r="AD282" i="8"/>
  <c r="AC282" i="8"/>
  <c r="AA282" i="8"/>
  <c r="AA171" i="8"/>
  <c r="AD171" i="8"/>
  <c r="A171" i="8"/>
  <c r="AB171" i="8" s="1"/>
  <c r="AC171" i="8"/>
  <c r="AA123" i="8"/>
  <c r="A123" i="8"/>
  <c r="AB123" i="8" s="1"/>
  <c r="AC123" i="8"/>
  <c r="AD123" i="8"/>
  <c r="AD270" i="8"/>
  <c r="AC270" i="8"/>
  <c r="A270" i="8"/>
  <c r="AE20" i="8"/>
  <c r="AC20" i="8"/>
  <c r="M20" i="8" s="1"/>
  <c r="AA20" i="8"/>
  <c r="T20" i="8" s="1"/>
  <c r="A20" i="8"/>
  <c r="AD20" i="8"/>
  <c r="AD238" i="8"/>
  <c r="AA238" i="8"/>
  <c r="A238" i="8"/>
  <c r="AB238" i="8" s="1"/>
  <c r="AC238" i="8"/>
  <c r="AA223" i="8"/>
  <c r="A223" i="8"/>
  <c r="AB223" i="8" s="1"/>
  <c r="AD223" i="8"/>
  <c r="AC223" i="8"/>
  <c r="AA273" i="8"/>
  <c r="AD273" i="8"/>
  <c r="AC273" i="8"/>
  <c r="A251" i="8"/>
  <c r="AB251" i="8" s="1"/>
  <c r="AC251" i="8"/>
  <c r="AD251" i="8"/>
  <c r="AA251" i="8"/>
  <c r="AC162" i="8"/>
  <c r="AD162" i="8"/>
  <c r="A162" i="8"/>
  <c r="AB162" i="8" s="1"/>
  <c r="AA162" i="8"/>
  <c r="O30" i="8"/>
  <c r="E30" i="8"/>
  <c r="AE30" i="8"/>
  <c r="Q30" i="8"/>
  <c r="D30" i="8"/>
  <c r="P30" i="8"/>
  <c r="R30" i="8"/>
  <c r="F30" i="8"/>
  <c r="L30" i="8"/>
  <c r="J30" i="8"/>
  <c r="H30" i="8"/>
  <c r="K30" i="8"/>
  <c r="M30" i="8"/>
  <c r="I30" i="8"/>
  <c r="G30" i="8"/>
  <c r="N30" i="8"/>
  <c r="AE13" i="6"/>
  <c r="BG16" i="7"/>
  <c r="AF13" i="6" s="1"/>
  <c r="AF14" i="6"/>
  <c r="AE14" i="6"/>
  <c r="AF21" i="6"/>
  <c r="AF23" i="6"/>
  <c r="AF17" i="6"/>
  <c r="AF20" i="6"/>
  <c r="C31" i="12"/>
  <c r="P92" i="2"/>
  <c r="N93" i="2"/>
  <c r="O92" i="2"/>
  <c r="X91" i="2"/>
  <c r="W91" i="2"/>
  <c r="Y91" i="2"/>
  <c r="V91" i="2"/>
  <c r="Z91" i="2"/>
  <c r="F113" i="2"/>
  <c r="A114" i="2"/>
  <c r="B113" i="2"/>
  <c r="B31" i="12"/>
  <c r="AC112" i="8" l="1"/>
  <c r="AA271" i="8"/>
  <c r="A97" i="8"/>
  <c r="AB97" i="8" s="1"/>
  <c r="A302" i="8"/>
  <c r="AB302" i="8" s="1"/>
  <c r="AD197" i="8"/>
  <c r="I302" i="8"/>
  <c r="AC118" i="8"/>
  <c r="AC127" i="8"/>
  <c r="G302" i="8"/>
  <c r="M302" i="8"/>
  <c r="L302" i="8"/>
  <c r="AD117" i="8"/>
  <c r="AA233" i="8"/>
  <c r="Q302" i="8"/>
  <c r="AD147" i="8"/>
  <c r="AD170" i="8"/>
  <c r="AD192" i="8"/>
  <c r="A163" i="8"/>
  <c r="AB163" i="8" s="1"/>
  <c r="R302" i="8"/>
  <c r="O302" i="8"/>
  <c r="H302" i="8"/>
  <c r="AA28" i="8"/>
  <c r="AA118" i="8"/>
  <c r="A222" i="8"/>
  <c r="AB222" i="8" s="1"/>
  <c r="AA49" i="8"/>
  <c r="A69" i="8"/>
  <c r="AB69" i="8" s="1"/>
  <c r="AD61" i="8"/>
  <c r="AD109" i="8"/>
  <c r="A149" i="8"/>
  <c r="AB149" i="8" s="1"/>
  <c r="AD56" i="8"/>
  <c r="A118" i="8"/>
  <c r="AB118" i="8" s="1"/>
  <c r="K302" i="8"/>
  <c r="AD260" i="8"/>
  <c r="A182" i="8"/>
  <c r="AB182" i="8" s="1"/>
  <c r="AC86" i="8"/>
  <c r="AD126" i="8"/>
  <c r="AC271" i="8"/>
  <c r="AD218" i="8"/>
  <c r="AA86" i="8"/>
  <c r="S86" i="8" s="1"/>
  <c r="A164" i="8"/>
  <c r="AB164" i="8" s="1"/>
  <c r="AD268" i="8"/>
  <c r="N183" i="8"/>
  <c r="AA244" i="8"/>
  <c r="AD228" i="8"/>
  <c r="AA107" i="8"/>
  <c r="P183" i="8"/>
  <c r="AA112" i="8"/>
  <c r="S112" i="8" s="1"/>
  <c r="A218" i="8"/>
  <c r="AB218" i="8" s="1"/>
  <c r="AA183" i="8"/>
  <c r="S183" i="8" s="1"/>
  <c r="A296" i="8"/>
  <c r="A34" i="8"/>
  <c r="AB34" i="8" s="1"/>
  <c r="AA50" i="8"/>
  <c r="S50" i="8" s="1"/>
  <c r="AA306" i="8"/>
  <c r="S306" i="8" s="1"/>
  <c r="AC228" i="8"/>
  <c r="J228" i="8" s="1"/>
  <c r="AC107" i="8"/>
  <c r="I107" i="8" s="1"/>
  <c r="A178" i="8"/>
  <c r="AB178" i="8" s="1"/>
  <c r="A272" i="8"/>
  <c r="AB272" i="8" s="1"/>
  <c r="AD104" i="8"/>
  <c r="AD144" i="8"/>
  <c r="AA216" i="8"/>
  <c r="S216" i="8" s="1"/>
  <c r="AC266" i="8"/>
  <c r="G266" i="8" s="1"/>
  <c r="AC272" i="8"/>
  <c r="R272" i="8" s="1"/>
  <c r="A103" i="8"/>
  <c r="AB103" i="8" s="1"/>
  <c r="AD103" i="8"/>
  <c r="AD248" i="8"/>
  <c r="AD85" i="8"/>
  <c r="AC144" i="8"/>
  <c r="K144" i="8" s="1"/>
  <c r="AC22" i="8"/>
  <c r="M22" i="8" s="1"/>
  <c r="AA85" i="8"/>
  <c r="A227" i="8"/>
  <c r="AB227" i="8" s="1"/>
  <c r="AE22" i="8"/>
  <c r="AA215" i="8"/>
  <c r="AA227" i="8"/>
  <c r="S227" i="8" s="1"/>
  <c r="A284" i="8"/>
  <c r="AB284" i="8" s="1"/>
  <c r="AA156" i="8"/>
  <c r="AA225" i="8"/>
  <c r="AC103" i="8"/>
  <c r="F103" i="8" s="1"/>
  <c r="AD34" i="8"/>
  <c r="AA22" i="8"/>
  <c r="T22" i="8" s="1"/>
  <c r="A266" i="8"/>
  <c r="AB266" i="8" s="1"/>
  <c r="AC215" i="8"/>
  <c r="K215" i="8" s="1"/>
  <c r="AA272" i="8"/>
  <c r="AC178" i="8"/>
  <c r="AC85" i="8"/>
  <c r="Q85" i="8" s="1"/>
  <c r="AA144" i="8"/>
  <c r="A248" i="8"/>
  <c r="AB248" i="8" s="1"/>
  <c r="AC284" i="8"/>
  <c r="G284" i="8" s="1"/>
  <c r="AA138" i="8"/>
  <c r="AD22" i="8"/>
  <c r="AA266" i="8"/>
  <c r="AD215" i="8"/>
  <c r="AA178" i="8"/>
  <c r="AD227" i="8"/>
  <c r="AC34" i="8"/>
  <c r="AE34" i="8" s="1"/>
  <c r="AA248" i="8"/>
  <c r="S248" i="8" s="1"/>
  <c r="AD284" i="8"/>
  <c r="AA280" i="8"/>
  <c r="S280" i="8" s="1"/>
  <c r="AA70" i="8"/>
  <c r="AD271" i="8"/>
  <c r="AD310" i="8"/>
  <c r="AC225" i="8"/>
  <c r="D225" i="8" s="1"/>
  <c r="E302" i="8"/>
  <c r="J302" i="8"/>
  <c r="F302" i="8"/>
  <c r="A138" i="8"/>
  <c r="AB138" i="8" s="1"/>
  <c r="AC197" i="8"/>
  <c r="G197" i="8" s="1"/>
  <c r="AC181" i="8"/>
  <c r="K181" i="8" s="1"/>
  <c r="AD112" i="8"/>
  <c r="AA308" i="8"/>
  <c r="S308" i="8" s="1"/>
  <c r="A208" i="8"/>
  <c r="AB208" i="8" s="1"/>
  <c r="AD35" i="8"/>
  <c r="A290" i="8"/>
  <c r="AB290" i="8" s="1"/>
  <c r="AC134" i="8"/>
  <c r="R134" i="8" s="1"/>
  <c r="AD256" i="8"/>
  <c r="AC262" i="8"/>
  <c r="P262" i="8" s="1"/>
  <c r="A173" i="8"/>
  <c r="AB173" i="8" s="1"/>
  <c r="AC206" i="8"/>
  <c r="G206" i="8" s="1"/>
  <c r="AA36" i="8"/>
  <c r="AD302" i="8"/>
  <c r="AC146" i="8"/>
  <c r="E146" i="8" s="1"/>
  <c r="AC94" i="8"/>
  <c r="K94" i="8" s="1"/>
  <c r="AA169" i="8"/>
  <c r="A26" i="8"/>
  <c r="AB26" i="8" s="1"/>
  <c r="AA231" i="8"/>
  <c r="AC257" i="8"/>
  <c r="G257" i="8" s="1"/>
  <c r="A174" i="8"/>
  <c r="AB174" i="8" s="1"/>
  <c r="AD116" i="8"/>
  <c r="A55" i="8"/>
  <c r="AB55" i="8" s="1"/>
  <c r="AA77" i="8"/>
  <c r="AA285" i="8"/>
  <c r="AC172" i="8"/>
  <c r="AA47" i="8"/>
  <c r="S47" i="8" s="1"/>
  <c r="AC82" i="8"/>
  <c r="I82" i="8" s="1"/>
  <c r="AC259" i="8"/>
  <c r="H259" i="8" s="1"/>
  <c r="AA239" i="8"/>
  <c r="S239" i="8" s="1"/>
  <c r="A225" i="8"/>
  <c r="AB225" i="8" s="1"/>
  <c r="I225" i="8"/>
  <c r="A57" i="8"/>
  <c r="AB57" i="8" s="1"/>
  <c r="AC201" i="8"/>
  <c r="AA18" i="8"/>
  <c r="T18" i="8" s="1"/>
  <c r="AC277" i="8"/>
  <c r="J277" i="8" s="1"/>
  <c r="A66" i="8"/>
  <c r="AB66" i="8" s="1"/>
  <c r="AD98" i="8"/>
  <c r="A151" i="8"/>
  <c r="AB151" i="8" s="1"/>
  <c r="AD121" i="8"/>
  <c r="A54" i="8"/>
  <c r="AB54" i="8" s="1"/>
  <c r="A131" i="8"/>
  <c r="AB131" i="8" s="1"/>
  <c r="AD101" i="8"/>
  <c r="AD308" i="8"/>
  <c r="AD279" i="8"/>
  <c r="AC189" i="8"/>
  <c r="K189" i="8" s="1"/>
  <c r="AD189" i="8"/>
  <c r="A189" i="8"/>
  <c r="AB189" i="8" s="1"/>
  <c r="AA155" i="8"/>
  <c r="AC155" i="8"/>
  <c r="R155" i="8" s="1"/>
  <c r="Z155" i="8" s="1"/>
  <c r="AD155" i="8"/>
  <c r="AC17" i="8"/>
  <c r="AD17" i="8"/>
  <c r="AE17" i="8"/>
  <c r="AD148" i="8"/>
  <c r="AC148" i="8"/>
  <c r="H148" i="8" s="1"/>
  <c r="A148" i="8"/>
  <c r="AB148" i="8" s="1"/>
  <c r="AA148" i="8"/>
  <c r="AC303" i="8"/>
  <c r="Q303" i="8" s="1"/>
  <c r="AD303" i="8"/>
  <c r="AA303" i="8"/>
  <c r="A303" i="8"/>
  <c r="AB303" i="8" s="1"/>
  <c r="AD31" i="8"/>
  <c r="AC31" i="8"/>
  <c r="I31" i="8" s="1"/>
  <c r="AA31" i="8"/>
  <c r="AD301" i="8"/>
  <c r="A301" i="8"/>
  <c r="AB301" i="8" s="1"/>
  <c r="AC301" i="8"/>
  <c r="J301" i="8" s="1"/>
  <c r="AA140" i="8"/>
  <c r="AC140" i="8"/>
  <c r="G140" i="8" s="1"/>
  <c r="A140" i="8"/>
  <c r="AB140" i="8" s="1"/>
  <c r="AD140" i="8"/>
  <c r="A196" i="8"/>
  <c r="AB196" i="8" s="1"/>
  <c r="AD196" i="8"/>
  <c r="AC196" i="8"/>
  <c r="AA185" i="8"/>
  <c r="AC185" i="8"/>
  <c r="G185" i="8" s="1"/>
  <c r="A185" i="8"/>
  <c r="AB185" i="8" s="1"/>
  <c r="AC212" i="8"/>
  <c r="M212" i="8" s="1"/>
  <c r="AA212" i="8"/>
  <c r="A212" i="8"/>
  <c r="AB212" i="8" s="1"/>
  <c r="A100" i="8"/>
  <c r="AB100" i="8" s="1"/>
  <c r="AC100" i="8"/>
  <c r="AA100" i="8"/>
  <c r="AD291" i="8"/>
  <c r="AA291" i="8"/>
  <c r="A291" i="8"/>
  <c r="AB291" i="8" s="1"/>
  <c r="AC291" i="8"/>
  <c r="Q291" i="8" s="1"/>
  <c r="AA157" i="8"/>
  <c r="AC157" i="8"/>
  <c r="P157" i="8" s="1"/>
  <c r="A157" i="8"/>
  <c r="AB157" i="8" s="1"/>
  <c r="AA16" i="8"/>
  <c r="T16" i="8" s="1"/>
  <c r="AD16" i="8"/>
  <c r="A16" i="8"/>
  <c r="AB16" i="8" s="1"/>
  <c r="AE16" i="8"/>
  <c r="AA43" i="8"/>
  <c r="AD43" i="8"/>
  <c r="AC43" i="8"/>
  <c r="J43" i="8" s="1"/>
  <c r="A43" i="8"/>
  <c r="AB43" i="8" s="1"/>
  <c r="A198" i="8"/>
  <c r="AB198" i="8" s="1"/>
  <c r="AA198" i="8"/>
  <c r="AC198" i="8"/>
  <c r="AD198" i="8"/>
  <c r="AA88" i="8"/>
  <c r="S88" i="8" s="1"/>
  <c r="A88" i="8"/>
  <c r="AB88" i="8" s="1"/>
  <c r="AD88" i="8"/>
  <c r="AA286" i="8"/>
  <c r="S286" i="8" s="1"/>
  <c r="AD286" i="8"/>
  <c r="AD217" i="8"/>
  <c r="AA217" i="8"/>
  <c r="A217" i="8"/>
  <c r="AB217" i="8" s="1"/>
  <c r="AC217" i="8"/>
  <c r="Q217" i="8" s="1"/>
  <c r="AA62" i="8"/>
  <c r="A62" i="8"/>
  <c r="AB62" i="8" s="1"/>
  <c r="AC62" i="8"/>
  <c r="K62" i="8" s="1"/>
  <c r="AA158" i="8"/>
  <c r="A17" i="8"/>
  <c r="AB17" i="8" s="1"/>
  <c r="AA196" i="8"/>
  <c r="AD185" i="8"/>
  <c r="AD212" i="8"/>
  <c r="AD100" i="8"/>
  <c r="AA129" i="8"/>
  <c r="AD129" i="8"/>
  <c r="AC96" i="8"/>
  <c r="K96" i="8" s="1"/>
  <c r="AA96" i="8"/>
  <c r="A96" i="8"/>
  <c r="AB96" i="8" s="1"/>
  <c r="AC221" i="8"/>
  <c r="K221" i="8" s="1"/>
  <c r="AD221" i="8"/>
  <c r="A221" i="8"/>
  <c r="AB221" i="8" s="1"/>
  <c r="AA204" i="8"/>
  <c r="AC204" i="8"/>
  <c r="Q204" i="8" s="1"/>
  <c r="AD204" i="8"/>
  <c r="A210" i="8"/>
  <c r="AB210" i="8" s="1"/>
  <c r="AD210" i="8"/>
  <c r="AC210" i="8"/>
  <c r="R210" i="8" s="1"/>
  <c r="AA25" i="8"/>
  <c r="T25" i="8" s="1"/>
  <c r="AC25" i="8"/>
  <c r="A19" i="8"/>
  <c r="AB19" i="8" s="1"/>
  <c r="AA19" i="8"/>
  <c r="T19" i="8" s="1"/>
  <c r="AC19" i="8"/>
  <c r="H19" i="8" s="1"/>
  <c r="AE19" i="8"/>
  <c r="AA58" i="8"/>
  <c r="AC58" i="8"/>
  <c r="AD58" i="8"/>
  <c r="AD113" i="8"/>
  <c r="A113" i="8"/>
  <c r="AB113" i="8" s="1"/>
  <c r="AA113" i="8"/>
  <c r="AC113" i="8"/>
  <c r="H113" i="8" s="1"/>
  <c r="A309" i="8"/>
  <c r="AB309" i="8" s="1"/>
  <c r="AC309" i="8"/>
  <c r="E309" i="8" s="1"/>
  <c r="AA309" i="8"/>
  <c r="AD241" i="8"/>
  <c r="AC241" i="8"/>
  <c r="J241" i="8" s="1"/>
  <c r="A241" i="8"/>
  <c r="AB241" i="8" s="1"/>
  <c r="AC33" i="8"/>
  <c r="J33" i="8" s="1"/>
  <c r="AD33" i="8"/>
  <c r="A33" i="8"/>
  <c r="AB33" i="8" s="1"/>
  <c r="AA63" i="8"/>
  <c r="S63" i="8" s="1"/>
  <c r="AD63" i="8"/>
  <c r="A63" i="8"/>
  <c r="AB63" i="8" s="1"/>
  <c r="A68" i="8"/>
  <c r="AB68" i="8" s="1"/>
  <c r="AC68" i="8"/>
  <c r="D68" i="8" s="1"/>
  <c r="AD68" i="8"/>
  <c r="AC311" i="8"/>
  <c r="J311" i="8" s="1"/>
  <c r="AA311" i="8"/>
  <c r="AD311" i="8"/>
  <c r="AC21" i="8"/>
  <c r="I21" i="8" s="1"/>
  <c r="A21" i="8"/>
  <c r="AB21" i="8" s="1"/>
  <c r="AA21" i="8"/>
  <c r="T21" i="8" s="1"/>
  <c r="AD21" i="8"/>
  <c r="AC76" i="8"/>
  <c r="P76" i="8" s="1"/>
  <c r="AD76" i="8"/>
  <c r="A76" i="8"/>
  <c r="AB76" i="8" s="1"/>
  <c r="AC40" i="8"/>
  <c r="AD40" i="8"/>
  <c r="A40" i="8"/>
  <c r="AB40" i="8" s="1"/>
  <c r="AD81" i="8"/>
  <c r="A81" i="8"/>
  <c r="AB81" i="8" s="1"/>
  <c r="AC81" i="8"/>
  <c r="F81" i="8" s="1"/>
  <c r="AC275" i="8"/>
  <c r="D275" i="8" s="1"/>
  <c r="A275" i="8"/>
  <c r="AB275" i="8" s="1"/>
  <c r="AA275" i="8"/>
  <c r="AC240" i="8"/>
  <c r="P240" i="8" s="1"/>
  <c r="AD240" i="8"/>
  <c r="A240" i="8"/>
  <c r="AB240" i="8" s="1"/>
  <c r="A13" i="8"/>
  <c r="AB13" i="8" s="1"/>
  <c r="AC13" i="8"/>
  <c r="E13" i="8" s="1"/>
  <c r="AA13" i="8"/>
  <c r="T13" i="8" s="1"/>
  <c r="AD62" i="8"/>
  <c r="AD13" i="8"/>
  <c r="AA189" i="8"/>
  <c r="AD96" i="8"/>
  <c r="A31" i="8"/>
  <c r="AB31" i="8" s="1"/>
  <c r="A108" i="8"/>
  <c r="AB108" i="8" s="1"/>
  <c r="AC108" i="8"/>
  <c r="A145" i="8"/>
  <c r="AB145" i="8" s="1"/>
  <c r="AC145" i="8"/>
  <c r="AA145" i="8"/>
  <c r="A158" i="8"/>
  <c r="AB158" i="8" s="1"/>
  <c r="AC158" i="8"/>
  <c r="I158" i="8" s="1"/>
  <c r="A101" i="8"/>
  <c r="AB101" i="8" s="1"/>
  <c r="AA101" i="8"/>
  <c r="S101" i="8" s="1"/>
  <c r="AA281" i="8"/>
  <c r="A281" i="8"/>
  <c r="AB281" i="8" s="1"/>
  <c r="AC281" i="8"/>
  <c r="E281" i="8" s="1"/>
  <c r="AC119" i="8"/>
  <c r="K119" i="8" s="1"/>
  <c r="AA119" i="8"/>
  <c r="AD119" i="8"/>
  <c r="AD226" i="8"/>
  <c r="A226" i="8"/>
  <c r="AB226" i="8" s="1"/>
  <c r="AC226" i="8"/>
  <c r="H226" i="8" s="1"/>
  <c r="A18" i="8"/>
  <c r="AB18" i="8" s="1"/>
  <c r="AC18" i="8"/>
  <c r="AE18" i="8"/>
  <c r="A121" i="8"/>
  <c r="AB121" i="8" s="1"/>
  <c r="AA121" i="8"/>
  <c r="S121" i="8" s="1"/>
  <c r="AD300" i="8"/>
  <c r="AC300" i="8"/>
  <c r="A300" i="8"/>
  <c r="AB300" i="8" s="1"/>
  <c r="AC305" i="8"/>
  <c r="AE305" i="8" s="1"/>
  <c r="A305" i="8"/>
  <c r="AB305" i="8" s="1"/>
  <c r="AA305" i="8"/>
  <c r="AC235" i="8"/>
  <c r="M235" i="8" s="1"/>
  <c r="AD235" i="8"/>
  <c r="A235" i="8"/>
  <c r="AB235" i="8" s="1"/>
  <c r="AA27" i="8"/>
  <c r="AC27" i="8"/>
  <c r="N27" i="8" s="1"/>
  <c r="A27" i="8"/>
  <c r="AB27" i="8" s="1"/>
  <c r="A93" i="8"/>
  <c r="AB93" i="8" s="1"/>
  <c r="AA93" i="8"/>
  <c r="S93" i="8" s="1"/>
  <c r="AD93" i="8"/>
  <c r="A14" i="8"/>
  <c r="AB14" i="8" s="1"/>
  <c r="AD14" i="8"/>
  <c r="AA14" i="8"/>
  <c r="T14" i="8" s="1"/>
  <c r="AC14" i="8"/>
  <c r="L14" i="8" s="1"/>
  <c r="AC242" i="8"/>
  <c r="N242" i="8" s="1"/>
  <c r="AA242" i="8"/>
  <c r="AD242" i="8"/>
  <c r="AC175" i="8"/>
  <c r="E175" i="8" s="1"/>
  <c r="A175" i="8"/>
  <c r="AB175" i="8" s="1"/>
  <c r="AD175" i="8"/>
  <c r="AD203" i="8"/>
  <c r="AC203" i="8"/>
  <c r="AA203" i="8"/>
  <c r="AA122" i="8"/>
  <c r="S122" i="8" s="1"/>
  <c r="AD122" i="8"/>
  <c r="A122" i="8"/>
  <c r="AB122" i="8" s="1"/>
  <c r="A124" i="8"/>
  <c r="AB124" i="8" s="1"/>
  <c r="AC124" i="8"/>
  <c r="AE124" i="8" s="1"/>
  <c r="AD124" i="8"/>
  <c r="AC99" i="8"/>
  <c r="P99" i="8" s="1"/>
  <c r="AD99" i="8"/>
  <c r="A99" i="8"/>
  <c r="AB99" i="8" s="1"/>
  <c r="AA264" i="8"/>
  <c r="AD264" i="8"/>
  <c r="A264" i="8"/>
  <c r="AB264" i="8" s="1"/>
  <c r="AC38" i="8"/>
  <c r="P38" i="8" s="1"/>
  <c r="AA38" i="8"/>
  <c r="A38" i="8"/>
  <c r="AB38" i="8" s="1"/>
  <c r="A255" i="8"/>
  <c r="AB255" i="8" s="1"/>
  <c r="AD255" i="8"/>
  <c r="AC255" i="8"/>
  <c r="I255" i="8" s="1"/>
  <c r="AD160" i="8"/>
  <c r="A160" i="8"/>
  <c r="AB160" i="8" s="1"/>
  <c r="AA160" i="8"/>
  <c r="AC160" i="8"/>
  <c r="K160" i="8" s="1"/>
  <c r="AD267" i="8"/>
  <c r="AA267" i="8"/>
  <c r="A267" i="8"/>
  <c r="AB267" i="8" s="1"/>
  <c r="AC267" i="8"/>
  <c r="F267" i="8" s="1"/>
  <c r="AD15" i="8"/>
  <c r="AA15" i="8"/>
  <c r="T15" i="8" s="1"/>
  <c r="A278" i="8"/>
  <c r="AB278" i="8" s="1"/>
  <c r="AC278" i="8"/>
  <c r="AA278" i="8"/>
  <c r="AD201" i="8"/>
  <c r="AA201" i="8"/>
  <c r="AC252" i="8"/>
  <c r="G252" i="8" s="1"/>
  <c r="A252" i="8"/>
  <c r="AB252" i="8" s="1"/>
  <c r="AD252" i="8"/>
  <c r="A25" i="8"/>
  <c r="AB25" i="8" s="1"/>
  <c r="A286" i="8"/>
  <c r="AB286" i="8" s="1"/>
  <c r="AA252" i="8"/>
  <c r="AD25" i="8"/>
  <c r="AC129" i="8"/>
  <c r="F129" i="8" s="1"/>
  <c r="AA33" i="8"/>
  <c r="AD54" i="8"/>
  <c r="AD275" i="8"/>
  <c r="AA240" i="8"/>
  <c r="AA108" i="8"/>
  <c r="A204" i="8"/>
  <c r="AB204" i="8" s="1"/>
  <c r="AA210" i="8"/>
  <c r="AA301" i="8"/>
  <c r="AA235" i="8"/>
  <c r="A58" i="8"/>
  <c r="AB58" i="8" s="1"/>
  <c r="AD27" i="8"/>
  <c r="AD157" i="8"/>
  <c r="AA99" i="8"/>
  <c r="A311" i="8"/>
  <c r="AB311" i="8" s="1"/>
  <c r="AC264" i="8"/>
  <c r="Q264" i="8" s="1"/>
  <c r="AC16" i="8"/>
  <c r="M16" i="8" s="1"/>
  <c r="AA255" i="8"/>
  <c r="AA76" i="8"/>
  <c r="AA224" i="8"/>
  <c r="AD224" i="8"/>
  <c r="AD84" i="8"/>
  <c r="AC84" i="8"/>
  <c r="F84" i="8" s="1"/>
  <c r="AD67" i="8"/>
  <c r="AC232" i="8"/>
  <c r="K232" i="8" s="1"/>
  <c r="AD167" i="8"/>
  <c r="AD89" i="8"/>
  <c r="AD283" i="8"/>
  <c r="AA299" i="8"/>
  <c r="AC299" i="8"/>
  <c r="R299" i="8" s="1"/>
  <c r="Z299" i="8" s="1"/>
  <c r="AA243" i="8"/>
  <c r="AC243" i="8"/>
  <c r="F243" i="8" s="1"/>
  <c r="R183" i="8"/>
  <c r="AE183" i="8"/>
  <c r="M183" i="8"/>
  <c r="O183" i="8"/>
  <c r="AC274" i="8"/>
  <c r="H274" i="8" s="1"/>
  <c r="AA274" i="8"/>
  <c r="K183" i="8"/>
  <c r="D183" i="8"/>
  <c r="A176" i="8"/>
  <c r="AB176" i="8" s="1"/>
  <c r="AA147" i="8"/>
  <c r="S147" i="8" s="1"/>
  <c r="AD28" i="8"/>
  <c r="AC97" i="8"/>
  <c r="R97" i="8" s="1"/>
  <c r="Z97" i="8" s="1"/>
  <c r="A170" i="8"/>
  <c r="AB170" i="8" s="1"/>
  <c r="A247" i="8"/>
  <c r="AB247" i="8" s="1"/>
  <c r="AD244" i="8"/>
  <c r="A183" i="8"/>
  <c r="A80" i="8"/>
  <c r="AB80" i="8" s="1"/>
  <c r="AD306" i="8"/>
  <c r="AD249" i="8"/>
  <c r="AC249" i="8"/>
  <c r="P249" i="8" s="1"/>
  <c r="AC253" i="8"/>
  <c r="R253" i="8" s="1"/>
  <c r="A253" i="8"/>
  <c r="AB253" i="8" s="1"/>
  <c r="AA234" i="8"/>
  <c r="AD234" i="8"/>
  <c r="AD135" i="8"/>
  <c r="A135" i="8"/>
  <c r="AB135" i="8" s="1"/>
  <c r="AA128" i="8"/>
  <c r="AD128" i="8"/>
  <c r="AC220" i="8"/>
  <c r="J220" i="8" s="1"/>
  <c r="AA220" i="8"/>
  <c r="A254" i="8"/>
  <c r="AB254" i="8" s="1"/>
  <c r="AA254" i="8"/>
  <c r="S254" i="8" s="1"/>
  <c r="AC42" i="8"/>
  <c r="AE42" i="8" s="1"/>
  <c r="A42" i="8"/>
  <c r="AB42" i="8" s="1"/>
  <c r="AC52" i="8"/>
  <c r="AD52" i="8"/>
  <c r="A202" i="8"/>
  <c r="AB202" i="8" s="1"/>
  <c r="AD202" i="8"/>
  <c r="AA48" i="8"/>
  <c r="AC48" i="8"/>
  <c r="O48" i="8" s="1"/>
  <c r="AA53" i="8"/>
  <c r="AC53" i="8"/>
  <c r="Q53" i="8" s="1"/>
  <c r="AC59" i="8"/>
  <c r="AD59" i="8"/>
  <c r="AA250" i="8"/>
  <c r="S250" i="8" s="1"/>
  <c r="AD250" i="8"/>
  <c r="AA90" i="8"/>
  <c r="A90" i="8"/>
  <c r="AB90" i="8" s="1"/>
  <c r="AD219" i="8"/>
  <c r="AC219" i="8"/>
  <c r="M219" i="8" s="1"/>
  <c r="AD159" i="8"/>
  <c r="AC159" i="8"/>
  <c r="K159" i="8" s="1"/>
  <c r="AA106" i="8"/>
  <c r="A106" i="8"/>
  <c r="AB106" i="8" s="1"/>
  <c r="A153" i="8"/>
  <c r="AB153" i="8" s="1"/>
  <c r="AD153" i="8"/>
  <c r="AA293" i="8"/>
  <c r="AC293" i="8"/>
  <c r="L293" i="8" s="1"/>
  <c r="AA295" i="8"/>
  <c r="AC295" i="8"/>
  <c r="G295" i="8" s="1"/>
  <c r="AD214" i="8"/>
  <c r="AC214" i="8"/>
  <c r="J214" i="8" s="1"/>
  <c r="AA139" i="8"/>
  <c r="AC139" i="8"/>
  <c r="H139" i="8" s="1"/>
  <c r="A304" i="8"/>
  <c r="AB304" i="8" s="1"/>
  <c r="AC304" i="8"/>
  <c r="I304" i="8" s="1"/>
  <c r="A265" i="8"/>
  <c r="AB265" i="8" s="1"/>
  <c r="AA265" i="8"/>
  <c r="AC213" i="8"/>
  <c r="S213" i="8" s="1"/>
  <c r="AD213" i="8"/>
  <c r="A193" i="8"/>
  <c r="AB193" i="8" s="1"/>
  <c r="AC193" i="8"/>
  <c r="H193" i="8" s="1"/>
  <c r="AD261" i="8"/>
  <c r="A261" i="8"/>
  <c r="AB261" i="8" s="1"/>
  <c r="AD263" i="8"/>
  <c r="A263" i="8"/>
  <c r="AB263" i="8" s="1"/>
  <c r="AA32" i="8"/>
  <c r="S32" i="8" s="1"/>
  <c r="AD32" i="8"/>
  <c r="AD168" i="8"/>
  <c r="AC168" i="8"/>
  <c r="AA168" i="8"/>
  <c r="AA277" i="8"/>
  <c r="AC56" i="8"/>
  <c r="H56" i="8" s="1"/>
  <c r="AC156" i="8"/>
  <c r="R156" i="8" s="1"/>
  <c r="Z156" i="8" s="1"/>
  <c r="A213" i="8"/>
  <c r="AB213" i="8" s="1"/>
  <c r="AA193" i="8"/>
  <c r="AD243" i="8"/>
  <c r="AD120" i="8"/>
  <c r="AA120" i="8"/>
  <c r="S120" i="8" s="1"/>
  <c r="A115" i="8"/>
  <c r="AB115" i="8" s="1"/>
  <c r="AA115" i="8"/>
  <c r="AD23" i="8"/>
  <c r="AA23" i="8"/>
  <c r="T23" i="8" s="1"/>
  <c r="AC125" i="8"/>
  <c r="O125" i="8" s="1"/>
  <c r="AA125" i="8"/>
  <c r="A205" i="8"/>
  <c r="AB205" i="8" s="1"/>
  <c r="AC205" i="8"/>
  <c r="AD164" i="8"/>
  <c r="AC164" i="8"/>
  <c r="AD87" i="8"/>
  <c r="AC87" i="8"/>
  <c r="K87" i="8" s="1"/>
  <c r="AC154" i="8"/>
  <c r="E154" i="8" s="1"/>
  <c r="AD154" i="8"/>
  <c r="AA269" i="8"/>
  <c r="S269" i="8" s="1"/>
  <c r="AD269" i="8"/>
  <c r="AC179" i="8"/>
  <c r="Q179" i="8" s="1"/>
  <c r="AD179" i="8"/>
  <c r="Z30" i="8"/>
  <c r="J183" i="8"/>
  <c r="H183" i="8"/>
  <c r="G183" i="8"/>
  <c r="A277" i="8"/>
  <c r="AB277" i="8" s="1"/>
  <c r="AC138" i="8"/>
  <c r="M138" i="8" s="1"/>
  <c r="AC104" i="8"/>
  <c r="G104" i="8" s="1"/>
  <c r="A86" i="8"/>
  <c r="AB86" i="8" s="1"/>
  <c r="AA149" i="8"/>
  <c r="AC176" i="8"/>
  <c r="M176" i="8" s="1"/>
  <c r="A147" i="8"/>
  <c r="AB147" i="8" s="1"/>
  <c r="AD97" i="8"/>
  <c r="AA130" i="8"/>
  <c r="A56" i="8"/>
  <c r="AB56" i="8" s="1"/>
  <c r="AC222" i="8"/>
  <c r="AA247" i="8"/>
  <c r="AD187" i="8"/>
  <c r="AA72" i="8"/>
  <c r="AC131" i="8"/>
  <c r="AD231" i="8"/>
  <c r="A297" i="8"/>
  <c r="AB297" i="8" s="1"/>
  <c r="AA132" i="8"/>
  <c r="A249" i="8"/>
  <c r="AB249" i="8" s="1"/>
  <c r="AC115" i="8"/>
  <c r="K115" i="8" s="1"/>
  <c r="AD304" i="8"/>
  <c r="A23" i="8"/>
  <c r="AB23" i="8" s="1"/>
  <c r="AD265" i="8"/>
  <c r="AC218" i="8"/>
  <c r="R218" i="8" s="1"/>
  <c r="Z218" i="8" s="1"/>
  <c r="AC234" i="8"/>
  <c r="J234" i="8" s="1"/>
  <c r="AD125" i="8"/>
  <c r="A89" i="8"/>
  <c r="AB89" i="8" s="1"/>
  <c r="AA205" i="8"/>
  <c r="AC135" i="8"/>
  <c r="N135" i="8" s="1"/>
  <c r="AA279" i="8"/>
  <c r="A110" i="8"/>
  <c r="AB110" i="8" s="1"/>
  <c r="AA87" i="8"/>
  <c r="AA154" i="8"/>
  <c r="A137" i="8"/>
  <c r="AB137" i="8" s="1"/>
  <c r="AD151" i="8"/>
  <c r="A128" i="8"/>
  <c r="AB128" i="8" s="1"/>
  <c r="AD220" i="8"/>
  <c r="AD254" i="8"/>
  <c r="A32" i="8"/>
  <c r="AB32" i="8" s="1"/>
  <c r="A268" i="8"/>
  <c r="AB268" i="8" s="1"/>
  <c r="AC202" i="8"/>
  <c r="Q202" i="8" s="1"/>
  <c r="AA179" i="8"/>
  <c r="A190" i="8"/>
  <c r="AB190" i="8" s="1"/>
  <c r="AA207" i="8"/>
  <c r="S207" i="8" s="1"/>
  <c r="AC105" i="8"/>
  <c r="N105" i="8" s="1"/>
  <c r="A41" i="8"/>
  <c r="AB41" i="8" s="1"/>
  <c r="AD53" i="8"/>
  <c r="A250" i="8"/>
  <c r="AB250" i="8" s="1"/>
  <c r="AC90" i="8"/>
  <c r="AC106" i="8"/>
  <c r="Q106" i="8" s="1"/>
  <c r="AA153" i="8"/>
  <c r="S153" i="8" s="1"/>
  <c r="AA263" i="8"/>
  <c r="A168" i="8"/>
  <c r="AB168" i="8" s="1"/>
  <c r="AA37" i="8"/>
  <c r="AD37" i="8"/>
  <c r="A199" i="8"/>
  <c r="AB199" i="8" s="1"/>
  <c r="AC199" i="8"/>
  <c r="G199" i="8" s="1"/>
  <c r="A39" i="8"/>
  <c r="AB39" i="8" s="1"/>
  <c r="AD39" i="8"/>
  <c r="AA83" i="8"/>
  <c r="S83" i="8" s="1"/>
  <c r="A83" i="8"/>
  <c r="AB83" i="8" s="1"/>
  <c r="AC80" i="8"/>
  <c r="L80" i="8" s="1"/>
  <c r="AD80" i="8"/>
  <c r="I183" i="8"/>
  <c r="AC130" i="8"/>
  <c r="AC187" i="8"/>
  <c r="J187" i="8" s="1"/>
  <c r="AD297" i="8"/>
  <c r="AA39" i="8"/>
  <c r="S39" i="8" s="1"/>
  <c r="AD83" i="8"/>
  <c r="AD110" i="8"/>
  <c r="AC151" i="8"/>
  <c r="E151" i="8" s="1"/>
  <c r="AD50" i="8"/>
  <c r="A274" i="8"/>
  <c r="AB274" i="8" s="1"/>
  <c r="AD183" i="8"/>
  <c r="AD280" i="8"/>
  <c r="A280" i="8"/>
  <c r="AB280" i="8" s="1"/>
  <c r="AA126" i="8"/>
  <c r="S126" i="8" s="1"/>
  <c r="A126" i="8"/>
  <c r="AB126" i="8" s="1"/>
  <c r="F183" i="8"/>
  <c r="E183" i="8"/>
  <c r="L183" i="8"/>
  <c r="AA104" i="8"/>
  <c r="AC149" i="8"/>
  <c r="AE149" i="8" s="1"/>
  <c r="AA176" i="8"/>
  <c r="AC28" i="8"/>
  <c r="R28" i="8" s="1"/>
  <c r="Z28" i="8" s="1"/>
  <c r="AD130" i="8"/>
  <c r="AC170" i="8"/>
  <c r="G170" i="8" s="1"/>
  <c r="AD222" i="8"/>
  <c r="AC247" i="8"/>
  <c r="AA187" i="8"/>
  <c r="AA131" i="8"/>
  <c r="AC231" i="8"/>
  <c r="AC297" i="8"/>
  <c r="D297" i="8" s="1"/>
  <c r="AC37" i="8"/>
  <c r="AE37" i="8" s="1"/>
  <c r="AC244" i="8"/>
  <c r="AE244" i="8" s="1"/>
  <c r="AD115" i="8"/>
  <c r="AA253" i="8"/>
  <c r="AA199" i="8"/>
  <c r="AD299" i="8"/>
  <c r="AE23" i="8"/>
  <c r="AC265" i="8"/>
  <c r="I265" i="8" s="1"/>
  <c r="AD156" i="8"/>
  <c r="A234" i="8"/>
  <c r="AB234" i="8" s="1"/>
  <c r="A125" i="8"/>
  <c r="AB125" i="8" s="1"/>
  <c r="A308" i="8"/>
  <c r="AB308" i="8" s="1"/>
  <c r="AC89" i="8"/>
  <c r="K89" i="8" s="1"/>
  <c r="AA135" i="8"/>
  <c r="AC279" i="8"/>
  <c r="AC110" i="8"/>
  <c r="R110" i="8" s="1"/>
  <c r="AA261" i="8"/>
  <c r="S261" i="8" s="1"/>
  <c r="A154" i="8"/>
  <c r="AB154" i="8" s="1"/>
  <c r="A269" i="8"/>
  <c r="AB269" i="8" s="1"/>
  <c r="A50" i="8"/>
  <c r="AB50" i="8" s="1"/>
  <c r="AC128" i="8"/>
  <c r="R128" i="8" s="1"/>
  <c r="A306" i="8"/>
  <c r="AB306" i="8" s="1"/>
  <c r="AC263" i="8"/>
  <c r="A92" i="8"/>
  <c r="AB92" i="8" s="1"/>
  <c r="AC92" i="8"/>
  <c r="AC111" i="8"/>
  <c r="AA111" i="8"/>
  <c r="AD292" i="8"/>
  <c r="AC292" i="8"/>
  <c r="R292" i="8" s="1"/>
  <c r="AD46" i="8"/>
  <c r="AD246" i="8"/>
  <c r="A136" i="8"/>
  <c r="AB136" i="8" s="1"/>
  <c r="A298" i="8"/>
  <c r="AB298" i="8" s="1"/>
  <c r="AD294" i="8"/>
  <c r="A188" i="8"/>
  <c r="AB188" i="8" s="1"/>
  <c r="AA141" i="8"/>
  <c r="S141" i="8" s="1"/>
  <c r="AC209" i="8"/>
  <c r="Q209" i="8" s="1"/>
  <c r="AC91" i="8"/>
  <c r="A245" i="8"/>
  <c r="AB245" i="8" s="1"/>
  <c r="AC64" i="8"/>
  <c r="Q64" i="8" s="1"/>
  <c r="A64" i="8"/>
  <c r="AB64" i="8" s="1"/>
  <c r="AD150" i="8"/>
  <c r="AA150" i="8"/>
  <c r="AA79" i="8"/>
  <c r="A79" i="8"/>
  <c r="AB79" i="8" s="1"/>
  <c r="AD45" i="8"/>
  <c r="P302" i="8"/>
  <c r="N302" i="8"/>
  <c r="D302" i="8"/>
  <c r="AC169" i="8"/>
  <c r="K169" i="8" s="1"/>
  <c r="AA302" i="8"/>
  <c r="S302" i="8" s="1"/>
  <c r="AD146" i="8"/>
  <c r="AA26" i="8"/>
  <c r="T26" i="8" s="1"/>
  <c r="AA197" i="8"/>
  <c r="AD181" i="8"/>
  <c r="AA54" i="8"/>
  <c r="S54" i="8" s="1"/>
  <c r="AA81" i="8"/>
  <c r="AE15" i="8"/>
  <c r="AC57" i="8"/>
  <c r="J57" i="8" s="1"/>
  <c r="AC167" i="8"/>
  <c r="M167" i="8" s="1"/>
  <c r="AC132" i="8"/>
  <c r="N132" i="8" s="1"/>
  <c r="AD92" i="8"/>
  <c r="AC66" i="8"/>
  <c r="J66" i="8" s="1"/>
  <c r="AC67" i="8"/>
  <c r="R67" i="8" s="1"/>
  <c r="Z67" i="8" s="1"/>
  <c r="AC224" i="8"/>
  <c r="J224" i="8" s="1"/>
  <c r="A84" i="8"/>
  <c r="AB84" i="8" s="1"/>
  <c r="A111" i="8"/>
  <c r="AB111" i="8" s="1"/>
  <c r="AA292" i="8"/>
  <c r="AD232" i="8"/>
  <c r="AA46" i="8"/>
  <c r="A257" i="8"/>
  <c r="AB257" i="8" s="1"/>
  <c r="AD64" i="8"/>
  <c r="AC246" i="8"/>
  <c r="D246" i="8" s="1"/>
  <c r="AC283" i="8"/>
  <c r="S283" i="8" s="1"/>
  <c r="AC70" i="8"/>
  <c r="P70" i="8" s="1"/>
  <c r="A98" i="8"/>
  <c r="AB98" i="8" s="1"/>
  <c r="AC208" i="8"/>
  <c r="R208" i="8" s="1"/>
  <c r="AA174" i="8"/>
  <c r="AA35" i="8"/>
  <c r="S35" i="8" s="1"/>
  <c r="AD79" i="8"/>
  <c r="A216" i="8"/>
  <c r="AB216" i="8" s="1"/>
  <c r="AA296" i="8"/>
  <c r="S296" i="8" s="1"/>
  <c r="AC116" i="8"/>
  <c r="AA45" i="8"/>
  <c r="AC55" i="8"/>
  <c r="M55" i="8" s="1"/>
  <c r="AA290" i="8"/>
  <c r="S290" i="8" s="1"/>
  <c r="AC77" i="8"/>
  <c r="Q77" i="8" s="1"/>
  <c r="A134" i="8"/>
  <c r="AB134" i="8" s="1"/>
  <c r="A310" i="8"/>
  <c r="AB310" i="8" s="1"/>
  <c r="AC285" i="8"/>
  <c r="AA94" i="8"/>
  <c r="A256" i="8"/>
  <c r="AB256" i="8" s="1"/>
  <c r="AA192" i="8"/>
  <c r="S192" i="8" s="1"/>
  <c r="A172" i="8"/>
  <c r="AD47" i="8"/>
  <c r="AD262" i="8"/>
  <c r="AD49" i="8"/>
  <c r="AA82" i="8"/>
  <c r="AA173" i="8"/>
  <c r="S173" i="8" s="1"/>
  <c r="A259" i="8"/>
  <c r="AB259" i="8" s="1"/>
  <c r="AA163" i="8"/>
  <c r="S163" i="8" s="1"/>
  <c r="A206" i="8"/>
  <c r="AB206" i="8" s="1"/>
  <c r="AA69" i="8"/>
  <c r="A239" i="8"/>
  <c r="AB239" i="8" s="1"/>
  <c r="AA117" i="8"/>
  <c r="AA127" i="8"/>
  <c r="S127" i="8" s="1"/>
  <c r="AC61" i="8"/>
  <c r="AA260" i="8"/>
  <c r="AC36" i="8"/>
  <c r="F36" i="8" s="1"/>
  <c r="AA109" i="8"/>
  <c r="S109" i="8" s="1"/>
  <c r="AA182" i="8"/>
  <c r="A233" i="8"/>
  <c r="AB233" i="8" s="1"/>
  <c r="AD169" i="8"/>
  <c r="AA146" i="8"/>
  <c r="AC26" i="8"/>
  <c r="AA181" i="8"/>
  <c r="AC15" i="8"/>
  <c r="AA180" i="8"/>
  <c r="S180" i="8" s="1"/>
  <c r="AD57" i="8"/>
  <c r="A167" i="8"/>
  <c r="AB167" i="8" s="1"/>
  <c r="AD132" i="8"/>
  <c r="AA92" i="8"/>
  <c r="AA66" i="8"/>
  <c r="AA67" i="8"/>
  <c r="A224" i="8"/>
  <c r="AB224" i="8" s="1"/>
  <c r="AA84" i="8"/>
  <c r="AD111" i="8"/>
  <c r="A292" i="8"/>
  <c r="AB292" i="8" s="1"/>
  <c r="A232" i="8"/>
  <c r="AB232" i="8" s="1"/>
  <c r="AC46" i="8"/>
  <c r="AD257" i="8"/>
  <c r="AA64" i="8"/>
  <c r="A246" i="8"/>
  <c r="AB246" i="8" s="1"/>
  <c r="A283" i="8"/>
  <c r="AB283" i="8" s="1"/>
  <c r="AD70" i="8"/>
  <c r="AC98" i="8"/>
  <c r="AA208" i="8"/>
  <c r="AC174" i="8"/>
  <c r="S174" i="8" s="1"/>
  <c r="A35" i="8"/>
  <c r="AB35" i="8" s="1"/>
  <c r="AC79" i="8"/>
  <c r="AE79" i="8" s="1"/>
  <c r="AD216" i="8"/>
  <c r="AD296" i="8"/>
  <c r="AA116" i="8"/>
  <c r="AC45" i="8"/>
  <c r="K45" i="8" s="1"/>
  <c r="AD55" i="8"/>
  <c r="AD290" i="8"/>
  <c r="AD77" i="8"/>
  <c r="AD134" i="8"/>
  <c r="AC310" i="8"/>
  <c r="R310" i="8" s="1"/>
  <c r="Z310" i="8" s="1"/>
  <c r="A285" i="8"/>
  <c r="AB285" i="8" s="1"/>
  <c r="AD94" i="8"/>
  <c r="AC256" i="8"/>
  <c r="H256" i="8" s="1"/>
  <c r="A192" i="8"/>
  <c r="AB192" i="8" s="1"/>
  <c r="AA172" i="8"/>
  <c r="A47" i="8"/>
  <c r="AB47" i="8" s="1"/>
  <c r="A262" i="8"/>
  <c r="AB262" i="8" s="1"/>
  <c r="AC49" i="8"/>
  <c r="D49" i="8" s="1"/>
  <c r="A82" i="8"/>
  <c r="AB82" i="8" s="1"/>
  <c r="AD173" i="8"/>
  <c r="AA259" i="8"/>
  <c r="AD163" i="8"/>
  <c r="AD206" i="8"/>
  <c r="AC69" i="8"/>
  <c r="AD239" i="8"/>
  <c r="AC117" i="8"/>
  <c r="G117" i="8" s="1"/>
  <c r="A127" i="8"/>
  <c r="AB127" i="8" s="1"/>
  <c r="AA61" i="8"/>
  <c r="AC260" i="8"/>
  <c r="F260" i="8" s="1"/>
  <c r="A36" i="8"/>
  <c r="AB36" i="8" s="1"/>
  <c r="A109" i="8"/>
  <c r="AB109" i="8" s="1"/>
  <c r="AC182" i="8"/>
  <c r="G182" i="8" s="1"/>
  <c r="AC233" i="8"/>
  <c r="S233" i="8" s="1"/>
  <c r="A15" i="8"/>
  <c r="AB15" i="8" s="1"/>
  <c r="A120" i="8"/>
  <c r="AB120" i="8" s="1"/>
  <c r="A72" i="8"/>
  <c r="AB72" i="8" s="1"/>
  <c r="AC72" i="8"/>
  <c r="AA137" i="8"/>
  <c r="S137" i="8" s="1"/>
  <c r="AD137" i="8"/>
  <c r="A180" i="8"/>
  <c r="AB180" i="8" s="1"/>
  <c r="AD180" i="8"/>
  <c r="AC150" i="8"/>
  <c r="A150" i="8"/>
  <c r="AB150" i="8" s="1"/>
  <c r="S75" i="8"/>
  <c r="S73" i="8"/>
  <c r="S229" i="8"/>
  <c r="S102" i="8"/>
  <c r="S166" i="8"/>
  <c r="S60" i="8"/>
  <c r="J312" i="8"/>
  <c r="I312" i="8"/>
  <c r="R312" i="8"/>
  <c r="Z312" i="8" s="1"/>
  <c r="D312" i="8"/>
  <c r="AE312" i="8"/>
  <c r="L312" i="8"/>
  <c r="H312" i="8"/>
  <c r="G312" i="8"/>
  <c r="S312" i="8"/>
  <c r="F312" i="8"/>
  <c r="Q312" i="8"/>
  <c r="O312" i="8"/>
  <c r="M312" i="8"/>
  <c r="E312" i="8"/>
  <c r="K312" i="8"/>
  <c r="P312" i="8"/>
  <c r="N312" i="8"/>
  <c r="AB166" i="8"/>
  <c r="G273" i="8"/>
  <c r="L273" i="8"/>
  <c r="J273" i="8"/>
  <c r="F273" i="8"/>
  <c r="AE273" i="8"/>
  <c r="P273" i="8"/>
  <c r="D273" i="8"/>
  <c r="S273" i="8"/>
  <c r="E273" i="8"/>
  <c r="H273" i="8"/>
  <c r="M273" i="8"/>
  <c r="K273" i="8"/>
  <c r="I273" i="8"/>
  <c r="O273" i="8"/>
  <c r="Q273" i="8"/>
  <c r="N273" i="8"/>
  <c r="R273" i="8"/>
  <c r="Z273" i="8" s="1"/>
  <c r="S223" i="8"/>
  <c r="P223" i="8"/>
  <c r="G223" i="8"/>
  <c r="J223" i="8"/>
  <c r="I223" i="8"/>
  <c r="L223" i="8"/>
  <c r="O223" i="8"/>
  <c r="M223" i="8"/>
  <c r="AE223" i="8"/>
  <c r="E223" i="8"/>
  <c r="H223" i="8"/>
  <c r="F223" i="8"/>
  <c r="D223" i="8"/>
  <c r="N223" i="8"/>
  <c r="R223" i="8"/>
  <c r="Z223" i="8" s="1"/>
  <c r="K223" i="8"/>
  <c r="Q223" i="8"/>
  <c r="N88" i="8"/>
  <c r="M88" i="8"/>
  <c r="G88" i="8"/>
  <c r="F88" i="8"/>
  <c r="K88" i="8"/>
  <c r="D88" i="8"/>
  <c r="H88" i="8"/>
  <c r="R88" i="8"/>
  <c r="E88" i="8"/>
  <c r="L88" i="8"/>
  <c r="I88" i="8"/>
  <c r="J88" i="8"/>
  <c r="Q88" i="8"/>
  <c r="AE88" i="8"/>
  <c r="P88" i="8"/>
  <c r="O88" i="8"/>
  <c r="K238" i="8"/>
  <c r="I238" i="8"/>
  <c r="E238" i="8"/>
  <c r="R238" i="8"/>
  <c r="Z238" i="8" s="1"/>
  <c r="G238" i="8"/>
  <c r="J238" i="8"/>
  <c r="N238" i="8"/>
  <c r="Q238" i="8"/>
  <c r="F238" i="8"/>
  <c r="L238" i="8"/>
  <c r="AE238" i="8"/>
  <c r="M238" i="8"/>
  <c r="O238" i="8"/>
  <c r="H238" i="8"/>
  <c r="P238" i="8"/>
  <c r="D238" i="8"/>
  <c r="S238" i="8"/>
  <c r="N86" i="8"/>
  <c r="H86" i="8"/>
  <c r="I86" i="8"/>
  <c r="E86" i="8"/>
  <c r="G86" i="8"/>
  <c r="D86" i="8"/>
  <c r="R86" i="8"/>
  <c r="J86" i="8"/>
  <c r="P86" i="8"/>
  <c r="L86" i="8"/>
  <c r="K86" i="8"/>
  <c r="Q86" i="8"/>
  <c r="M86" i="8"/>
  <c r="F86" i="8"/>
  <c r="O86" i="8"/>
  <c r="AE86" i="8"/>
  <c r="J51" i="8"/>
  <c r="H51" i="8"/>
  <c r="L51" i="8"/>
  <c r="I51" i="8"/>
  <c r="D51" i="8"/>
  <c r="K51" i="8"/>
  <c r="S51" i="8"/>
  <c r="G51" i="8"/>
  <c r="F51" i="8"/>
  <c r="M51" i="8"/>
  <c r="R51" i="8"/>
  <c r="Z51" i="8" s="1"/>
  <c r="P51" i="8"/>
  <c r="O51" i="8"/>
  <c r="Q51" i="8"/>
  <c r="N51" i="8"/>
  <c r="AE51" i="8"/>
  <c r="E51" i="8"/>
  <c r="H78" i="8"/>
  <c r="S78" i="8"/>
  <c r="D78" i="8"/>
  <c r="J78" i="8"/>
  <c r="Q78" i="8"/>
  <c r="F78" i="8"/>
  <c r="L78" i="8"/>
  <c r="P78" i="8"/>
  <c r="O78" i="8"/>
  <c r="I78" i="8"/>
  <c r="AE78" i="8"/>
  <c r="G78" i="8"/>
  <c r="K78" i="8"/>
  <c r="M78" i="8"/>
  <c r="R78" i="8"/>
  <c r="Z78" i="8" s="1"/>
  <c r="E78" i="8"/>
  <c r="N78" i="8"/>
  <c r="I54" i="8"/>
  <c r="Q54" i="8"/>
  <c r="H54" i="8"/>
  <c r="O54" i="8"/>
  <c r="J54" i="8"/>
  <c r="M54" i="8"/>
  <c r="AE54" i="8"/>
  <c r="P54" i="8"/>
  <c r="F54" i="8"/>
  <c r="L54" i="8"/>
  <c r="N54" i="8"/>
  <c r="D54" i="8"/>
  <c r="E54" i="8"/>
  <c r="K54" i="8"/>
  <c r="R54" i="8"/>
  <c r="G54" i="8"/>
  <c r="P165" i="8"/>
  <c r="S165" i="8"/>
  <c r="L165" i="8"/>
  <c r="H165" i="8"/>
  <c r="Q165" i="8"/>
  <c r="J165" i="8"/>
  <c r="R165" i="8"/>
  <c r="Z165" i="8" s="1"/>
  <c r="O165" i="8"/>
  <c r="N165" i="8"/>
  <c r="E165" i="8"/>
  <c r="K165" i="8"/>
  <c r="F165" i="8"/>
  <c r="D165" i="8"/>
  <c r="AE165" i="8"/>
  <c r="G165" i="8"/>
  <c r="I165" i="8"/>
  <c r="M165" i="8"/>
  <c r="H29" i="8"/>
  <c r="N29" i="8"/>
  <c r="M29" i="8"/>
  <c r="K29" i="8"/>
  <c r="P29" i="8"/>
  <c r="AE29" i="8"/>
  <c r="R29" i="8"/>
  <c r="Z29" i="8" s="1"/>
  <c r="I29" i="8"/>
  <c r="O29" i="8"/>
  <c r="J29" i="8"/>
  <c r="F29" i="8"/>
  <c r="D29" i="8"/>
  <c r="E29" i="8"/>
  <c r="L29" i="8"/>
  <c r="G29" i="8"/>
  <c r="Q29" i="8"/>
  <c r="S29" i="8"/>
  <c r="J112" i="8"/>
  <c r="F112" i="8"/>
  <c r="Q112" i="8"/>
  <c r="H112" i="8"/>
  <c r="P112" i="8"/>
  <c r="D112" i="8"/>
  <c r="E112" i="8"/>
  <c r="N112" i="8"/>
  <c r="K112" i="8"/>
  <c r="R112" i="8"/>
  <c r="Z112" i="8" s="1"/>
  <c r="I112" i="8"/>
  <c r="L112" i="8"/>
  <c r="AE112" i="8"/>
  <c r="O112" i="8"/>
  <c r="G112" i="8"/>
  <c r="M112" i="8"/>
  <c r="P120" i="8"/>
  <c r="K120" i="8"/>
  <c r="G120" i="8"/>
  <c r="I120" i="8"/>
  <c r="L120" i="8"/>
  <c r="AE120" i="8"/>
  <c r="E120" i="8"/>
  <c r="M120" i="8"/>
  <c r="H120" i="8"/>
  <c r="J120" i="8"/>
  <c r="R120" i="8"/>
  <c r="O120" i="8"/>
  <c r="Q120" i="8"/>
  <c r="D120" i="8"/>
  <c r="N120" i="8"/>
  <c r="F120" i="8"/>
  <c r="AB231" i="8"/>
  <c r="D126" i="8"/>
  <c r="K126" i="8"/>
  <c r="L126" i="8"/>
  <c r="R126" i="8"/>
  <c r="H126" i="8"/>
  <c r="E126" i="8"/>
  <c r="G126" i="8"/>
  <c r="Q126" i="8"/>
  <c r="N126" i="8"/>
  <c r="F126" i="8"/>
  <c r="O126" i="8"/>
  <c r="M126" i="8"/>
  <c r="I126" i="8"/>
  <c r="AE126" i="8"/>
  <c r="J126" i="8"/>
  <c r="P126" i="8"/>
  <c r="AB156" i="8"/>
  <c r="F83" i="8"/>
  <c r="J83" i="8"/>
  <c r="K83" i="8"/>
  <c r="O83" i="8"/>
  <c r="Q83" i="8"/>
  <c r="R83" i="8"/>
  <c r="G83" i="8"/>
  <c r="D83" i="8"/>
  <c r="N83" i="8"/>
  <c r="M83" i="8"/>
  <c r="E83" i="8"/>
  <c r="H83" i="8"/>
  <c r="P83" i="8"/>
  <c r="L83" i="8"/>
  <c r="I83" i="8"/>
  <c r="AE83" i="8"/>
  <c r="AB220" i="8"/>
  <c r="AB296" i="8"/>
  <c r="H306" i="8"/>
  <c r="F306" i="8"/>
  <c r="I306" i="8"/>
  <c r="P306" i="8"/>
  <c r="M306" i="8"/>
  <c r="J306" i="8"/>
  <c r="D306" i="8"/>
  <c r="K306" i="8"/>
  <c r="AE306" i="8"/>
  <c r="N306" i="8"/>
  <c r="O306" i="8"/>
  <c r="G306" i="8"/>
  <c r="L306" i="8"/>
  <c r="E306" i="8"/>
  <c r="R306" i="8"/>
  <c r="Q306" i="8"/>
  <c r="K211" i="8"/>
  <c r="G211" i="8"/>
  <c r="I211" i="8"/>
  <c r="D211" i="8"/>
  <c r="AE211" i="8"/>
  <c r="N211" i="8"/>
  <c r="H211" i="8"/>
  <c r="R211" i="8"/>
  <c r="Z211" i="8" s="1"/>
  <c r="E211" i="8"/>
  <c r="F211" i="8"/>
  <c r="O211" i="8"/>
  <c r="J211" i="8"/>
  <c r="Q211" i="8"/>
  <c r="P211" i="8"/>
  <c r="S211" i="8"/>
  <c r="L211" i="8"/>
  <c r="M211" i="8"/>
  <c r="F142" i="8"/>
  <c r="D142" i="8"/>
  <c r="G142" i="8"/>
  <c r="O142" i="8"/>
  <c r="L142" i="8"/>
  <c r="J142" i="8"/>
  <c r="S142" i="8"/>
  <c r="AE142" i="8"/>
  <c r="E142" i="8"/>
  <c r="M142" i="8"/>
  <c r="I142" i="8"/>
  <c r="K142" i="8"/>
  <c r="N142" i="8"/>
  <c r="Q142" i="8"/>
  <c r="P142" i="8"/>
  <c r="H142" i="8"/>
  <c r="R142" i="8"/>
  <c r="Z142" i="8" s="1"/>
  <c r="F207" i="8"/>
  <c r="M207" i="8"/>
  <c r="J207" i="8"/>
  <c r="Q207" i="8"/>
  <c r="R207" i="8"/>
  <c r="Z207" i="8" s="1"/>
  <c r="I207" i="8"/>
  <c r="E207" i="8"/>
  <c r="N207" i="8"/>
  <c r="D207" i="8"/>
  <c r="K207" i="8"/>
  <c r="L207" i="8"/>
  <c r="O207" i="8"/>
  <c r="G207" i="8"/>
  <c r="H207" i="8"/>
  <c r="AE207" i="8"/>
  <c r="P207" i="8"/>
  <c r="J200" i="8"/>
  <c r="M200" i="8"/>
  <c r="G200" i="8"/>
  <c r="H200" i="8"/>
  <c r="N200" i="8"/>
  <c r="I200" i="8"/>
  <c r="F200" i="8"/>
  <c r="S200" i="8"/>
  <c r="E200" i="8"/>
  <c r="R200" i="8"/>
  <c r="Z200" i="8" s="1"/>
  <c r="Q200" i="8"/>
  <c r="P200" i="8"/>
  <c r="L200" i="8"/>
  <c r="K200" i="8"/>
  <c r="AE200" i="8"/>
  <c r="D200" i="8"/>
  <c r="O200" i="8"/>
  <c r="AB24" i="8"/>
  <c r="F24" i="8"/>
  <c r="E24" i="8"/>
  <c r="J24" i="8"/>
  <c r="P24" i="8"/>
  <c r="R24" i="8"/>
  <c r="Z24" i="8" s="1"/>
  <c r="K24" i="8"/>
  <c r="I24" i="8"/>
  <c r="M24" i="8"/>
  <c r="H24" i="8"/>
  <c r="D24" i="8"/>
  <c r="G24" i="8"/>
  <c r="N24" i="8"/>
  <c r="L24" i="8"/>
  <c r="O24" i="8"/>
  <c r="Q24" i="8"/>
  <c r="S24" i="8"/>
  <c r="G95" i="8"/>
  <c r="H95" i="8"/>
  <c r="N95" i="8"/>
  <c r="F95" i="8"/>
  <c r="S95" i="8"/>
  <c r="D95" i="8"/>
  <c r="M95" i="8"/>
  <c r="P95" i="8"/>
  <c r="O95" i="8"/>
  <c r="E95" i="8"/>
  <c r="I95" i="8"/>
  <c r="K95" i="8"/>
  <c r="R95" i="8"/>
  <c r="Z95" i="8" s="1"/>
  <c r="J95" i="8"/>
  <c r="Q95" i="8"/>
  <c r="L95" i="8"/>
  <c r="AE95" i="8"/>
  <c r="S307" i="8"/>
  <c r="M288" i="8"/>
  <c r="N288" i="8"/>
  <c r="K288" i="8"/>
  <c r="Q288" i="8"/>
  <c r="P288" i="8"/>
  <c r="F288" i="8"/>
  <c r="I288" i="8"/>
  <c r="J288" i="8"/>
  <c r="O288" i="8"/>
  <c r="AE288" i="8"/>
  <c r="E288" i="8"/>
  <c r="R288" i="8"/>
  <c r="Z288" i="8" s="1"/>
  <c r="S288" i="8"/>
  <c r="G288" i="8"/>
  <c r="D288" i="8"/>
  <c r="H288" i="8"/>
  <c r="L288" i="8"/>
  <c r="H127" i="8"/>
  <c r="AE127" i="8"/>
  <c r="D127" i="8"/>
  <c r="N127" i="8"/>
  <c r="G127" i="8"/>
  <c r="O127" i="8"/>
  <c r="M127" i="8"/>
  <c r="K127" i="8"/>
  <c r="F127" i="8"/>
  <c r="L127" i="8"/>
  <c r="I127" i="8"/>
  <c r="P127" i="8"/>
  <c r="Q127" i="8"/>
  <c r="R127" i="8"/>
  <c r="E127" i="8"/>
  <c r="J127" i="8"/>
  <c r="J102" i="8"/>
  <c r="M102" i="8"/>
  <c r="E102" i="8"/>
  <c r="P102" i="8"/>
  <c r="H102" i="8"/>
  <c r="D102" i="8"/>
  <c r="Q102" i="8"/>
  <c r="N102" i="8"/>
  <c r="G102" i="8"/>
  <c r="AE102" i="8"/>
  <c r="O102" i="8"/>
  <c r="L102" i="8"/>
  <c r="K102" i="8"/>
  <c r="R102" i="8"/>
  <c r="Z102" i="8" s="1"/>
  <c r="I102" i="8"/>
  <c r="F102" i="8"/>
  <c r="D245" i="8"/>
  <c r="M245" i="8"/>
  <c r="R245" i="8"/>
  <c r="S245" i="8"/>
  <c r="O245" i="8"/>
  <c r="I245" i="8"/>
  <c r="N245" i="8"/>
  <c r="AE245" i="8"/>
  <c r="E245" i="8"/>
  <c r="F245" i="8"/>
  <c r="K245" i="8"/>
  <c r="J245" i="8"/>
  <c r="G245" i="8"/>
  <c r="Q245" i="8"/>
  <c r="P245" i="8"/>
  <c r="L245" i="8"/>
  <c r="H245" i="8"/>
  <c r="O251" i="8"/>
  <c r="E251" i="8"/>
  <c r="P251" i="8"/>
  <c r="R251" i="8"/>
  <c r="Z251" i="8" s="1"/>
  <c r="I251" i="8"/>
  <c r="AE251" i="8"/>
  <c r="D251" i="8"/>
  <c r="Q251" i="8"/>
  <c r="F251" i="8"/>
  <c r="M251" i="8"/>
  <c r="S251" i="8"/>
  <c r="J251" i="8"/>
  <c r="K251" i="8"/>
  <c r="N251" i="8"/>
  <c r="H251" i="8"/>
  <c r="L251" i="8"/>
  <c r="G251" i="8"/>
  <c r="R123" i="8"/>
  <c r="Z123" i="8" s="1"/>
  <c r="Q123" i="8"/>
  <c r="O123" i="8"/>
  <c r="D123" i="8"/>
  <c r="S123" i="8"/>
  <c r="M123" i="8"/>
  <c r="P123" i="8"/>
  <c r="I123" i="8"/>
  <c r="G123" i="8"/>
  <c r="H123" i="8"/>
  <c r="J123" i="8"/>
  <c r="N123" i="8"/>
  <c r="L123" i="8"/>
  <c r="F123" i="8"/>
  <c r="E123" i="8"/>
  <c r="K123" i="8"/>
  <c r="AE123" i="8"/>
  <c r="G171" i="8"/>
  <c r="E171" i="8"/>
  <c r="P171" i="8"/>
  <c r="Q171" i="8"/>
  <c r="I171" i="8"/>
  <c r="H171" i="8"/>
  <c r="J171" i="8"/>
  <c r="D171" i="8"/>
  <c r="K171" i="8"/>
  <c r="R171" i="8"/>
  <c r="Z171" i="8" s="1"/>
  <c r="N171" i="8"/>
  <c r="M171" i="8"/>
  <c r="O171" i="8"/>
  <c r="AE171" i="8"/>
  <c r="L171" i="8"/>
  <c r="S171" i="8"/>
  <c r="F171" i="8"/>
  <c r="AB20" i="8"/>
  <c r="AB270" i="8"/>
  <c r="Q147" i="8"/>
  <c r="K147" i="8"/>
  <c r="J147" i="8"/>
  <c r="M147" i="8"/>
  <c r="H147" i="8"/>
  <c r="P147" i="8"/>
  <c r="O147" i="8"/>
  <c r="E147" i="8"/>
  <c r="R147" i="8"/>
  <c r="L147" i="8"/>
  <c r="G147" i="8"/>
  <c r="AE147" i="8"/>
  <c r="D147" i="8"/>
  <c r="I147" i="8"/>
  <c r="N147" i="8"/>
  <c r="F147" i="8"/>
  <c r="E166" i="8"/>
  <c r="H166" i="8"/>
  <c r="F166" i="8"/>
  <c r="J166" i="8"/>
  <c r="Q166" i="8"/>
  <c r="P166" i="8"/>
  <c r="R166" i="8"/>
  <c r="Z166" i="8" s="1"/>
  <c r="L166" i="8"/>
  <c r="K166" i="8"/>
  <c r="G166" i="8"/>
  <c r="AE166" i="8"/>
  <c r="I166" i="8"/>
  <c r="O166" i="8"/>
  <c r="N166" i="8"/>
  <c r="D166" i="8"/>
  <c r="M166" i="8"/>
  <c r="R60" i="8"/>
  <c r="Z60" i="8" s="1"/>
  <c r="F60" i="8"/>
  <c r="J60" i="8"/>
  <c r="E60" i="8"/>
  <c r="H60" i="8"/>
  <c r="Q60" i="8"/>
  <c r="D60" i="8"/>
  <c r="M60" i="8"/>
  <c r="G60" i="8"/>
  <c r="O60" i="8"/>
  <c r="N60" i="8"/>
  <c r="AE60" i="8"/>
  <c r="K60" i="8"/>
  <c r="P60" i="8"/>
  <c r="L60" i="8"/>
  <c r="I60" i="8"/>
  <c r="F227" i="8"/>
  <c r="J227" i="8"/>
  <c r="Q227" i="8"/>
  <c r="O227" i="8"/>
  <c r="G227" i="8"/>
  <c r="N227" i="8"/>
  <c r="K227" i="8"/>
  <c r="E227" i="8"/>
  <c r="P227" i="8"/>
  <c r="H227" i="8"/>
  <c r="M227" i="8"/>
  <c r="R227" i="8"/>
  <c r="L227" i="8"/>
  <c r="AE227" i="8"/>
  <c r="D227" i="8"/>
  <c r="I227" i="8"/>
  <c r="I287" i="8"/>
  <c r="D287" i="8"/>
  <c r="AE287" i="8"/>
  <c r="G287" i="8"/>
  <c r="K287" i="8"/>
  <c r="R287" i="8"/>
  <c r="Z287" i="8" s="1"/>
  <c r="J287" i="8"/>
  <c r="N287" i="8"/>
  <c r="O287" i="8"/>
  <c r="F287" i="8"/>
  <c r="Q287" i="8"/>
  <c r="H287" i="8"/>
  <c r="P287" i="8"/>
  <c r="L287" i="8"/>
  <c r="S287" i="8"/>
  <c r="E287" i="8"/>
  <c r="M287" i="8"/>
  <c r="AB186" i="8"/>
  <c r="I248" i="8"/>
  <c r="D248" i="8"/>
  <c r="G248" i="8"/>
  <c r="O248" i="8"/>
  <c r="E248" i="8"/>
  <c r="P248" i="8"/>
  <c r="M248" i="8"/>
  <c r="R248" i="8"/>
  <c r="Q248" i="8"/>
  <c r="AE248" i="8"/>
  <c r="J248" i="8"/>
  <c r="L248" i="8"/>
  <c r="H248" i="8"/>
  <c r="K248" i="8"/>
  <c r="N248" i="8"/>
  <c r="F248" i="8"/>
  <c r="N180" i="8"/>
  <c r="H180" i="8"/>
  <c r="AE180" i="8"/>
  <c r="O180" i="8"/>
  <c r="I180" i="8"/>
  <c r="K180" i="8"/>
  <c r="R180" i="8"/>
  <c r="P180" i="8"/>
  <c r="G180" i="8"/>
  <c r="F180" i="8"/>
  <c r="L180" i="8"/>
  <c r="Q180" i="8"/>
  <c r="M180" i="8"/>
  <c r="D180" i="8"/>
  <c r="E180" i="8"/>
  <c r="J180" i="8"/>
  <c r="D280" i="8"/>
  <c r="M280" i="8"/>
  <c r="Q280" i="8"/>
  <c r="P280" i="8"/>
  <c r="R280" i="8"/>
  <c r="K280" i="8"/>
  <c r="O280" i="8"/>
  <c r="AE280" i="8"/>
  <c r="L280" i="8"/>
  <c r="H280" i="8"/>
  <c r="F280" i="8"/>
  <c r="J280" i="8"/>
  <c r="I280" i="8"/>
  <c r="G280" i="8"/>
  <c r="N280" i="8"/>
  <c r="E280" i="8"/>
  <c r="N39" i="8"/>
  <c r="M39" i="8"/>
  <c r="L39" i="8"/>
  <c r="AE39" i="8"/>
  <c r="K39" i="8"/>
  <c r="P39" i="8"/>
  <c r="Q39" i="8"/>
  <c r="H39" i="8"/>
  <c r="D39" i="8"/>
  <c r="I39" i="8"/>
  <c r="G39" i="8"/>
  <c r="O39" i="8"/>
  <c r="R39" i="8"/>
  <c r="E39" i="8"/>
  <c r="J39" i="8"/>
  <c r="F39" i="8"/>
  <c r="AB243" i="8"/>
  <c r="I137" i="8"/>
  <c r="P137" i="8"/>
  <c r="F137" i="8"/>
  <c r="D137" i="8"/>
  <c r="Q137" i="8"/>
  <c r="AE137" i="8"/>
  <c r="L137" i="8"/>
  <c r="R137" i="8"/>
  <c r="K137" i="8"/>
  <c r="J137" i="8"/>
  <c r="E137" i="8"/>
  <c r="H137" i="8"/>
  <c r="M137" i="8"/>
  <c r="O137" i="8"/>
  <c r="N137" i="8"/>
  <c r="G137" i="8"/>
  <c r="P269" i="8"/>
  <c r="O269" i="8"/>
  <c r="G269" i="8"/>
  <c r="I269" i="8"/>
  <c r="AE269" i="8"/>
  <c r="F269" i="8"/>
  <c r="D269" i="8"/>
  <c r="R269" i="8"/>
  <c r="H269" i="8"/>
  <c r="L269" i="8"/>
  <c r="M269" i="8"/>
  <c r="J269" i="8"/>
  <c r="K269" i="8"/>
  <c r="N269" i="8"/>
  <c r="E269" i="8"/>
  <c r="Q269" i="8"/>
  <c r="H32" i="8"/>
  <c r="AE32" i="8"/>
  <c r="E32" i="8"/>
  <c r="P32" i="8"/>
  <c r="J32" i="8"/>
  <c r="N32" i="8"/>
  <c r="L32" i="8"/>
  <c r="D32" i="8"/>
  <c r="M32" i="8"/>
  <c r="G32" i="8"/>
  <c r="I32" i="8"/>
  <c r="O32" i="8"/>
  <c r="F32" i="8"/>
  <c r="R32" i="8"/>
  <c r="K32" i="8"/>
  <c r="Q32" i="8"/>
  <c r="AB75" i="8"/>
  <c r="J93" i="8"/>
  <c r="Q93" i="8"/>
  <c r="M93" i="8"/>
  <c r="I93" i="8"/>
  <c r="E93" i="8"/>
  <c r="L93" i="8"/>
  <c r="F93" i="8"/>
  <c r="N93" i="8"/>
  <c r="P93" i="8"/>
  <c r="AE93" i="8"/>
  <c r="H93" i="8"/>
  <c r="O93" i="8"/>
  <c r="K93" i="8"/>
  <c r="D93" i="8"/>
  <c r="G93" i="8"/>
  <c r="R93" i="8"/>
  <c r="I289" i="8"/>
  <c r="S289" i="8"/>
  <c r="P289" i="8"/>
  <c r="M289" i="8"/>
  <c r="L289" i="8"/>
  <c r="J289" i="8"/>
  <c r="N289" i="8"/>
  <c r="G289" i="8"/>
  <c r="AE289" i="8"/>
  <c r="F289" i="8"/>
  <c r="E289" i="8"/>
  <c r="R289" i="8"/>
  <c r="Z289" i="8" s="1"/>
  <c r="O289" i="8"/>
  <c r="H289" i="8"/>
  <c r="K289" i="8"/>
  <c r="D289" i="8"/>
  <c r="Q289" i="8"/>
  <c r="AB143" i="8"/>
  <c r="G190" i="8"/>
  <c r="H190" i="8"/>
  <c r="Q190" i="8"/>
  <c r="S190" i="8"/>
  <c r="L190" i="8"/>
  <c r="F190" i="8"/>
  <c r="AE190" i="8"/>
  <c r="K190" i="8"/>
  <c r="M190" i="8"/>
  <c r="R190" i="8"/>
  <c r="J190" i="8"/>
  <c r="I190" i="8"/>
  <c r="E190" i="8"/>
  <c r="D190" i="8"/>
  <c r="P190" i="8"/>
  <c r="N190" i="8"/>
  <c r="O190" i="8"/>
  <c r="N65" i="8"/>
  <c r="D65" i="8"/>
  <c r="O65" i="8"/>
  <c r="F65" i="8"/>
  <c r="K65" i="8"/>
  <c r="Q65" i="8"/>
  <c r="S65" i="8"/>
  <c r="P65" i="8"/>
  <c r="J65" i="8"/>
  <c r="G65" i="8"/>
  <c r="AE65" i="8"/>
  <c r="H65" i="8"/>
  <c r="R65" i="8"/>
  <c r="Z65" i="8" s="1"/>
  <c r="M65" i="8"/>
  <c r="L65" i="8"/>
  <c r="I65" i="8"/>
  <c r="E65" i="8"/>
  <c r="K41" i="8"/>
  <c r="L41" i="8"/>
  <c r="Q41" i="8"/>
  <c r="H41" i="8"/>
  <c r="G41" i="8"/>
  <c r="S41" i="8"/>
  <c r="I41" i="8"/>
  <c r="P41" i="8"/>
  <c r="J41" i="8"/>
  <c r="D41" i="8"/>
  <c r="N41" i="8"/>
  <c r="O41" i="8"/>
  <c r="AE41" i="8"/>
  <c r="F41" i="8"/>
  <c r="M41" i="8"/>
  <c r="E41" i="8"/>
  <c r="R41" i="8"/>
  <c r="Q73" i="8"/>
  <c r="D73" i="8"/>
  <c r="R73" i="8"/>
  <c r="Z73" i="8" s="1"/>
  <c r="M73" i="8"/>
  <c r="L73" i="8"/>
  <c r="O73" i="8"/>
  <c r="E73" i="8"/>
  <c r="H73" i="8"/>
  <c r="J73" i="8"/>
  <c r="AE73" i="8"/>
  <c r="N73" i="8"/>
  <c r="I73" i="8"/>
  <c r="P73" i="8"/>
  <c r="K73" i="8"/>
  <c r="F73" i="8"/>
  <c r="G73" i="8"/>
  <c r="F236" i="8"/>
  <c r="J236" i="8"/>
  <c r="P236" i="8"/>
  <c r="AE236" i="8"/>
  <c r="G236" i="8"/>
  <c r="K236" i="8"/>
  <c r="M236" i="8"/>
  <c r="Q236" i="8"/>
  <c r="L236" i="8"/>
  <c r="N236" i="8"/>
  <c r="R236" i="8"/>
  <c r="Z236" i="8" s="1"/>
  <c r="E236" i="8"/>
  <c r="O236" i="8"/>
  <c r="S236" i="8"/>
  <c r="I236" i="8"/>
  <c r="H236" i="8"/>
  <c r="D236" i="8"/>
  <c r="J71" i="8"/>
  <c r="Q71" i="8"/>
  <c r="K71" i="8"/>
  <c r="S71" i="8"/>
  <c r="P71" i="8"/>
  <c r="E71" i="8"/>
  <c r="N71" i="8"/>
  <c r="L71" i="8"/>
  <c r="F71" i="8"/>
  <c r="R71" i="8"/>
  <c r="Z71" i="8" s="1"/>
  <c r="H71" i="8"/>
  <c r="AE71" i="8"/>
  <c r="M71" i="8"/>
  <c r="G71" i="8"/>
  <c r="O71" i="8"/>
  <c r="I71" i="8"/>
  <c r="D71" i="8"/>
  <c r="J230" i="8"/>
  <c r="P230" i="8"/>
  <c r="I230" i="8"/>
  <c r="L230" i="8"/>
  <c r="N230" i="8"/>
  <c r="G230" i="8"/>
  <c r="S230" i="8"/>
  <c r="F230" i="8"/>
  <c r="AE230" i="8"/>
  <c r="Q230" i="8"/>
  <c r="O230" i="8"/>
  <c r="M230" i="8"/>
  <c r="D230" i="8"/>
  <c r="H230" i="8"/>
  <c r="R230" i="8"/>
  <c r="Z230" i="8" s="1"/>
  <c r="E230" i="8"/>
  <c r="K230" i="8"/>
  <c r="AB307" i="8"/>
  <c r="R153" i="8"/>
  <c r="G153" i="8"/>
  <c r="P153" i="8"/>
  <c r="L153" i="8"/>
  <c r="AE153" i="8"/>
  <c r="N153" i="8"/>
  <c r="H153" i="8"/>
  <c r="K153" i="8"/>
  <c r="D153" i="8"/>
  <c r="F153" i="8"/>
  <c r="M153" i="8"/>
  <c r="I153" i="8"/>
  <c r="Q153" i="8"/>
  <c r="E153" i="8"/>
  <c r="O153" i="8"/>
  <c r="J153" i="8"/>
  <c r="I177" i="8"/>
  <c r="M177" i="8"/>
  <c r="P177" i="8"/>
  <c r="E177" i="8"/>
  <c r="R177" i="8"/>
  <c r="Z177" i="8" s="1"/>
  <c r="G177" i="8"/>
  <c r="L177" i="8"/>
  <c r="O177" i="8"/>
  <c r="Q177" i="8"/>
  <c r="F177" i="8"/>
  <c r="H177" i="8"/>
  <c r="N177" i="8"/>
  <c r="S177" i="8"/>
  <c r="J177" i="8"/>
  <c r="K177" i="8"/>
  <c r="D177" i="8"/>
  <c r="AE177" i="8"/>
  <c r="H133" i="8"/>
  <c r="N133" i="8"/>
  <c r="G133" i="8"/>
  <c r="L133" i="8"/>
  <c r="K133" i="8"/>
  <c r="P133" i="8"/>
  <c r="F133" i="8"/>
  <c r="E133" i="8"/>
  <c r="R133" i="8"/>
  <c r="Z133" i="8" s="1"/>
  <c r="Q133" i="8"/>
  <c r="J133" i="8"/>
  <c r="O133" i="8"/>
  <c r="I133" i="8"/>
  <c r="D133" i="8"/>
  <c r="S133" i="8"/>
  <c r="AE133" i="8"/>
  <c r="M133" i="8"/>
  <c r="O237" i="8"/>
  <c r="AE237" i="8"/>
  <c r="K237" i="8"/>
  <c r="I237" i="8"/>
  <c r="D237" i="8"/>
  <c r="H237" i="8"/>
  <c r="M237" i="8"/>
  <c r="E237" i="8"/>
  <c r="P237" i="8"/>
  <c r="F237" i="8"/>
  <c r="J237" i="8"/>
  <c r="L237" i="8"/>
  <c r="R237" i="8"/>
  <c r="Z237" i="8" s="1"/>
  <c r="Q237" i="8"/>
  <c r="S237" i="8"/>
  <c r="G237" i="8"/>
  <c r="N237" i="8"/>
  <c r="F278" i="8"/>
  <c r="K101" i="8"/>
  <c r="L101" i="8"/>
  <c r="J101" i="8"/>
  <c r="Q101" i="8"/>
  <c r="E101" i="8"/>
  <c r="I101" i="8"/>
  <c r="H101" i="8"/>
  <c r="R101" i="8"/>
  <c r="G101" i="8"/>
  <c r="N101" i="8"/>
  <c r="D101" i="8"/>
  <c r="O101" i="8"/>
  <c r="P101" i="8"/>
  <c r="M101" i="8"/>
  <c r="AE101" i="8"/>
  <c r="F101" i="8"/>
  <c r="L308" i="8"/>
  <c r="E308" i="8"/>
  <c r="N308" i="8"/>
  <c r="I308" i="8"/>
  <c r="H308" i="8"/>
  <c r="D308" i="8"/>
  <c r="F308" i="8"/>
  <c r="Q308" i="8"/>
  <c r="R308" i="8"/>
  <c r="M308" i="8"/>
  <c r="P308" i="8"/>
  <c r="J308" i="8"/>
  <c r="K308" i="8"/>
  <c r="O308" i="8"/>
  <c r="G308" i="8"/>
  <c r="AE308" i="8"/>
  <c r="P254" i="8"/>
  <c r="K254" i="8"/>
  <c r="D254" i="8"/>
  <c r="R254" i="8"/>
  <c r="AE254" i="8"/>
  <c r="F254" i="8"/>
  <c r="H254" i="8"/>
  <c r="E254" i="8"/>
  <c r="M254" i="8"/>
  <c r="G254" i="8"/>
  <c r="L254" i="8"/>
  <c r="O254" i="8"/>
  <c r="N254" i="8"/>
  <c r="J254" i="8"/>
  <c r="I254" i="8"/>
  <c r="Q254" i="8"/>
  <c r="G75" i="8"/>
  <c r="F75" i="8"/>
  <c r="AE75" i="8"/>
  <c r="M75" i="8"/>
  <c r="D75" i="8"/>
  <c r="K75" i="8"/>
  <c r="J75" i="8"/>
  <c r="H75" i="8"/>
  <c r="R75" i="8"/>
  <c r="Z75" i="8" s="1"/>
  <c r="O75" i="8"/>
  <c r="L75" i="8"/>
  <c r="E75" i="8"/>
  <c r="N75" i="8"/>
  <c r="I75" i="8"/>
  <c r="Q75" i="8"/>
  <c r="P75" i="8"/>
  <c r="AB53" i="8"/>
  <c r="L161" i="8"/>
  <c r="P161" i="8"/>
  <c r="E161" i="8"/>
  <c r="J161" i="8"/>
  <c r="F161" i="8"/>
  <c r="Q161" i="8"/>
  <c r="M161" i="8"/>
  <c r="H161" i="8"/>
  <c r="R161" i="8"/>
  <c r="Z161" i="8" s="1"/>
  <c r="D161" i="8"/>
  <c r="G161" i="8"/>
  <c r="S161" i="8"/>
  <c r="N161" i="8"/>
  <c r="K161" i="8"/>
  <c r="AE161" i="8"/>
  <c r="I161" i="8"/>
  <c r="O161" i="8"/>
  <c r="D250" i="8"/>
  <c r="G250" i="8"/>
  <c r="E250" i="8"/>
  <c r="R250" i="8"/>
  <c r="O250" i="8"/>
  <c r="P250" i="8"/>
  <c r="L250" i="8"/>
  <c r="AE250" i="8"/>
  <c r="J250" i="8"/>
  <c r="F250" i="8"/>
  <c r="I250" i="8"/>
  <c r="K250" i="8"/>
  <c r="H250" i="8"/>
  <c r="N250" i="8"/>
  <c r="Q250" i="8"/>
  <c r="M250" i="8"/>
  <c r="R63" i="8"/>
  <c r="J63" i="8"/>
  <c r="L63" i="8"/>
  <c r="F63" i="8"/>
  <c r="O63" i="8"/>
  <c r="P63" i="8"/>
  <c r="Q63" i="8"/>
  <c r="E63" i="8"/>
  <c r="M63" i="8"/>
  <c r="N63" i="8"/>
  <c r="D63" i="8"/>
  <c r="G63" i="8"/>
  <c r="H63" i="8"/>
  <c r="AE63" i="8"/>
  <c r="I63" i="8"/>
  <c r="K63" i="8"/>
  <c r="J307" i="8"/>
  <c r="N307" i="8"/>
  <c r="O307" i="8"/>
  <c r="H307" i="8"/>
  <c r="Q307" i="8"/>
  <c r="D307" i="8"/>
  <c r="M307" i="8"/>
  <c r="AE307" i="8"/>
  <c r="L307" i="8"/>
  <c r="E307" i="8"/>
  <c r="F307" i="8"/>
  <c r="K307" i="8"/>
  <c r="P307" i="8"/>
  <c r="R307" i="8"/>
  <c r="Z307" i="8" s="1"/>
  <c r="G307" i="8"/>
  <c r="I307" i="8"/>
  <c r="S114" i="8"/>
  <c r="J114" i="8"/>
  <c r="Q114" i="8"/>
  <c r="R114" i="8"/>
  <c r="Z114" i="8" s="1"/>
  <c r="M114" i="8"/>
  <c r="O114" i="8"/>
  <c r="AE114" i="8"/>
  <c r="I114" i="8"/>
  <c r="P114" i="8"/>
  <c r="E114" i="8"/>
  <c r="K114" i="8"/>
  <c r="D114" i="8"/>
  <c r="G114" i="8"/>
  <c r="H114" i="8"/>
  <c r="L114" i="8"/>
  <c r="N114" i="8"/>
  <c r="F114" i="8"/>
  <c r="M194" i="8"/>
  <c r="L194" i="8"/>
  <c r="S194" i="8"/>
  <c r="AE194" i="8"/>
  <c r="I194" i="8"/>
  <c r="E194" i="8"/>
  <c r="O194" i="8"/>
  <c r="Q194" i="8"/>
  <c r="P194" i="8"/>
  <c r="G194" i="8"/>
  <c r="K194" i="8"/>
  <c r="R194" i="8"/>
  <c r="Z194" i="8" s="1"/>
  <c r="H194" i="8"/>
  <c r="F194" i="8"/>
  <c r="D194" i="8"/>
  <c r="N194" i="8"/>
  <c r="J194" i="8"/>
  <c r="I136" i="8"/>
  <c r="K136" i="8"/>
  <c r="G136" i="8"/>
  <c r="L136" i="8"/>
  <c r="F136" i="8"/>
  <c r="P136" i="8"/>
  <c r="H136" i="8"/>
  <c r="Q136" i="8"/>
  <c r="J136" i="8"/>
  <c r="M136" i="8"/>
  <c r="O136" i="8"/>
  <c r="R136" i="8"/>
  <c r="S136" i="8"/>
  <c r="AE136" i="8"/>
  <c r="N136" i="8"/>
  <c r="D136" i="8"/>
  <c r="E136" i="8"/>
  <c r="H276" i="8"/>
  <c r="K276" i="8"/>
  <c r="G276" i="8"/>
  <c r="F276" i="8"/>
  <c r="D276" i="8"/>
  <c r="Q276" i="8"/>
  <c r="O276" i="8"/>
  <c r="N276" i="8"/>
  <c r="S276" i="8"/>
  <c r="E276" i="8"/>
  <c r="M276" i="8"/>
  <c r="P276" i="8"/>
  <c r="AE276" i="8"/>
  <c r="R276" i="8"/>
  <c r="Z276" i="8" s="1"/>
  <c r="L276" i="8"/>
  <c r="J276" i="8"/>
  <c r="I276" i="8"/>
  <c r="E298" i="8"/>
  <c r="O298" i="8"/>
  <c r="J298" i="8"/>
  <c r="L298" i="8"/>
  <c r="K298" i="8"/>
  <c r="AE298" i="8"/>
  <c r="M298" i="8"/>
  <c r="G298" i="8"/>
  <c r="I298" i="8"/>
  <c r="P298" i="8"/>
  <c r="H298" i="8"/>
  <c r="F298" i="8"/>
  <c r="N298" i="8"/>
  <c r="Q298" i="8"/>
  <c r="S298" i="8"/>
  <c r="D298" i="8"/>
  <c r="R298" i="8"/>
  <c r="Q294" i="8"/>
  <c r="I294" i="8"/>
  <c r="AE294" i="8"/>
  <c r="O294" i="8"/>
  <c r="S294" i="8"/>
  <c r="M294" i="8"/>
  <c r="F294" i="8"/>
  <c r="N294" i="8"/>
  <c r="G294" i="8"/>
  <c r="L294" i="8"/>
  <c r="D294" i="8"/>
  <c r="J294" i="8"/>
  <c r="E294" i="8"/>
  <c r="P294" i="8"/>
  <c r="R294" i="8"/>
  <c r="Z294" i="8" s="1"/>
  <c r="H294" i="8"/>
  <c r="K294" i="8"/>
  <c r="Q258" i="8"/>
  <c r="J258" i="8"/>
  <c r="O258" i="8"/>
  <c r="M258" i="8"/>
  <c r="N258" i="8"/>
  <c r="H258" i="8"/>
  <c r="L258" i="8"/>
  <c r="S258" i="8"/>
  <c r="AE258" i="8"/>
  <c r="E258" i="8"/>
  <c r="K258" i="8"/>
  <c r="R258" i="8"/>
  <c r="Z258" i="8" s="1"/>
  <c r="P258" i="8"/>
  <c r="D258" i="8"/>
  <c r="I258" i="8"/>
  <c r="G258" i="8"/>
  <c r="F258" i="8"/>
  <c r="S188" i="8"/>
  <c r="E188" i="8"/>
  <c r="G188" i="8"/>
  <c r="Q188" i="8"/>
  <c r="O188" i="8"/>
  <c r="J188" i="8"/>
  <c r="R188" i="8"/>
  <c r="I188" i="8"/>
  <c r="H188" i="8"/>
  <c r="N188" i="8"/>
  <c r="L188" i="8"/>
  <c r="AE188" i="8"/>
  <c r="K188" i="8"/>
  <c r="M188" i="8"/>
  <c r="P188" i="8"/>
  <c r="F188" i="8"/>
  <c r="D188" i="8"/>
  <c r="P195" i="8"/>
  <c r="E195" i="8"/>
  <c r="H195" i="8"/>
  <c r="Q195" i="8"/>
  <c r="K195" i="8"/>
  <c r="M195" i="8"/>
  <c r="L195" i="8"/>
  <c r="G195" i="8"/>
  <c r="S195" i="8"/>
  <c r="J195" i="8"/>
  <c r="N195" i="8"/>
  <c r="F195" i="8"/>
  <c r="AE195" i="8"/>
  <c r="R195" i="8"/>
  <c r="Z195" i="8" s="1"/>
  <c r="D195" i="8"/>
  <c r="I195" i="8"/>
  <c r="O195" i="8"/>
  <c r="P286" i="8"/>
  <c r="H286" i="8"/>
  <c r="G286" i="8"/>
  <c r="L286" i="8"/>
  <c r="I286" i="8"/>
  <c r="Q286" i="8"/>
  <c r="J286" i="8"/>
  <c r="K286" i="8"/>
  <c r="AE286" i="8"/>
  <c r="E286" i="8"/>
  <c r="R286" i="8"/>
  <c r="F286" i="8"/>
  <c r="M286" i="8"/>
  <c r="D286" i="8"/>
  <c r="O286" i="8"/>
  <c r="N286" i="8"/>
  <c r="G186" i="8"/>
  <c r="AE186" i="8"/>
  <c r="M186" i="8"/>
  <c r="O186" i="8"/>
  <c r="N186" i="8"/>
  <c r="Q186" i="8"/>
  <c r="E186" i="8"/>
  <c r="F186" i="8"/>
  <c r="D186" i="8"/>
  <c r="J186" i="8"/>
  <c r="R186" i="8"/>
  <c r="Z186" i="8" s="1"/>
  <c r="L186" i="8"/>
  <c r="K186" i="8"/>
  <c r="I186" i="8"/>
  <c r="H186" i="8"/>
  <c r="P186" i="8"/>
  <c r="Z302" i="8"/>
  <c r="J162" i="8"/>
  <c r="R162" i="8"/>
  <c r="Z162" i="8" s="1"/>
  <c r="G162" i="8"/>
  <c r="I162" i="8"/>
  <c r="M162" i="8"/>
  <c r="O162" i="8"/>
  <c r="D162" i="8"/>
  <c r="K162" i="8"/>
  <c r="S162" i="8"/>
  <c r="F162" i="8"/>
  <c r="Q162" i="8"/>
  <c r="P162" i="8"/>
  <c r="AE162" i="8"/>
  <c r="H162" i="8"/>
  <c r="L162" i="8"/>
  <c r="E162" i="8"/>
  <c r="N162" i="8"/>
  <c r="E20" i="8"/>
  <c r="H20" i="8"/>
  <c r="R20" i="8"/>
  <c r="Z20" i="8" s="1"/>
  <c r="Q20" i="8"/>
  <c r="G20" i="8"/>
  <c r="P20" i="8"/>
  <c r="N20" i="8"/>
  <c r="F20" i="8"/>
  <c r="I20" i="8"/>
  <c r="D20" i="8"/>
  <c r="L20" i="8"/>
  <c r="S20" i="8"/>
  <c r="O20" i="8"/>
  <c r="L270" i="8"/>
  <c r="P270" i="8"/>
  <c r="M270" i="8"/>
  <c r="E270" i="8"/>
  <c r="K270" i="8"/>
  <c r="H270" i="8"/>
  <c r="I270" i="8"/>
  <c r="N270" i="8"/>
  <c r="F270" i="8"/>
  <c r="D270" i="8"/>
  <c r="R270" i="8"/>
  <c r="Z270" i="8" s="1"/>
  <c r="O270" i="8"/>
  <c r="J270" i="8"/>
  <c r="AE270" i="8"/>
  <c r="S270" i="8"/>
  <c r="G270" i="8"/>
  <c r="Q270" i="8"/>
  <c r="I121" i="8"/>
  <c r="AE121" i="8"/>
  <c r="O121" i="8"/>
  <c r="M121" i="8"/>
  <c r="E121" i="8"/>
  <c r="F121" i="8"/>
  <c r="R121" i="8"/>
  <c r="J121" i="8"/>
  <c r="N121" i="8"/>
  <c r="G121" i="8"/>
  <c r="L121" i="8"/>
  <c r="K121" i="8"/>
  <c r="Q121" i="8"/>
  <c r="D121" i="8"/>
  <c r="P121" i="8"/>
  <c r="H121" i="8"/>
  <c r="S282" i="8"/>
  <c r="K282" i="8"/>
  <c r="F282" i="8"/>
  <c r="J282" i="8"/>
  <c r="H282" i="8"/>
  <c r="E282" i="8"/>
  <c r="I282" i="8"/>
  <c r="G282" i="8"/>
  <c r="D282" i="8"/>
  <c r="O282" i="8"/>
  <c r="M282" i="8"/>
  <c r="P282" i="8"/>
  <c r="R282" i="8"/>
  <c r="Z282" i="8" s="1"/>
  <c r="L282" i="8"/>
  <c r="N282" i="8"/>
  <c r="Q282" i="8"/>
  <c r="AE282" i="8"/>
  <c r="I184" i="8"/>
  <c r="R184" i="8"/>
  <c r="Z184" i="8" s="1"/>
  <c r="L184" i="8"/>
  <c r="AE184" i="8"/>
  <c r="N184" i="8"/>
  <c r="Q184" i="8"/>
  <c r="E184" i="8"/>
  <c r="F184" i="8"/>
  <c r="D184" i="8"/>
  <c r="G184" i="8"/>
  <c r="O184" i="8"/>
  <c r="P184" i="8"/>
  <c r="K184" i="8"/>
  <c r="S184" i="8"/>
  <c r="J184" i="8"/>
  <c r="M184" i="8"/>
  <c r="H184" i="8"/>
  <c r="AB60" i="8"/>
  <c r="O74" i="8"/>
  <c r="F74" i="8"/>
  <c r="G74" i="8"/>
  <c r="I74" i="8"/>
  <c r="Q74" i="8"/>
  <c r="S74" i="8"/>
  <c r="H74" i="8"/>
  <c r="AE74" i="8"/>
  <c r="L74" i="8"/>
  <c r="E74" i="8"/>
  <c r="P74" i="8"/>
  <c r="D74" i="8"/>
  <c r="R74" i="8"/>
  <c r="Z74" i="8" s="1"/>
  <c r="J74" i="8"/>
  <c r="K74" i="8"/>
  <c r="N74" i="8"/>
  <c r="M74" i="8"/>
  <c r="M118" i="8"/>
  <c r="E118" i="8"/>
  <c r="H118" i="8"/>
  <c r="O118" i="8"/>
  <c r="AE118" i="8"/>
  <c r="P118" i="8"/>
  <c r="J118" i="8"/>
  <c r="D118" i="8"/>
  <c r="Q118" i="8"/>
  <c r="N118" i="8"/>
  <c r="G118" i="8"/>
  <c r="S118" i="8"/>
  <c r="I118" i="8"/>
  <c r="F118" i="8"/>
  <c r="L118" i="8"/>
  <c r="R118" i="8"/>
  <c r="Z118" i="8" s="1"/>
  <c r="K118" i="8"/>
  <c r="AE152" i="8"/>
  <c r="D152" i="8"/>
  <c r="H152" i="8"/>
  <c r="F152" i="8"/>
  <c r="K152" i="8"/>
  <c r="N152" i="8"/>
  <c r="E152" i="8"/>
  <c r="M152" i="8"/>
  <c r="S152" i="8"/>
  <c r="J152" i="8"/>
  <c r="P152" i="8"/>
  <c r="O152" i="8"/>
  <c r="I152" i="8"/>
  <c r="G152" i="8"/>
  <c r="Q152" i="8"/>
  <c r="R152" i="8"/>
  <c r="Z152" i="8" s="1"/>
  <c r="L152" i="8"/>
  <c r="S186" i="8"/>
  <c r="I23" i="8"/>
  <c r="L23" i="8"/>
  <c r="O23" i="8"/>
  <c r="H23" i="8"/>
  <c r="G23" i="8"/>
  <c r="N23" i="8"/>
  <c r="D23" i="8"/>
  <c r="E23" i="8"/>
  <c r="Q23" i="8"/>
  <c r="R23" i="8"/>
  <c r="P23" i="8"/>
  <c r="F23" i="8"/>
  <c r="L261" i="8"/>
  <c r="O261" i="8"/>
  <c r="I261" i="8"/>
  <c r="N261" i="8"/>
  <c r="D261" i="8"/>
  <c r="Q261" i="8"/>
  <c r="R261" i="8"/>
  <c r="P261" i="8"/>
  <c r="M261" i="8"/>
  <c r="K261" i="8"/>
  <c r="AE261" i="8"/>
  <c r="H261" i="8"/>
  <c r="J261" i="8"/>
  <c r="G261" i="8"/>
  <c r="E261" i="8"/>
  <c r="F261" i="8"/>
  <c r="D35" i="8"/>
  <c r="I35" i="8"/>
  <c r="L35" i="8"/>
  <c r="F35" i="8"/>
  <c r="G35" i="8"/>
  <c r="R35" i="8"/>
  <c r="N35" i="8"/>
  <c r="K35" i="8"/>
  <c r="AE35" i="8"/>
  <c r="M35" i="8"/>
  <c r="E35" i="8"/>
  <c r="P35" i="8"/>
  <c r="Q35" i="8"/>
  <c r="J35" i="8"/>
  <c r="H35" i="8"/>
  <c r="O35" i="8"/>
  <c r="H50" i="8"/>
  <c r="Q50" i="8"/>
  <c r="O50" i="8"/>
  <c r="AE50" i="8"/>
  <c r="K50" i="8"/>
  <c r="M50" i="8"/>
  <c r="F50" i="8"/>
  <c r="J50" i="8"/>
  <c r="R50" i="8"/>
  <c r="P50" i="8"/>
  <c r="I50" i="8"/>
  <c r="E50" i="8"/>
  <c r="D50" i="8"/>
  <c r="G50" i="8"/>
  <c r="L50" i="8"/>
  <c r="N50" i="8"/>
  <c r="P216" i="8"/>
  <c r="K216" i="8"/>
  <c r="O216" i="8"/>
  <c r="AE216" i="8"/>
  <c r="D216" i="8"/>
  <c r="M216" i="8"/>
  <c r="Q216" i="8"/>
  <c r="R216" i="8"/>
  <c r="G216" i="8"/>
  <c r="F216" i="8"/>
  <c r="N216" i="8"/>
  <c r="I216" i="8"/>
  <c r="L216" i="8"/>
  <c r="H216" i="8"/>
  <c r="J216" i="8"/>
  <c r="E216" i="8"/>
  <c r="F271" i="8"/>
  <c r="L271" i="8"/>
  <c r="E271" i="8"/>
  <c r="D271" i="8"/>
  <c r="N271" i="8"/>
  <c r="K271" i="8"/>
  <c r="H271" i="8"/>
  <c r="O271" i="8"/>
  <c r="M271" i="8"/>
  <c r="AE271" i="8"/>
  <c r="G271" i="8"/>
  <c r="S271" i="8"/>
  <c r="Q271" i="8"/>
  <c r="I271" i="8"/>
  <c r="P271" i="8"/>
  <c r="R271" i="8"/>
  <c r="Z271" i="8" s="1"/>
  <c r="J271" i="8"/>
  <c r="Q296" i="8"/>
  <c r="M296" i="8"/>
  <c r="K296" i="8"/>
  <c r="I296" i="8"/>
  <c r="AE296" i="8"/>
  <c r="G296" i="8"/>
  <c r="F296" i="8"/>
  <c r="E296" i="8"/>
  <c r="H296" i="8"/>
  <c r="P296" i="8"/>
  <c r="R296" i="8"/>
  <c r="D296" i="8"/>
  <c r="N296" i="8"/>
  <c r="O296" i="8"/>
  <c r="L296" i="8"/>
  <c r="J296" i="8"/>
  <c r="E268" i="8"/>
  <c r="G268" i="8"/>
  <c r="F268" i="8"/>
  <c r="Q268" i="8"/>
  <c r="L268" i="8"/>
  <c r="AE268" i="8"/>
  <c r="D268" i="8"/>
  <c r="I268" i="8"/>
  <c r="J268" i="8"/>
  <c r="N268" i="8"/>
  <c r="K268" i="8"/>
  <c r="R268" i="8"/>
  <c r="O268" i="8"/>
  <c r="S268" i="8"/>
  <c r="H268" i="8"/>
  <c r="M268" i="8"/>
  <c r="P268" i="8"/>
  <c r="G107" i="8"/>
  <c r="P290" i="8"/>
  <c r="M290" i="8"/>
  <c r="J290" i="8"/>
  <c r="K290" i="8"/>
  <c r="E290" i="8"/>
  <c r="R290" i="8"/>
  <c r="I290" i="8"/>
  <c r="L290" i="8"/>
  <c r="H290" i="8"/>
  <c r="F290" i="8"/>
  <c r="O290" i="8"/>
  <c r="N290" i="8"/>
  <c r="G290" i="8"/>
  <c r="AE290" i="8"/>
  <c r="D290" i="8"/>
  <c r="Q290" i="8"/>
  <c r="G179" i="8"/>
  <c r="R143" i="8"/>
  <c r="Z143" i="8" s="1"/>
  <c r="N143" i="8"/>
  <c r="I143" i="8"/>
  <c r="E143" i="8"/>
  <c r="O143" i="8"/>
  <c r="J143" i="8"/>
  <c r="M143" i="8"/>
  <c r="K143" i="8"/>
  <c r="Q143" i="8"/>
  <c r="G143" i="8"/>
  <c r="P143" i="8"/>
  <c r="L143" i="8"/>
  <c r="H143" i="8"/>
  <c r="D143" i="8"/>
  <c r="AE143" i="8"/>
  <c r="F143" i="8"/>
  <c r="S143" i="8"/>
  <c r="D192" i="8"/>
  <c r="J192" i="8"/>
  <c r="R192" i="8"/>
  <c r="O192" i="8"/>
  <c r="M192" i="8"/>
  <c r="K192" i="8"/>
  <c r="H192" i="8"/>
  <c r="G192" i="8"/>
  <c r="I192" i="8"/>
  <c r="F192" i="8"/>
  <c r="AE192" i="8"/>
  <c r="N192" i="8"/>
  <c r="E192" i="8"/>
  <c r="Q192" i="8"/>
  <c r="P192" i="8"/>
  <c r="L192" i="8"/>
  <c r="K47" i="8"/>
  <c r="R47" i="8"/>
  <c r="J47" i="8"/>
  <c r="M47" i="8"/>
  <c r="AE47" i="8"/>
  <c r="O47" i="8"/>
  <c r="F47" i="8"/>
  <c r="I47" i="8"/>
  <c r="H47" i="8"/>
  <c r="N47" i="8"/>
  <c r="E47" i="8"/>
  <c r="L47" i="8"/>
  <c r="G47" i="8"/>
  <c r="D47" i="8"/>
  <c r="P47" i="8"/>
  <c r="Q47" i="8"/>
  <c r="G219" i="8"/>
  <c r="K122" i="8"/>
  <c r="N122" i="8"/>
  <c r="R122" i="8"/>
  <c r="O122" i="8"/>
  <c r="G122" i="8"/>
  <c r="J122" i="8"/>
  <c r="E122" i="8"/>
  <c r="H122" i="8"/>
  <c r="Q122" i="8"/>
  <c r="P122" i="8"/>
  <c r="L122" i="8"/>
  <c r="M122" i="8"/>
  <c r="F122" i="8"/>
  <c r="D122" i="8"/>
  <c r="AE122" i="8"/>
  <c r="I122" i="8"/>
  <c r="AB49" i="8"/>
  <c r="P173" i="8"/>
  <c r="M173" i="8"/>
  <c r="G173" i="8"/>
  <c r="F173" i="8"/>
  <c r="I173" i="8"/>
  <c r="AE173" i="8"/>
  <c r="D173" i="8"/>
  <c r="R173" i="8"/>
  <c r="N173" i="8"/>
  <c r="L173" i="8"/>
  <c r="E173" i="8"/>
  <c r="K173" i="8"/>
  <c r="J173" i="8"/>
  <c r="H173" i="8"/>
  <c r="O173" i="8"/>
  <c r="Q173" i="8"/>
  <c r="N163" i="8"/>
  <c r="P163" i="8"/>
  <c r="I163" i="8"/>
  <c r="Q163" i="8"/>
  <c r="H163" i="8"/>
  <c r="L163" i="8"/>
  <c r="R163" i="8"/>
  <c r="E163" i="8"/>
  <c r="G163" i="8"/>
  <c r="F163" i="8"/>
  <c r="K163" i="8"/>
  <c r="O163" i="8"/>
  <c r="AE163" i="8"/>
  <c r="J163" i="8"/>
  <c r="D163" i="8"/>
  <c r="M163" i="8"/>
  <c r="Q191" i="8"/>
  <c r="AE191" i="8"/>
  <c r="S191" i="8"/>
  <c r="F191" i="8"/>
  <c r="M191" i="8"/>
  <c r="I191" i="8"/>
  <c r="J191" i="8"/>
  <c r="N191" i="8"/>
  <c r="E191" i="8"/>
  <c r="L191" i="8"/>
  <c r="P191" i="8"/>
  <c r="K191" i="8"/>
  <c r="G191" i="8"/>
  <c r="D191" i="8"/>
  <c r="R191" i="8"/>
  <c r="Z191" i="8" s="1"/>
  <c r="H191" i="8"/>
  <c r="O191" i="8"/>
  <c r="P239" i="8"/>
  <c r="I239" i="8"/>
  <c r="AE239" i="8"/>
  <c r="G239" i="8"/>
  <c r="D239" i="8"/>
  <c r="J239" i="8"/>
  <c r="M239" i="8"/>
  <c r="H239" i="8"/>
  <c r="O239" i="8"/>
  <c r="Q239" i="8"/>
  <c r="N239" i="8"/>
  <c r="R239" i="8"/>
  <c r="F239" i="8"/>
  <c r="L239" i="8"/>
  <c r="K239" i="8"/>
  <c r="E239" i="8"/>
  <c r="F229" i="8"/>
  <c r="D229" i="8"/>
  <c r="R229" i="8"/>
  <c r="Z229" i="8" s="1"/>
  <c r="N229" i="8"/>
  <c r="AE229" i="8"/>
  <c r="I229" i="8"/>
  <c r="E229" i="8"/>
  <c r="J229" i="8"/>
  <c r="L229" i="8"/>
  <c r="H229" i="8"/>
  <c r="Q229" i="8"/>
  <c r="G229" i="8"/>
  <c r="M229" i="8"/>
  <c r="K229" i="8"/>
  <c r="O229" i="8"/>
  <c r="P229" i="8"/>
  <c r="AB102" i="8"/>
  <c r="G141" i="8"/>
  <c r="M141" i="8"/>
  <c r="Q141" i="8"/>
  <c r="L141" i="8"/>
  <c r="K141" i="8"/>
  <c r="P141" i="8"/>
  <c r="R141" i="8"/>
  <c r="Z141" i="8" s="1"/>
  <c r="E141" i="8"/>
  <c r="O141" i="8"/>
  <c r="D141" i="8"/>
  <c r="F141" i="8"/>
  <c r="J141" i="8"/>
  <c r="H141" i="8"/>
  <c r="N141" i="8"/>
  <c r="AE141" i="8"/>
  <c r="I141" i="8"/>
  <c r="I109" i="8"/>
  <c r="J109" i="8"/>
  <c r="F109" i="8"/>
  <c r="L109" i="8"/>
  <c r="Q109" i="8"/>
  <c r="N109" i="8"/>
  <c r="O109" i="8"/>
  <c r="P109" i="8"/>
  <c r="K109" i="8"/>
  <c r="M109" i="8"/>
  <c r="G109" i="8"/>
  <c r="H109" i="8"/>
  <c r="E109" i="8"/>
  <c r="D109" i="8"/>
  <c r="AE109" i="8"/>
  <c r="R109" i="8"/>
  <c r="O44" i="8"/>
  <c r="J44" i="8"/>
  <c r="P44" i="8"/>
  <c r="F44" i="8"/>
  <c r="K44" i="8"/>
  <c r="S44" i="8"/>
  <c r="N44" i="8"/>
  <c r="D44" i="8"/>
  <c r="M44" i="8"/>
  <c r="I44" i="8"/>
  <c r="AE44" i="8"/>
  <c r="G44" i="8"/>
  <c r="R44" i="8"/>
  <c r="Z44" i="8" s="1"/>
  <c r="Q44" i="8"/>
  <c r="L44" i="8"/>
  <c r="E44" i="8"/>
  <c r="H44" i="8"/>
  <c r="AB91" i="8"/>
  <c r="C32" i="12"/>
  <c r="F114" i="2"/>
  <c r="R88" i="2" s="1"/>
  <c r="B114" i="2"/>
  <c r="S90" i="2"/>
  <c r="S87" i="2"/>
  <c r="O93" i="2"/>
  <c r="P93" i="2"/>
  <c r="N94" i="2"/>
  <c r="T90" i="2"/>
  <c r="X92" i="2"/>
  <c r="S92" i="2" s="1"/>
  <c r="Z92" i="2"/>
  <c r="W92" i="2"/>
  <c r="V92" i="2"/>
  <c r="Y92" i="2"/>
  <c r="T92" i="2" s="1"/>
  <c r="B32" i="12"/>
  <c r="Z163" i="8" l="1"/>
  <c r="G281" i="8"/>
  <c r="AE187" i="8"/>
  <c r="K49" i="8"/>
  <c r="R209" i="8"/>
  <c r="Z209" i="8" s="1"/>
  <c r="I272" i="8"/>
  <c r="Q132" i="8"/>
  <c r="H246" i="8"/>
  <c r="Q107" i="8"/>
  <c r="E43" i="8"/>
  <c r="E160" i="8"/>
  <c r="G155" i="8"/>
  <c r="O293" i="8"/>
  <c r="J267" i="8"/>
  <c r="D107" i="8"/>
  <c r="D214" i="8"/>
  <c r="I309" i="8"/>
  <c r="F107" i="8"/>
  <c r="H284" i="8"/>
  <c r="S146" i="8"/>
  <c r="G22" i="8"/>
  <c r="I257" i="8"/>
  <c r="I266" i="8"/>
  <c r="L82" i="8"/>
  <c r="F94" i="8"/>
  <c r="P291" i="8"/>
  <c r="O275" i="8"/>
  <c r="G215" i="8"/>
  <c r="K103" i="8"/>
  <c r="P225" i="8"/>
  <c r="I103" i="8"/>
  <c r="E266" i="8"/>
  <c r="M215" i="8"/>
  <c r="P215" i="8"/>
  <c r="H96" i="8"/>
  <c r="J215" i="8"/>
  <c r="Q103" i="8"/>
  <c r="Q266" i="8"/>
  <c r="I233" i="8"/>
  <c r="I260" i="8"/>
  <c r="E103" i="8"/>
  <c r="P266" i="8"/>
  <c r="K225" i="8"/>
  <c r="S94" i="8"/>
  <c r="S206" i="8"/>
  <c r="N134" i="8"/>
  <c r="F225" i="8"/>
  <c r="R225" i="8"/>
  <c r="Z225" i="8" s="1"/>
  <c r="AE117" i="8"/>
  <c r="S259" i="8"/>
  <c r="Z216" i="8"/>
  <c r="N34" i="8"/>
  <c r="G209" i="8"/>
  <c r="R224" i="8"/>
  <c r="Z224" i="8" s="1"/>
  <c r="L37" i="8"/>
  <c r="O132" i="8"/>
  <c r="P187" i="8"/>
  <c r="G274" i="8"/>
  <c r="E209" i="8"/>
  <c r="I246" i="8"/>
  <c r="N224" i="8"/>
  <c r="H37" i="8"/>
  <c r="O209" i="8"/>
  <c r="O246" i="8"/>
  <c r="E224" i="8"/>
  <c r="M272" i="8"/>
  <c r="E89" i="8"/>
  <c r="N228" i="8"/>
  <c r="M214" i="8"/>
  <c r="H219" i="8"/>
  <c r="J125" i="8"/>
  <c r="F252" i="8"/>
  <c r="AE255" i="8"/>
  <c r="S104" i="8"/>
  <c r="D309" i="8"/>
  <c r="O179" i="8"/>
  <c r="G309" i="8"/>
  <c r="P179" i="8"/>
  <c r="O107" i="8"/>
  <c r="H107" i="8"/>
  <c r="R107" i="8"/>
  <c r="Z107" i="8" s="1"/>
  <c r="AE107" i="8"/>
  <c r="S107" i="8"/>
  <c r="F125" i="8"/>
  <c r="Q160" i="8"/>
  <c r="G293" i="8"/>
  <c r="M267" i="8"/>
  <c r="K107" i="8"/>
  <c r="J107" i="8"/>
  <c r="E107" i="8"/>
  <c r="P107" i="8"/>
  <c r="AE155" i="8"/>
  <c r="H144" i="8"/>
  <c r="AE160" i="8"/>
  <c r="K214" i="8"/>
  <c r="M293" i="8"/>
  <c r="S219" i="8"/>
  <c r="AE267" i="8"/>
  <c r="N304" i="8"/>
  <c r="R160" i="8"/>
  <c r="Z160" i="8" s="1"/>
  <c r="E214" i="8"/>
  <c r="D293" i="8"/>
  <c r="N219" i="8"/>
  <c r="Q219" i="8"/>
  <c r="N267" i="8"/>
  <c r="AE309" i="8"/>
  <c r="D179" i="8"/>
  <c r="N107" i="8"/>
  <c r="M107" i="8"/>
  <c r="L107" i="8"/>
  <c r="M125" i="8"/>
  <c r="J155" i="8"/>
  <c r="E284" i="8"/>
  <c r="S159" i="8"/>
  <c r="L31" i="8"/>
  <c r="R257" i="8"/>
  <c r="Z257" i="8" s="1"/>
  <c r="D103" i="8"/>
  <c r="O103" i="8"/>
  <c r="AE103" i="8"/>
  <c r="H103" i="8"/>
  <c r="O266" i="8"/>
  <c r="H266" i="8"/>
  <c r="AE266" i="8"/>
  <c r="N266" i="8"/>
  <c r="D206" i="8"/>
  <c r="R82" i="8"/>
  <c r="Z82" i="8" s="1"/>
  <c r="R94" i="8"/>
  <c r="Z94" i="8" s="1"/>
  <c r="K134" i="8"/>
  <c r="AE225" i="8"/>
  <c r="E225" i="8"/>
  <c r="H225" i="8"/>
  <c r="AE215" i="8"/>
  <c r="R215" i="8"/>
  <c r="Z215" i="8" s="1"/>
  <c r="Q215" i="8"/>
  <c r="H215" i="8"/>
  <c r="M158" i="8"/>
  <c r="L103" i="8"/>
  <c r="R103" i="8"/>
  <c r="Z103" i="8" s="1"/>
  <c r="N103" i="8"/>
  <c r="J103" i="8"/>
  <c r="R266" i="8"/>
  <c r="Z266" i="8" s="1"/>
  <c r="J266" i="8"/>
  <c r="F266" i="8"/>
  <c r="K266" i="8"/>
  <c r="J206" i="8"/>
  <c r="H82" i="8"/>
  <c r="H94" i="8"/>
  <c r="J134" i="8"/>
  <c r="S103" i="8"/>
  <c r="Q225" i="8"/>
  <c r="N225" i="8"/>
  <c r="G225" i="8"/>
  <c r="F148" i="8"/>
  <c r="P156" i="8"/>
  <c r="G311" i="8"/>
  <c r="L48" i="8"/>
  <c r="L215" i="8"/>
  <c r="F215" i="8"/>
  <c r="D215" i="8"/>
  <c r="E215" i="8"/>
  <c r="Q243" i="8"/>
  <c r="O257" i="8"/>
  <c r="K295" i="8"/>
  <c r="Q113" i="8"/>
  <c r="G305" i="8"/>
  <c r="I215" i="8"/>
  <c r="N215" i="8"/>
  <c r="O215" i="8"/>
  <c r="AE257" i="8"/>
  <c r="P103" i="8"/>
  <c r="M103" i="8"/>
  <c r="G103" i="8"/>
  <c r="D266" i="8"/>
  <c r="M266" i="8"/>
  <c r="L266" i="8"/>
  <c r="I206" i="8"/>
  <c r="F82" i="8"/>
  <c r="J242" i="8"/>
  <c r="N94" i="8"/>
  <c r="AE134" i="8"/>
  <c r="M225" i="8"/>
  <c r="O225" i="8"/>
  <c r="J225" i="8"/>
  <c r="L225" i="8"/>
  <c r="S266" i="8"/>
  <c r="Z272" i="8"/>
  <c r="E42" i="8"/>
  <c r="E45" i="8"/>
  <c r="M185" i="8"/>
  <c r="N297" i="8"/>
  <c r="Q259" i="8"/>
  <c r="H228" i="8"/>
  <c r="D110" i="8"/>
  <c r="P28" i="8"/>
  <c r="M228" i="8"/>
  <c r="P228" i="8"/>
  <c r="Q167" i="8"/>
  <c r="AE272" i="8"/>
  <c r="K38" i="8"/>
  <c r="AE213" i="8"/>
  <c r="Z23" i="8"/>
  <c r="O272" i="8"/>
  <c r="Q241" i="8"/>
  <c r="G87" i="8"/>
  <c r="O16" i="8"/>
  <c r="Z296" i="8"/>
  <c r="AE67" i="8"/>
  <c r="L272" i="8"/>
  <c r="F138" i="8"/>
  <c r="P256" i="8"/>
  <c r="P220" i="8"/>
  <c r="R106" i="8"/>
  <c r="Z106" i="8" s="1"/>
  <c r="Q228" i="8"/>
  <c r="K197" i="8"/>
  <c r="Z173" i="8"/>
  <c r="J146" i="8"/>
  <c r="F151" i="8"/>
  <c r="H22" i="8"/>
  <c r="H240" i="8"/>
  <c r="Q175" i="8"/>
  <c r="H218" i="8"/>
  <c r="AE210" i="8"/>
  <c r="D62" i="8"/>
  <c r="D128" i="8"/>
  <c r="D85" i="8"/>
  <c r="L22" i="8"/>
  <c r="G213" i="8"/>
  <c r="L167" i="8"/>
  <c r="N272" i="8"/>
  <c r="R38" i="8"/>
  <c r="Z38" i="8" s="1"/>
  <c r="O38" i="8"/>
  <c r="O241" i="8"/>
  <c r="L274" i="8"/>
  <c r="I79" i="8"/>
  <c r="Q281" i="8"/>
  <c r="G80" i="8"/>
  <c r="Z248" i="8"/>
  <c r="AE259" i="8"/>
  <c r="E228" i="8"/>
  <c r="R228" i="8"/>
  <c r="Z228" i="8" s="1"/>
  <c r="O228" i="8"/>
  <c r="D228" i="8"/>
  <c r="E34" i="8"/>
  <c r="AE197" i="8"/>
  <c r="H16" i="8"/>
  <c r="Z50" i="8"/>
  <c r="AE28" i="8"/>
  <c r="P233" i="8"/>
  <c r="K42" i="8"/>
  <c r="L110" i="8"/>
  <c r="L67" i="8"/>
  <c r="AE176" i="8"/>
  <c r="P138" i="8"/>
  <c r="O260" i="8"/>
  <c r="E38" i="8"/>
  <c r="J232" i="8"/>
  <c r="J281" i="8"/>
  <c r="N185" i="8"/>
  <c r="K259" i="8"/>
  <c r="D259" i="8"/>
  <c r="AE228" i="8"/>
  <c r="S228" i="8"/>
  <c r="K228" i="8"/>
  <c r="L228" i="8"/>
  <c r="R34" i="8"/>
  <c r="Z34" i="8" s="1"/>
  <c r="F34" i="8"/>
  <c r="L197" i="8"/>
  <c r="R42" i="8"/>
  <c r="Z42" i="8" s="1"/>
  <c r="Q110" i="8"/>
  <c r="I67" i="8"/>
  <c r="K272" i="8"/>
  <c r="J272" i="8"/>
  <c r="P272" i="8"/>
  <c r="D176" i="8"/>
  <c r="Q213" i="8"/>
  <c r="K167" i="8"/>
  <c r="S167" i="8"/>
  <c r="Q272" i="8"/>
  <c r="D272" i="8"/>
  <c r="E272" i="8"/>
  <c r="F272" i="8"/>
  <c r="D241" i="8"/>
  <c r="Q256" i="8"/>
  <c r="L45" i="8"/>
  <c r="O220" i="8"/>
  <c r="F274" i="8"/>
  <c r="Q79" i="8"/>
  <c r="H87" i="8"/>
  <c r="S42" i="8"/>
  <c r="AE110" i="8"/>
  <c r="M213" i="8"/>
  <c r="N67" i="8"/>
  <c r="E167" i="8"/>
  <c r="S272" i="8"/>
  <c r="H272" i="8"/>
  <c r="G272" i="8"/>
  <c r="Q138" i="8"/>
  <c r="K241" i="8"/>
  <c r="E220" i="8"/>
  <c r="M274" i="8"/>
  <c r="O232" i="8"/>
  <c r="O106" i="8"/>
  <c r="E185" i="8"/>
  <c r="Z227" i="8"/>
  <c r="I259" i="8"/>
  <c r="I228" i="8"/>
  <c r="G228" i="8"/>
  <c r="F228" i="8"/>
  <c r="M34" i="8"/>
  <c r="Z208" i="8"/>
  <c r="N310" i="8"/>
  <c r="J310" i="8"/>
  <c r="E310" i="8"/>
  <c r="AE310" i="8"/>
  <c r="M310" i="8"/>
  <c r="D310" i="8"/>
  <c r="O310" i="8"/>
  <c r="L310" i="8"/>
  <c r="G310" i="8"/>
  <c r="P310" i="8"/>
  <c r="S310" i="8"/>
  <c r="K310" i="8"/>
  <c r="H310" i="8"/>
  <c r="E92" i="8"/>
  <c r="J92" i="8"/>
  <c r="P92" i="8"/>
  <c r="Q92" i="8"/>
  <c r="D92" i="8"/>
  <c r="F92" i="8"/>
  <c r="L92" i="8"/>
  <c r="O92" i="8"/>
  <c r="G92" i="8"/>
  <c r="R92" i="8"/>
  <c r="Z92" i="8" s="1"/>
  <c r="N92" i="8"/>
  <c r="H92" i="8"/>
  <c r="AE92" i="8"/>
  <c r="I92" i="8"/>
  <c r="K37" i="8"/>
  <c r="Q37" i="8"/>
  <c r="G37" i="8"/>
  <c r="N37" i="8"/>
  <c r="L131" i="8"/>
  <c r="Q131" i="8"/>
  <c r="O131" i="8"/>
  <c r="K131" i="8"/>
  <c r="D131" i="8"/>
  <c r="R131" i="8"/>
  <c r="Z131" i="8" s="1"/>
  <c r="N131" i="8"/>
  <c r="H131" i="8"/>
  <c r="I131" i="8"/>
  <c r="AE131" i="8"/>
  <c r="E131" i="8"/>
  <c r="P131" i="8"/>
  <c r="M131" i="8"/>
  <c r="F131" i="8"/>
  <c r="R154" i="8"/>
  <c r="Z154" i="8" s="1"/>
  <c r="D154" i="8"/>
  <c r="Q154" i="8"/>
  <c r="F154" i="8"/>
  <c r="P154" i="8"/>
  <c r="L154" i="8"/>
  <c r="O154" i="8"/>
  <c r="G154" i="8"/>
  <c r="J154" i="8"/>
  <c r="AE154" i="8"/>
  <c r="H154" i="8"/>
  <c r="M154" i="8"/>
  <c r="N154" i="8"/>
  <c r="K154" i="8"/>
  <c r="I154" i="8"/>
  <c r="H252" i="8"/>
  <c r="R252" i="8"/>
  <c r="Z252" i="8" s="1"/>
  <c r="N252" i="8"/>
  <c r="K252" i="8"/>
  <c r="Q252" i="8"/>
  <c r="M252" i="8"/>
  <c r="AE252" i="8"/>
  <c r="E252" i="8"/>
  <c r="O252" i="8"/>
  <c r="D252" i="8"/>
  <c r="O300" i="8"/>
  <c r="R300" i="8"/>
  <c r="Z300" i="8" s="1"/>
  <c r="F300" i="8"/>
  <c r="P300" i="8"/>
  <c r="S300" i="8"/>
  <c r="H300" i="8"/>
  <c r="G300" i="8"/>
  <c r="L300" i="8"/>
  <c r="D300" i="8"/>
  <c r="J300" i="8"/>
  <c r="E300" i="8"/>
  <c r="Q300" i="8"/>
  <c r="N300" i="8"/>
  <c r="AE300" i="8"/>
  <c r="K300" i="8"/>
  <c r="AE157" i="8"/>
  <c r="H157" i="8"/>
  <c r="G157" i="8"/>
  <c r="E157" i="8"/>
  <c r="M157" i="8"/>
  <c r="J157" i="8"/>
  <c r="I157" i="8"/>
  <c r="N157" i="8"/>
  <c r="L157" i="8"/>
  <c r="D157" i="8"/>
  <c r="F157" i="8"/>
  <c r="R157" i="8"/>
  <c r="Z157" i="8" s="1"/>
  <c r="Q157" i="8"/>
  <c r="P172" i="8"/>
  <c r="D172" i="8"/>
  <c r="F172" i="8"/>
  <c r="K172" i="8"/>
  <c r="N172" i="8"/>
  <c r="AE172" i="8"/>
  <c r="I172" i="8"/>
  <c r="E172" i="8"/>
  <c r="M172" i="8"/>
  <c r="G172" i="8"/>
  <c r="L172" i="8"/>
  <c r="J172" i="8"/>
  <c r="O172" i="8"/>
  <c r="H172" i="8"/>
  <c r="Q172" i="8"/>
  <c r="H181" i="8"/>
  <c r="I181" i="8"/>
  <c r="E181" i="8"/>
  <c r="F181" i="8"/>
  <c r="R181" i="8"/>
  <c r="Z181" i="8" s="1"/>
  <c r="S181" i="8"/>
  <c r="L181" i="8"/>
  <c r="J181" i="8"/>
  <c r="G181" i="8"/>
  <c r="M181" i="8"/>
  <c r="N181" i="8"/>
  <c r="P181" i="8"/>
  <c r="O181" i="8"/>
  <c r="E178" i="8"/>
  <c r="N178" i="8"/>
  <c r="J178" i="8"/>
  <c r="L178" i="8"/>
  <c r="Q178" i="8"/>
  <c r="AE178" i="8"/>
  <c r="S178" i="8"/>
  <c r="G178" i="8"/>
  <c r="F178" i="8"/>
  <c r="R178" i="8"/>
  <c r="Z178" i="8" s="1"/>
  <c r="K178" i="8"/>
  <c r="M178" i="8"/>
  <c r="D178" i="8"/>
  <c r="I178" i="8"/>
  <c r="P178" i="8"/>
  <c r="H178" i="8"/>
  <c r="F144" i="8"/>
  <c r="J144" i="8"/>
  <c r="E144" i="8"/>
  <c r="N144" i="8"/>
  <c r="O144" i="8"/>
  <c r="L144" i="8"/>
  <c r="M144" i="8"/>
  <c r="Q144" i="8"/>
  <c r="AE144" i="8"/>
  <c r="S209" i="8"/>
  <c r="AE209" i="8"/>
  <c r="O160" i="8"/>
  <c r="P160" i="8"/>
  <c r="J160" i="8"/>
  <c r="M160" i="8"/>
  <c r="N214" i="8"/>
  <c r="O214" i="8"/>
  <c r="P214" i="8"/>
  <c r="I214" i="8"/>
  <c r="N293" i="8"/>
  <c r="Q293" i="8"/>
  <c r="H293" i="8"/>
  <c r="I293" i="8"/>
  <c r="P219" i="8"/>
  <c r="L219" i="8"/>
  <c r="I219" i="8"/>
  <c r="AE219" i="8"/>
  <c r="R267" i="8"/>
  <c r="Z267" i="8" s="1"/>
  <c r="I267" i="8"/>
  <c r="P267" i="8"/>
  <c r="L267" i="8"/>
  <c r="Z192" i="8"/>
  <c r="R309" i="8"/>
  <c r="Z309" i="8" s="1"/>
  <c r="L309" i="8"/>
  <c r="O309" i="8"/>
  <c r="H309" i="8"/>
  <c r="J179" i="8"/>
  <c r="E179" i="8"/>
  <c r="H179" i="8"/>
  <c r="I179" i="8"/>
  <c r="Z261" i="8"/>
  <c r="M246" i="8"/>
  <c r="L246" i="8"/>
  <c r="H125" i="8"/>
  <c r="D125" i="8"/>
  <c r="Q125" i="8"/>
  <c r="M224" i="8"/>
  <c r="I224" i="8"/>
  <c r="G224" i="8"/>
  <c r="K155" i="8"/>
  <c r="Q155" i="8"/>
  <c r="P155" i="8"/>
  <c r="D37" i="8"/>
  <c r="P37" i="8"/>
  <c r="E37" i="8"/>
  <c r="F132" i="8"/>
  <c r="D132" i="8"/>
  <c r="K284" i="8"/>
  <c r="S284" i="8"/>
  <c r="S187" i="8"/>
  <c r="S144" i="8"/>
  <c r="D144" i="8"/>
  <c r="L252" i="8"/>
  <c r="D181" i="8"/>
  <c r="O157" i="8"/>
  <c r="F310" i="8"/>
  <c r="G131" i="8"/>
  <c r="E36" i="8"/>
  <c r="S157" i="8"/>
  <c r="D208" i="8"/>
  <c r="G299" i="8"/>
  <c r="R172" i="8"/>
  <c r="Z172" i="8" s="1"/>
  <c r="P117" i="8"/>
  <c r="D117" i="8"/>
  <c r="M117" i="8"/>
  <c r="J117" i="8"/>
  <c r="Q117" i="8"/>
  <c r="F117" i="8"/>
  <c r="E117" i="8"/>
  <c r="H117" i="8"/>
  <c r="O117" i="8"/>
  <c r="L117" i="8"/>
  <c r="I117" i="8"/>
  <c r="N117" i="8"/>
  <c r="K117" i="8"/>
  <c r="S49" i="8"/>
  <c r="R49" i="8"/>
  <c r="Z49" i="8" s="1"/>
  <c r="AE49" i="8"/>
  <c r="H49" i="8"/>
  <c r="P49" i="8"/>
  <c r="I49" i="8"/>
  <c r="E49" i="8"/>
  <c r="J49" i="8"/>
  <c r="M49" i="8"/>
  <c r="F49" i="8"/>
  <c r="Q49" i="8"/>
  <c r="L49" i="8"/>
  <c r="G49" i="8"/>
  <c r="O49" i="8"/>
  <c r="O15" i="8"/>
  <c r="G15" i="8"/>
  <c r="I15" i="8"/>
  <c r="S246" i="8"/>
  <c r="E246" i="8"/>
  <c r="P246" i="8"/>
  <c r="K246" i="8"/>
  <c r="Q246" i="8"/>
  <c r="G132" i="8"/>
  <c r="E132" i="8"/>
  <c r="R132" i="8"/>
  <c r="Z132" i="8" s="1"/>
  <c r="AE132" i="8"/>
  <c r="J132" i="8"/>
  <c r="H187" i="8"/>
  <c r="G187" i="8"/>
  <c r="K187" i="8"/>
  <c r="O187" i="8"/>
  <c r="D187" i="8"/>
  <c r="I187" i="8"/>
  <c r="F187" i="8"/>
  <c r="Q187" i="8"/>
  <c r="O104" i="8"/>
  <c r="I104" i="8"/>
  <c r="J104" i="8"/>
  <c r="E104" i="8"/>
  <c r="L104" i="8"/>
  <c r="K104" i="8"/>
  <c r="D104" i="8"/>
  <c r="Q104" i="8"/>
  <c r="AE104" i="8"/>
  <c r="H104" i="8"/>
  <c r="P104" i="8"/>
  <c r="Q119" i="8"/>
  <c r="O119" i="8"/>
  <c r="G119" i="8"/>
  <c r="E119" i="8"/>
  <c r="R119" i="8"/>
  <c r="Z119" i="8" s="1"/>
  <c r="F119" i="8"/>
  <c r="D119" i="8"/>
  <c r="AE119" i="8"/>
  <c r="P119" i="8"/>
  <c r="J119" i="8"/>
  <c r="M119" i="8"/>
  <c r="N119" i="8"/>
  <c r="I119" i="8"/>
  <c r="H119" i="8"/>
  <c r="L119" i="8"/>
  <c r="H40" i="8"/>
  <c r="P40" i="8"/>
  <c r="E40" i="8"/>
  <c r="G40" i="8"/>
  <c r="J40" i="8"/>
  <c r="D40" i="8"/>
  <c r="I40" i="8"/>
  <c r="S40" i="8"/>
  <c r="AE40" i="8"/>
  <c r="L40" i="8"/>
  <c r="R40" i="8"/>
  <c r="Z40" i="8" s="1"/>
  <c r="Q40" i="8"/>
  <c r="M40" i="8"/>
  <c r="K40" i="8"/>
  <c r="F40" i="8"/>
  <c r="O40" i="8"/>
  <c r="AE68" i="8"/>
  <c r="J68" i="8"/>
  <c r="P68" i="8"/>
  <c r="I68" i="8"/>
  <c r="R68" i="8"/>
  <c r="Z68" i="8" s="1"/>
  <c r="K68" i="8"/>
  <c r="Q68" i="8"/>
  <c r="O68" i="8"/>
  <c r="L68" i="8"/>
  <c r="N68" i="8"/>
  <c r="G68" i="8"/>
  <c r="E68" i="8"/>
  <c r="F68" i="8"/>
  <c r="S68" i="8"/>
  <c r="M68" i="8"/>
  <c r="H68" i="8"/>
  <c r="F43" i="8"/>
  <c r="K43" i="8"/>
  <c r="G43" i="8"/>
  <c r="L43" i="8"/>
  <c r="P43" i="8"/>
  <c r="Q43" i="8"/>
  <c r="I43" i="8"/>
  <c r="D43" i="8"/>
  <c r="R43" i="8"/>
  <c r="Z43" i="8" s="1"/>
  <c r="O43" i="8"/>
  <c r="H43" i="8"/>
  <c r="AE43" i="8"/>
  <c r="M43" i="8"/>
  <c r="D140" i="8"/>
  <c r="O140" i="8"/>
  <c r="F140" i="8"/>
  <c r="M140" i="8"/>
  <c r="E140" i="8"/>
  <c r="I140" i="8"/>
  <c r="Q140" i="8"/>
  <c r="J140" i="8"/>
  <c r="R140" i="8"/>
  <c r="Z140" i="8" s="1"/>
  <c r="L140" i="8"/>
  <c r="AE140" i="8"/>
  <c r="N140" i="8"/>
  <c r="P140" i="8"/>
  <c r="F189" i="8"/>
  <c r="H189" i="8"/>
  <c r="P189" i="8"/>
  <c r="Q189" i="8"/>
  <c r="L189" i="8"/>
  <c r="N189" i="8"/>
  <c r="G189" i="8"/>
  <c r="I189" i="8"/>
  <c r="R189" i="8"/>
  <c r="Z189" i="8" s="1"/>
  <c r="O189" i="8"/>
  <c r="M189" i="8"/>
  <c r="D189" i="8"/>
  <c r="J189" i="8"/>
  <c r="E189" i="8"/>
  <c r="AE189" i="8"/>
  <c r="H209" i="8"/>
  <c r="N209" i="8"/>
  <c r="G160" i="8"/>
  <c r="E293" i="8"/>
  <c r="AE293" i="8"/>
  <c r="K293" i="8"/>
  <c r="F293" i="8"/>
  <c r="O267" i="8"/>
  <c r="E267" i="8"/>
  <c r="H267" i="8"/>
  <c r="Q267" i="8"/>
  <c r="F309" i="8"/>
  <c r="J309" i="8"/>
  <c r="N309" i="8"/>
  <c r="M309" i="8"/>
  <c r="S179" i="8"/>
  <c r="K179" i="8"/>
  <c r="N179" i="8"/>
  <c r="R179" i="8"/>
  <c r="Z179" i="8" s="1"/>
  <c r="L179" i="8"/>
  <c r="G246" i="8"/>
  <c r="R246" i="8"/>
  <c r="Z246" i="8" s="1"/>
  <c r="F246" i="8"/>
  <c r="N125" i="8"/>
  <c r="G125" i="8"/>
  <c r="K224" i="8"/>
  <c r="H224" i="8"/>
  <c r="M155" i="8"/>
  <c r="D155" i="8"/>
  <c r="I37" i="8"/>
  <c r="R37" i="8"/>
  <c r="Z37" i="8" s="1"/>
  <c r="J37" i="8"/>
  <c r="I132" i="8"/>
  <c r="M132" i="8"/>
  <c r="H132" i="8"/>
  <c r="F284" i="8"/>
  <c r="J284" i="8"/>
  <c r="R187" i="8"/>
  <c r="Z187" i="8" s="1"/>
  <c r="M187" i="8"/>
  <c r="L187" i="8"/>
  <c r="R144" i="8"/>
  <c r="Z144" i="8" s="1"/>
  <c r="P144" i="8"/>
  <c r="P252" i="8"/>
  <c r="AE181" i="8"/>
  <c r="Z298" i="8"/>
  <c r="S117" i="8"/>
  <c r="K157" i="8"/>
  <c r="I310" i="8"/>
  <c r="K140" i="8"/>
  <c r="M92" i="8"/>
  <c r="J131" i="8"/>
  <c r="I300" i="8"/>
  <c r="N40" i="8"/>
  <c r="O178" i="8"/>
  <c r="D36" i="8"/>
  <c r="N36" i="8"/>
  <c r="Q36" i="8"/>
  <c r="AE36" i="8"/>
  <c r="O36" i="8"/>
  <c r="K36" i="8"/>
  <c r="P36" i="8"/>
  <c r="J36" i="8"/>
  <c r="M36" i="8"/>
  <c r="I36" i="8"/>
  <c r="H36" i="8"/>
  <c r="R36" i="8"/>
  <c r="Z36" i="8" s="1"/>
  <c r="L36" i="8"/>
  <c r="S36" i="8"/>
  <c r="G36" i="8"/>
  <c r="S55" i="8"/>
  <c r="H55" i="8"/>
  <c r="E55" i="8"/>
  <c r="N55" i="8"/>
  <c r="F55" i="8"/>
  <c r="G55" i="8"/>
  <c r="D55" i="8"/>
  <c r="L55" i="8"/>
  <c r="O55" i="8"/>
  <c r="P55" i="8"/>
  <c r="K55" i="8"/>
  <c r="I55" i="8"/>
  <c r="AE55" i="8"/>
  <c r="R55" i="8"/>
  <c r="Z55" i="8" s="1"/>
  <c r="J55" i="8"/>
  <c r="O208" i="8"/>
  <c r="F208" i="8"/>
  <c r="M208" i="8"/>
  <c r="N208" i="8"/>
  <c r="L208" i="8"/>
  <c r="H208" i="8"/>
  <c r="E208" i="8"/>
  <c r="AE208" i="8"/>
  <c r="G208" i="8"/>
  <c r="P208" i="8"/>
  <c r="I208" i="8"/>
  <c r="K208" i="8"/>
  <c r="J208" i="8"/>
  <c r="Q208" i="8"/>
  <c r="S208" i="8"/>
  <c r="AE224" i="8"/>
  <c r="D224" i="8"/>
  <c r="F224" i="8"/>
  <c r="O224" i="8"/>
  <c r="F292" i="8"/>
  <c r="L292" i="8"/>
  <c r="H292" i="8"/>
  <c r="P292" i="8"/>
  <c r="I292" i="8"/>
  <c r="K292" i="8"/>
  <c r="O292" i="8"/>
  <c r="M292" i="8"/>
  <c r="J292" i="8"/>
  <c r="N292" i="8"/>
  <c r="Q292" i="8"/>
  <c r="E292" i="8"/>
  <c r="D292" i="8"/>
  <c r="G292" i="8"/>
  <c r="N128" i="8"/>
  <c r="K128" i="8"/>
  <c r="E128" i="8"/>
  <c r="AE128" i="8"/>
  <c r="I128" i="8"/>
  <c r="M128" i="8"/>
  <c r="L128" i="8"/>
  <c r="F128" i="8"/>
  <c r="Q128" i="8"/>
  <c r="J128" i="8"/>
  <c r="O128" i="8"/>
  <c r="H128" i="8"/>
  <c r="P128" i="8"/>
  <c r="N89" i="8"/>
  <c r="Q89" i="8"/>
  <c r="F89" i="8"/>
  <c r="R89" i="8"/>
  <c r="Z89" i="8" s="1"/>
  <c r="D89" i="8"/>
  <c r="J89" i="8"/>
  <c r="H89" i="8"/>
  <c r="P89" i="8"/>
  <c r="O89" i="8"/>
  <c r="G89" i="8"/>
  <c r="S89" i="8"/>
  <c r="M89" i="8"/>
  <c r="L89" i="8"/>
  <c r="I89" i="8"/>
  <c r="H222" i="8"/>
  <c r="L222" i="8"/>
  <c r="G222" i="8"/>
  <c r="E222" i="8"/>
  <c r="M222" i="8"/>
  <c r="D222" i="8"/>
  <c r="S222" i="8"/>
  <c r="AE222" i="8"/>
  <c r="F222" i="8"/>
  <c r="Q222" i="8"/>
  <c r="R222" i="8"/>
  <c r="Z222" i="8" s="1"/>
  <c r="N222" i="8"/>
  <c r="P222" i="8"/>
  <c r="K222" i="8"/>
  <c r="O222" i="8"/>
  <c r="I222" i="8"/>
  <c r="P125" i="8"/>
  <c r="K125" i="8"/>
  <c r="R125" i="8"/>
  <c r="Z125" i="8" s="1"/>
  <c r="AE125" i="8"/>
  <c r="H304" i="8"/>
  <c r="J304" i="8"/>
  <c r="AE304" i="8"/>
  <c r="M304" i="8"/>
  <c r="G304" i="8"/>
  <c r="Q304" i="8"/>
  <c r="S304" i="8"/>
  <c r="L304" i="8"/>
  <c r="O304" i="8"/>
  <c r="E304" i="8"/>
  <c r="P304" i="8"/>
  <c r="R304" i="8"/>
  <c r="Z304" i="8" s="1"/>
  <c r="K304" i="8"/>
  <c r="F304" i="8"/>
  <c r="D304" i="8"/>
  <c r="G53" i="8"/>
  <c r="D53" i="8"/>
  <c r="J53" i="8"/>
  <c r="R53" i="8"/>
  <c r="Z53" i="8" s="1"/>
  <c r="N53" i="8"/>
  <c r="F53" i="8"/>
  <c r="P53" i="8"/>
  <c r="I53" i="8"/>
  <c r="H53" i="8"/>
  <c r="M53" i="8"/>
  <c r="AE53" i="8"/>
  <c r="O53" i="8"/>
  <c r="S53" i="8"/>
  <c r="L53" i="8"/>
  <c r="K53" i="8"/>
  <c r="E53" i="8"/>
  <c r="I299" i="8"/>
  <c r="F299" i="8"/>
  <c r="D299" i="8"/>
  <c r="Q299" i="8"/>
  <c r="H299" i="8"/>
  <c r="J299" i="8"/>
  <c r="O299" i="8"/>
  <c r="P299" i="8"/>
  <c r="N299" i="8"/>
  <c r="AE299" i="8"/>
  <c r="K299" i="8"/>
  <c r="L299" i="8"/>
  <c r="M299" i="8"/>
  <c r="E299" i="8"/>
  <c r="E278" i="8"/>
  <c r="L278" i="8"/>
  <c r="AE278" i="8"/>
  <c r="I278" i="8"/>
  <c r="D278" i="8"/>
  <c r="O278" i="8"/>
  <c r="P278" i="8"/>
  <c r="G278" i="8"/>
  <c r="N278" i="8"/>
  <c r="Q278" i="8"/>
  <c r="H278" i="8"/>
  <c r="K278" i="8"/>
  <c r="R278" i="8"/>
  <c r="Z278" i="8" s="1"/>
  <c r="J278" i="8"/>
  <c r="J255" i="8"/>
  <c r="S255" i="8"/>
  <c r="F255" i="8"/>
  <c r="G255" i="8"/>
  <c r="H255" i="8"/>
  <c r="K255" i="8"/>
  <c r="Q255" i="8"/>
  <c r="E255" i="8"/>
  <c r="L255" i="8"/>
  <c r="N255" i="8"/>
  <c r="P255" i="8"/>
  <c r="O255" i="8"/>
  <c r="D255" i="8"/>
  <c r="M255" i="8"/>
  <c r="L198" i="8"/>
  <c r="M198" i="8"/>
  <c r="O198" i="8"/>
  <c r="H198" i="8"/>
  <c r="Q198" i="8"/>
  <c r="K198" i="8"/>
  <c r="I198" i="8"/>
  <c r="F198" i="8"/>
  <c r="N198" i="8"/>
  <c r="J198" i="8"/>
  <c r="P198" i="8"/>
  <c r="D198" i="8"/>
  <c r="E198" i="8"/>
  <c r="R198" i="8"/>
  <c r="AE198" i="8"/>
  <c r="O155" i="8"/>
  <c r="E155" i="8"/>
  <c r="L155" i="8"/>
  <c r="I155" i="8"/>
  <c r="R201" i="8"/>
  <c r="Z201" i="8" s="1"/>
  <c r="D201" i="8"/>
  <c r="E201" i="8"/>
  <c r="N201" i="8"/>
  <c r="Q201" i="8"/>
  <c r="J201" i="8"/>
  <c r="O201" i="8"/>
  <c r="M201" i="8"/>
  <c r="I201" i="8"/>
  <c r="P201" i="8"/>
  <c r="G201" i="8"/>
  <c r="AE201" i="8"/>
  <c r="F201" i="8"/>
  <c r="L201" i="8"/>
  <c r="K201" i="8"/>
  <c r="I262" i="8"/>
  <c r="E262" i="8"/>
  <c r="D262" i="8"/>
  <c r="M262" i="8"/>
  <c r="N262" i="8"/>
  <c r="O262" i="8"/>
  <c r="J262" i="8"/>
  <c r="G262" i="8"/>
  <c r="AE262" i="8"/>
  <c r="L262" i="8"/>
  <c r="H262" i="8"/>
  <c r="S262" i="8"/>
  <c r="K262" i="8"/>
  <c r="R262" i="8"/>
  <c r="Z262" i="8" s="1"/>
  <c r="F262" i="8"/>
  <c r="AE284" i="8"/>
  <c r="Q284" i="8"/>
  <c r="N284" i="8"/>
  <c r="I284" i="8"/>
  <c r="M284" i="8"/>
  <c r="L284" i="8"/>
  <c r="D284" i="8"/>
  <c r="O284" i="8"/>
  <c r="I209" i="8"/>
  <c r="L209" i="8"/>
  <c r="M209" i="8"/>
  <c r="F209" i="8"/>
  <c r="K209" i="8"/>
  <c r="H160" i="8"/>
  <c r="N160" i="8"/>
  <c r="L160" i="8"/>
  <c r="G214" i="8"/>
  <c r="F214" i="8"/>
  <c r="R214" i="8"/>
  <c r="Z214" i="8" s="1"/>
  <c r="L214" i="8"/>
  <c r="S214" i="8"/>
  <c r="K219" i="8"/>
  <c r="O219" i="8"/>
  <c r="J219" i="8"/>
  <c r="D219" i="8"/>
  <c r="J209" i="8"/>
  <c r="D209" i="8"/>
  <c r="P209" i="8"/>
  <c r="F160" i="8"/>
  <c r="D160" i="8"/>
  <c r="I160" i="8"/>
  <c r="H214" i="8"/>
  <c r="AE214" i="8"/>
  <c r="Q214" i="8"/>
  <c r="R293" i="8"/>
  <c r="Z293" i="8" s="1"/>
  <c r="P293" i="8"/>
  <c r="J293" i="8"/>
  <c r="R219" i="8"/>
  <c r="Z219" i="8" s="1"/>
  <c r="F219" i="8"/>
  <c r="E219" i="8"/>
  <c r="K267" i="8"/>
  <c r="D267" i="8"/>
  <c r="G267" i="8"/>
  <c r="K309" i="8"/>
  <c r="Q309" i="8"/>
  <c r="P309" i="8"/>
  <c r="F179" i="8"/>
  <c r="M179" i="8"/>
  <c r="AE179" i="8"/>
  <c r="N246" i="8"/>
  <c r="J246" i="8"/>
  <c r="AE246" i="8"/>
  <c r="I125" i="8"/>
  <c r="E125" i="8"/>
  <c r="L125" i="8"/>
  <c r="P224" i="8"/>
  <c r="Q224" i="8"/>
  <c r="L224" i="8"/>
  <c r="N155" i="8"/>
  <c r="F155" i="8"/>
  <c r="H155" i="8"/>
  <c r="F37" i="8"/>
  <c r="O37" i="8"/>
  <c r="M37" i="8"/>
  <c r="L132" i="8"/>
  <c r="K132" i="8"/>
  <c r="P132" i="8"/>
  <c r="R284" i="8"/>
  <c r="Z284" i="8" s="1"/>
  <c r="P284" i="8"/>
  <c r="N187" i="8"/>
  <c r="E187" i="8"/>
  <c r="I144" i="8"/>
  <c r="G144" i="8"/>
  <c r="I252" i="8"/>
  <c r="J252" i="8"/>
  <c r="Q181" i="8"/>
  <c r="N43" i="8"/>
  <c r="R117" i="8"/>
  <c r="Z117" i="8" s="1"/>
  <c r="N49" i="8"/>
  <c r="Q310" i="8"/>
  <c r="H140" i="8"/>
  <c r="G128" i="8"/>
  <c r="AE89" i="8"/>
  <c r="AE292" i="8"/>
  <c r="K92" i="8"/>
  <c r="M278" i="8"/>
  <c r="R255" i="8"/>
  <c r="Z255" i="8" s="1"/>
  <c r="Q55" i="8"/>
  <c r="M300" i="8"/>
  <c r="J222" i="8"/>
  <c r="G198" i="8"/>
  <c r="Q262" i="8"/>
  <c r="H201" i="8"/>
  <c r="R233" i="8"/>
  <c r="Z233" i="8" s="1"/>
  <c r="G233" i="8"/>
  <c r="D260" i="8"/>
  <c r="K260" i="8"/>
  <c r="G256" i="8"/>
  <c r="R256" i="8"/>
  <c r="Z256" i="8" s="1"/>
  <c r="D45" i="8"/>
  <c r="AE45" i="8"/>
  <c r="S79" i="8"/>
  <c r="G79" i="8"/>
  <c r="K98" i="8"/>
  <c r="J98" i="8"/>
  <c r="D64" i="8"/>
  <c r="R64" i="8"/>
  <c r="Z64" i="8" s="1"/>
  <c r="S64" i="8"/>
  <c r="F265" i="8"/>
  <c r="Q265" i="8"/>
  <c r="J265" i="8"/>
  <c r="O297" i="8"/>
  <c r="M297" i="8"/>
  <c r="M247" i="8"/>
  <c r="Q247" i="8"/>
  <c r="S28" i="8"/>
  <c r="F28" i="8"/>
  <c r="F130" i="8"/>
  <c r="J130" i="8"/>
  <c r="Q130" i="8"/>
  <c r="AE80" i="8"/>
  <c r="S80" i="8"/>
  <c r="Q80" i="8"/>
  <c r="I176" i="8"/>
  <c r="H176" i="8"/>
  <c r="E87" i="8"/>
  <c r="D87" i="8"/>
  <c r="Z286" i="8"/>
  <c r="M64" i="8"/>
  <c r="Z190" i="8"/>
  <c r="Z32" i="8"/>
  <c r="F205" i="8"/>
  <c r="J205" i="8"/>
  <c r="Z253" i="8"/>
  <c r="S201" i="8"/>
  <c r="G145" i="8"/>
  <c r="R145" i="8"/>
  <c r="Z145" i="8" s="1"/>
  <c r="N25" i="8"/>
  <c r="K25" i="8"/>
  <c r="O25" i="8"/>
  <c r="O259" i="8"/>
  <c r="G259" i="8"/>
  <c r="P259" i="8"/>
  <c r="J259" i="8"/>
  <c r="R259" i="8"/>
  <c r="Z259" i="8" s="1"/>
  <c r="F259" i="8"/>
  <c r="N259" i="8"/>
  <c r="M259" i="8"/>
  <c r="I197" i="8"/>
  <c r="F197" i="8"/>
  <c r="M197" i="8"/>
  <c r="O197" i="8"/>
  <c r="D197" i="8"/>
  <c r="R197" i="8"/>
  <c r="Z197" i="8" s="1"/>
  <c r="Q197" i="8"/>
  <c r="N197" i="8"/>
  <c r="D34" i="8"/>
  <c r="J34" i="8"/>
  <c r="O34" i="8"/>
  <c r="Q34" i="8"/>
  <c r="S34" i="8"/>
  <c r="L34" i="8"/>
  <c r="P34" i="8"/>
  <c r="H34" i="8"/>
  <c r="I34" i="8"/>
  <c r="Z126" i="8"/>
  <c r="J197" i="8"/>
  <c r="E197" i="8"/>
  <c r="K129" i="8"/>
  <c r="AE274" i="8"/>
  <c r="I232" i="8"/>
  <c r="Z147" i="8"/>
  <c r="L259" i="8"/>
  <c r="E259" i="8"/>
  <c r="O124" i="8"/>
  <c r="F145" i="8"/>
  <c r="G34" i="8"/>
  <c r="K34" i="8"/>
  <c r="H197" i="8"/>
  <c r="P197" i="8"/>
  <c r="R129" i="8"/>
  <c r="Z129" i="8" s="1"/>
  <c r="Z54" i="8"/>
  <c r="S172" i="8"/>
  <c r="S92" i="8"/>
  <c r="S197" i="8"/>
  <c r="S131" i="8"/>
  <c r="S87" i="8"/>
  <c r="S252" i="8"/>
  <c r="S278" i="8"/>
  <c r="S119" i="8"/>
  <c r="S189" i="8"/>
  <c r="S309" i="8"/>
  <c r="Z210" i="8"/>
  <c r="S225" i="8"/>
  <c r="S215" i="8"/>
  <c r="D81" i="8"/>
  <c r="Q146" i="8"/>
  <c r="M85" i="8"/>
  <c r="S22" i="8"/>
  <c r="R22" i="8"/>
  <c r="Z22" i="8" s="1"/>
  <c r="E22" i="8"/>
  <c r="R204" i="8"/>
  <c r="Z204" i="8" s="1"/>
  <c r="K85" i="8"/>
  <c r="F22" i="8"/>
  <c r="N22" i="8"/>
  <c r="P22" i="8"/>
  <c r="F212" i="8"/>
  <c r="H115" i="8"/>
  <c r="Q56" i="8"/>
  <c r="F170" i="8"/>
  <c r="H146" i="8"/>
  <c r="K283" i="8"/>
  <c r="K149" i="8"/>
  <c r="R169" i="8"/>
  <c r="Z169" i="8" s="1"/>
  <c r="M146" i="8"/>
  <c r="D27" i="8"/>
  <c r="Z128" i="8"/>
  <c r="F221" i="8"/>
  <c r="I85" i="8"/>
  <c r="Q22" i="8"/>
  <c r="O22" i="8"/>
  <c r="I22" i="8"/>
  <c r="D22" i="8"/>
  <c r="R151" i="8"/>
  <c r="Z151" i="8" s="1"/>
  <c r="D210" i="8"/>
  <c r="N218" i="8"/>
  <c r="P169" i="8"/>
  <c r="I81" i="8"/>
  <c r="P146" i="8"/>
  <c r="L146" i="8"/>
  <c r="I146" i="8"/>
  <c r="G146" i="8"/>
  <c r="H99" i="8"/>
  <c r="H85" i="8"/>
  <c r="O85" i="8"/>
  <c r="S85" i="8"/>
  <c r="E85" i="8"/>
  <c r="J175" i="8"/>
  <c r="D14" i="8"/>
  <c r="J283" i="8"/>
  <c r="M62" i="8"/>
  <c r="Z122" i="8"/>
  <c r="K175" i="8"/>
  <c r="L212" i="8"/>
  <c r="N146" i="8"/>
  <c r="AE146" i="8"/>
  <c r="O146" i="8"/>
  <c r="D146" i="8"/>
  <c r="H84" i="8"/>
  <c r="K76" i="8"/>
  <c r="AE235" i="8"/>
  <c r="P85" i="8"/>
  <c r="R85" i="8"/>
  <c r="Z85" i="8" s="1"/>
  <c r="N85" i="8"/>
  <c r="L85" i="8"/>
  <c r="S138" i="8"/>
  <c r="D212" i="8"/>
  <c r="N204" i="8"/>
  <c r="I56" i="8"/>
  <c r="G14" i="8"/>
  <c r="L151" i="8"/>
  <c r="I283" i="8"/>
  <c r="K210" i="8"/>
  <c r="G240" i="8"/>
  <c r="E169" i="8"/>
  <c r="E99" i="8"/>
  <c r="N175" i="8"/>
  <c r="I212" i="8"/>
  <c r="Z290" i="8"/>
  <c r="P151" i="8"/>
  <c r="G283" i="8"/>
  <c r="Q210" i="8"/>
  <c r="O115" i="8"/>
  <c r="E240" i="8"/>
  <c r="L149" i="8"/>
  <c r="O170" i="8"/>
  <c r="R146" i="8"/>
  <c r="Z146" i="8" s="1"/>
  <c r="F146" i="8"/>
  <c r="K146" i="8"/>
  <c r="N84" i="8"/>
  <c r="G244" i="8"/>
  <c r="AE85" i="8"/>
  <c r="G85" i="8"/>
  <c r="F85" i="8"/>
  <c r="J85" i="8"/>
  <c r="S176" i="8"/>
  <c r="S154" i="8"/>
  <c r="S267" i="8"/>
  <c r="S43" i="8"/>
  <c r="S212" i="8"/>
  <c r="Z134" i="8"/>
  <c r="AE159" i="8"/>
  <c r="D113" i="8"/>
  <c r="S148" i="8"/>
  <c r="E19" i="8"/>
  <c r="F257" i="8"/>
  <c r="K257" i="8"/>
  <c r="N257" i="8"/>
  <c r="M257" i="8"/>
  <c r="N234" i="8"/>
  <c r="N158" i="8"/>
  <c r="S277" i="8"/>
  <c r="R206" i="8"/>
  <c r="Z206" i="8" s="1"/>
  <c r="P206" i="8"/>
  <c r="AE206" i="8"/>
  <c r="F206" i="8"/>
  <c r="M82" i="8"/>
  <c r="AE82" i="8"/>
  <c r="E82" i="8"/>
  <c r="Q82" i="8"/>
  <c r="G94" i="8"/>
  <c r="O94" i="8"/>
  <c r="M94" i="8"/>
  <c r="J94" i="8"/>
  <c r="P134" i="8"/>
  <c r="D134" i="8"/>
  <c r="H134" i="8"/>
  <c r="E134" i="8"/>
  <c r="S82" i="8"/>
  <c r="N275" i="8"/>
  <c r="M311" i="8"/>
  <c r="O295" i="8"/>
  <c r="M113" i="8"/>
  <c r="P31" i="8"/>
  <c r="E264" i="8"/>
  <c r="R105" i="8"/>
  <c r="Z105" i="8" s="1"/>
  <c r="D257" i="8"/>
  <c r="S257" i="8"/>
  <c r="L257" i="8"/>
  <c r="E257" i="8"/>
  <c r="H257" i="8"/>
  <c r="L193" i="8"/>
  <c r="E206" i="8"/>
  <c r="L206" i="8"/>
  <c r="Q206" i="8"/>
  <c r="O206" i="8"/>
  <c r="P82" i="8"/>
  <c r="K82" i="8"/>
  <c r="G82" i="8"/>
  <c r="D82" i="8"/>
  <c r="L94" i="8"/>
  <c r="D94" i="8"/>
  <c r="Q94" i="8"/>
  <c r="P94" i="8"/>
  <c r="G134" i="8"/>
  <c r="S134" i="8"/>
  <c r="I134" i="8"/>
  <c r="F134" i="8"/>
  <c r="O134" i="8"/>
  <c r="K311" i="8"/>
  <c r="J295" i="8"/>
  <c r="L291" i="8"/>
  <c r="I48" i="8"/>
  <c r="I305" i="8"/>
  <c r="J31" i="8"/>
  <c r="I156" i="8"/>
  <c r="P159" i="8"/>
  <c r="I291" i="8"/>
  <c r="N48" i="8"/>
  <c r="L305" i="8"/>
  <c r="P148" i="8"/>
  <c r="Q156" i="8"/>
  <c r="E275" i="8"/>
  <c r="AE182" i="8"/>
  <c r="I234" i="8"/>
  <c r="D311" i="8"/>
  <c r="F295" i="8"/>
  <c r="F159" i="8"/>
  <c r="AE291" i="8"/>
  <c r="R48" i="8"/>
  <c r="Z48" i="8" s="1"/>
  <c r="F113" i="8"/>
  <c r="O305" i="8"/>
  <c r="R31" i="8"/>
  <c r="Z31" i="8" s="1"/>
  <c r="J148" i="8"/>
  <c r="F156" i="8"/>
  <c r="AE275" i="8"/>
  <c r="F264" i="8"/>
  <c r="F105" i="8"/>
  <c r="S243" i="8"/>
  <c r="Q257" i="8"/>
  <c r="J257" i="8"/>
  <c r="P257" i="8"/>
  <c r="S156" i="8"/>
  <c r="L217" i="8"/>
  <c r="N206" i="8"/>
  <c r="M206" i="8"/>
  <c r="K206" i="8"/>
  <c r="H206" i="8"/>
  <c r="J82" i="8"/>
  <c r="O82" i="8"/>
  <c r="N82" i="8"/>
  <c r="I94" i="8"/>
  <c r="AE94" i="8"/>
  <c r="E94" i="8"/>
  <c r="L134" i="8"/>
  <c r="M134" i="8"/>
  <c r="Q134" i="8"/>
  <c r="N15" i="8"/>
  <c r="S224" i="8"/>
  <c r="AE66" i="8"/>
  <c r="P66" i="8"/>
  <c r="R66" i="8"/>
  <c r="Z66" i="8" s="1"/>
  <c r="G66" i="8"/>
  <c r="F66" i="8"/>
  <c r="I66" i="8"/>
  <c r="N66" i="8"/>
  <c r="M66" i="8"/>
  <c r="K66" i="8"/>
  <c r="D66" i="8"/>
  <c r="O66" i="8"/>
  <c r="L66" i="8"/>
  <c r="Q66" i="8"/>
  <c r="L57" i="8"/>
  <c r="D57" i="8"/>
  <c r="N57" i="8"/>
  <c r="I57" i="8"/>
  <c r="H57" i="8"/>
  <c r="AE57" i="8"/>
  <c r="K57" i="8"/>
  <c r="P57" i="8"/>
  <c r="E57" i="8"/>
  <c r="S57" i="8"/>
  <c r="M57" i="8"/>
  <c r="Q57" i="8"/>
  <c r="R57" i="8"/>
  <c r="Z57" i="8" s="1"/>
  <c r="AE279" i="8"/>
  <c r="K279" i="8"/>
  <c r="L279" i="8"/>
  <c r="D279" i="8"/>
  <c r="N279" i="8"/>
  <c r="I279" i="8"/>
  <c r="M279" i="8"/>
  <c r="J279" i="8"/>
  <c r="R279" i="8"/>
  <c r="Z279" i="8" s="1"/>
  <c r="F279" i="8"/>
  <c r="E279" i="8"/>
  <c r="O279" i="8"/>
  <c r="P279" i="8"/>
  <c r="Q279" i="8"/>
  <c r="G279" i="8"/>
  <c r="H279" i="8"/>
  <c r="J90" i="8"/>
  <c r="F90" i="8"/>
  <c r="G90" i="8"/>
  <c r="D90" i="8"/>
  <c r="H90" i="8"/>
  <c r="N90" i="8"/>
  <c r="E90" i="8"/>
  <c r="P90" i="8"/>
  <c r="AE90" i="8"/>
  <c r="O90" i="8"/>
  <c r="K90" i="8"/>
  <c r="R90" i="8"/>
  <c r="Z90" i="8" s="1"/>
  <c r="Q90" i="8"/>
  <c r="M90" i="8"/>
  <c r="S69" i="8"/>
  <c r="R69" i="8"/>
  <c r="Z69" i="8" s="1"/>
  <c r="AE69" i="8"/>
  <c r="L69" i="8"/>
  <c r="D69" i="8"/>
  <c r="P69" i="8"/>
  <c r="E69" i="8"/>
  <c r="I69" i="8"/>
  <c r="G69" i="8"/>
  <c r="Q69" i="8"/>
  <c r="F69" i="8"/>
  <c r="N69" i="8"/>
  <c r="J69" i="8"/>
  <c r="H69" i="8"/>
  <c r="I77" i="8"/>
  <c r="F77" i="8"/>
  <c r="D77" i="8"/>
  <c r="H77" i="8"/>
  <c r="O77" i="8"/>
  <c r="R77" i="8"/>
  <c r="Z77" i="8" s="1"/>
  <c r="N77" i="8"/>
  <c r="P77" i="8"/>
  <c r="AE77" i="8"/>
  <c r="G77" i="8"/>
  <c r="M77" i="8"/>
  <c r="L77" i="8"/>
  <c r="E77" i="8"/>
  <c r="S77" i="8"/>
  <c r="K77" i="8"/>
  <c r="J77" i="8"/>
  <c r="R70" i="8"/>
  <c r="Z70" i="8" s="1"/>
  <c r="G70" i="8"/>
  <c r="Q70" i="8"/>
  <c r="N70" i="8"/>
  <c r="O70" i="8"/>
  <c r="L70" i="8"/>
  <c r="F70" i="8"/>
  <c r="AE70" i="8"/>
  <c r="S70" i="8"/>
  <c r="D70" i="8"/>
  <c r="J70" i="8"/>
  <c r="K70" i="8"/>
  <c r="E70" i="8"/>
  <c r="P263" i="8"/>
  <c r="H263" i="8"/>
  <c r="R263" i="8"/>
  <c r="Z263" i="8" s="1"/>
  <c r="J263" i="8"/>
  <c r="Q263" i="8"/>
  <c r="M263" i="8"/>
  <c r="K263" i="8"/>
  <c r="G263" i="8"/>
  <c r="F263" i="8"/>
  <c r="AE263" i="8"/>
  <c r="L263" i="8"/>
  <c r="E263" i="8"/>
  <c r="O263" i="8"/>
  <c r="N263" i="8"/>
  <c r="D263" i="8"/>
  <c r="I263" i="8"/>
  <c r="E199" i="8"/>
  <c r="I199" i="8"/>
  <c r="F199" i="8"/>
  <c r="Q199" i="8"/>
  <c r="AE199" i="8"/>
  <c r="M199" i="8"/>
  <c r="O199" i="8"/>
  <c r="S199" i="8"/>
  <c r="D199" i="8"/>
  <c r="R199" i="8"/>
  <c r="Z199" i="8" s="1"/>
  <c r="P199" i="8"/>
  <c r="H199" i="8"/>
  <c r="K199" i="8"/>
  <c r="J199" i="8"/>
  <c r="L199" i="8"/>
  <c r="N199" i="8"/>
  <c r="H66" i="8"/>
  <c r="F57" i="8"/>
  <c r="O69" i="8"/>
  <c r="K69" i="8"/>
  <c r="L90" i="8"/>
  <c r="H182" i="8"/>
  <c r="M182" i="8"/>
  <c r="N182" i="8"/>
  <c r="J182" i="8"/>
  <c r="P182" i="8"/>
  <c r="I182" i="8"/>
  <c r="Q182" i="8"/>
  <c r="D182" i="8"/>
  <c r="F182" i="8"/>
  <c r="O182" i="8"/>
  <c r="E182" i="8"/>
  <c r="L182" i="8"/>
  <c r="D26" i="8"/>
  <c r="M26" i="8"/>
  <c r="F26" i="8"/>
  <c r="E26" i="8"/>
  <c r="AE26" i="8"/>
  <c r="R26" i="8"/>
  <c r="Z26" i="8" s="1"/>
  <c r="J26" i="8"/>
  <c r="P26" i="8"/>
  <c r="N26" i="8"/>
  <c r="G26" i="8"/>
  <c r="I26" i="8"/>
  <c r="Q26" i="8"/>
  <c r="H26" i="8"/>
  <c r="K26" i="8"/>
  <c r="O26" i="8"/>
  <c r="L26" i="8"/>
  <c r="F61" i="8"/>
  <c r="S61" i="8"/>
  <c r="P61" i="8"/>
  <c r="Q61" i="8"/>
  <c r="E61" i="8"/>
  <c r="M61" i="8"/>
  <c r="L61" i="8"/>
  <c r="AE61" i="8"/>
  <c r="I61" i="8"/>
  <c r="K61" i="8"/>
  <c r="O61" i="8"/>
  <c r="H61" i="8"/>
  <c r="J61" i="8"/>
  <c r="N61" i="8"/>
  <c r="G61" i="8"/>
  <c r="D61" i="8"/>
  <c r="O116" i="8"/>
  <c r="E116" i="8"/>
  <c r="AE116" i="8"/>
  <c r="H116" i="8"/>
  <c r="F116" i="8"/>
  <c r="R116" i="8"/>
  <c r="Z116" i="8" s="1"/>
  <c r="S116" i="8"/>
  <c r="L116" i="8"/>
  <c r="I116" i="8"/>
  <c r="Q116" i="8"/>
  <c r="J116" i="8"/>
  <c r="P116" i="8"/>
  <c r="K116" i="8"/>
  <c r="D116" i="8"/>
  <c r="G116" i="8"/>
  <c r="N116" i="8"/>
  <c r="P231" i="8"/>
  <c r="L231" i="8"/>
  <c r="I231" i="8"/>
  <c r="E231" i="8"/>
  <c r="S231" i="8"/>
  <c r="J231" i="8"/>
  <c r="AE231" i="8"/>
  <c r="Q231" i="8"/>
  <c r="O231" i="8"/>
  <c r="M231" i="8"/>
  <c r="R231" i="8"/>
  <c r="Z231" i="8" s="1"/>
  <c r="F231" i="8"/>
  <c r="H231" i="8"/>
  <c r="K231" i="8"/>
  <c r="D231" i="8"/>
  <c r="N231" i="8"/>
  <c r="I70" i="8"/>
  <c r="R182" i="8"/>
  <c r="Z182" i="8" s="1"/>
  <c r="K182" i="8"/>
  <c r="Z188" i="8"/>
  <c r="I90" i="8"/>
  <c r="R61" i="8"/>
  <c r="Z61" i="8" s="1"/>
  <c r="M116" i="8"/>
  <c r="H70" i="8"/>
  <c r="E66" i="8"/>
  <c r="O57" i="8"/>
  <c r="M70" i="8"/>
  <c r="S66" i="8"/>
  <c r="G57" i="8"/>
  <c r="S182" i="8"/>
  <c r="M69" i="8"/>
  <c r="G231" i="8"/>
  <c r="M202" i="8"/>
  <c r="H202" i="8"/>
  <c r="L202" i="8"/>
  <c r="S202" i="8"/>
  <c r="G202" i="8"/>
  <c r="AE202" i="8"/>
  <c r="O202" i="8"/>
  <c r="E202" i="8"/>
  <c r="K202" i="8"/>
  <c r="D202" i="8"/>
  <c r="J202" i="8"/>
  <c r="R202" i="8"/>
  <c r="Z202" i="8" s="1"/>
  <c r="P202" i="8"/>
  <c r="Q135" i="8"/>
  <c r="R135" i="8"/>
  <c r="Z135" i="8" s="1"/>
  <c r="D135" i="8"/>
  <c r="J135" i="8"/>
  <c r="I135" i="8"/>
  <c r="O135" i="8"/>
  <c r="H135" i="8"/>
  <c r="P135" i="8"/>
  <c r="F135" i="8"/>
  <c r="L135" i="8"/>
  <c r="M135" i="8"/>
  <c r="AE135" i="8"/>
  <c r="K135" i="8"/>
  <c r="M249" i="8"/>
  <c r="R249" i="8"/>
  <c r="Z249" i="8" s="1"/>
  <c r="J249" i="8"/>
  <c r="S249" i="8"/>
  <c r="G249" i="8"/>
  <c r="AE249" i="8"/>
  <c r="Q249" i="8"/>
  <c r="E249" i="8"/>
  <c r="D249" i="8"/>
  <c r="N249" i="8"/>
  <c r="O249" i="8"/>
  <c r="F249" i="8"/>
  <c r="H249" i="8"/>
  <c r="AE158" i="8"/>
  <c r="S158" i="8"/>
  <c r="L158" i="8"/>
  <c r="H158" i="8"/>
  <c r="Q158" i="8"/>
  <c r="G158" i="8"/>
  <c r="F158" i="8"/>
  <c r="K158" i="8"/>
  <c r="H17" i="8"/>
  <c r="N17" i="8"/>
  <c r="L17" i="8"/>
  <c r="E17" i="8"/>
  <c r="D17" i="8"/>
  <c r="O17" i="8"/>
  <c r="I17" i="8"/>
  <c r="R113" i="8"/>
  <c r="Z113" i="8" s="1"/>
  <c r="E113" i="8"/>
  <c r="G113" i="8"/>
  <c r="L113" i="8"/>
  <c r="J305" i="8"/>
  <c r="S305" i="8"/>
  <c r="R305" i="8"/>
  <c r="Z305" i="8" s="1"/>
  <c r="O31" i="8"/>
  <c r="F31" i="8"/>
  <c r="N31" i="8"/>
  <c r="D31" i="8"/>
  <c r="AE148" i="8"/>
  <c r="G148" i="8"/>
  <c r="Q148" i="8"/>
  <c r="D148" i="8"/>
  <c r="G156" i="8"/>
  <c r="M156" i="8"/>
  <c r="K156" i="8"/>
  <c r="L156" i="8"/>
  <c r="H275" i="8"/>
  <c r="G275" i="8"/>
  <c r="L275" i="8"/>
  <c r="S275" i="8"/>
  <c r="M275" i="8"/>
  <c r="M264" i="8"/>
  <c r="AE264" i="8"/>
  <c r="D105" i="8"/>
  <c r="L105" i="8"/>
  <c r="F19" i="8"/>
  <c r="N243" i="8"/>
  <c r="J243" i="8"/>
  <c r="D234" i="8"/>
  <c r="J158" i="8"/>
  <c r="O158" i="8"/>
  <c r="L96" i="8"/>
  <c r="N202" i="8"/>
  <c r="G135" i="8"/>
  <c r="L249" i="8"/>
  <c r="E139" i="8"/>
  <c r="S264" i="8"/>
  <c r="H234" i="8"/>
  <c r="K234" i="8"/>
  <c r="G234" i="8"/>
  <c r="M234" i="8"/>
  <c r="O234" i="8"/>
  <c r="AE234" i="8"/>
  <c r="P234" i="8"/>
  <c r="F234" i="8"/>
  <c r="L97" i="8"/>
  <c r="H97" i="8"/>
  <c r="Q97" i="8"/>
  <c r="G97" i="8"/>
  <c r="K97" i="8"/>
  <c r="AE97" i="8"/>
  <c r="J97" i="8"/>
  <c r="I97" i="8"/>
  <c r="O97" i="8"/>
  <c r="N97" i="8"/>
  <c r="M97" i="8"/>
  <c r="S97" i="8"/>
  <c r="D97" i="8"/>
  <c r="E97" i="8"/>
  <c r="P97" i="8"/>
  <c r="L242" i="8"/>
  <c r="F242" i="8"/>
  <c r="Q242" i="8"/>
  <c r="P242" i="8"/>
  <c r="D242" i="8"/>
  <c r="H242" i="8"/>
  <c r="I242" i="8"/>
  <c r="AE242" i="8"/>
  <c r="E242" i="8"/>
  <c r="R242" i="8"/>
  <c r="Z242" i="8" s="1"/>
  <c r="G242" i="8"/>
  <c r="O242" i="8"/>
  <c r="K242" i="8"/>
  <c r="AE217" i="8"/>
  <c r="J217" i="8"/>
  <c r="E217" i="8"/>
  <c r="D217" i="8"/>
  <c r="P217" i="8"/>
  <c r="R217" i="8"/>
  <c r="Z217" i="8" s="1"/>
  <c r="M217" i="8"/>
  <c r="I217" i="8"/>
  <c r="H217" i="8"/>
  <c r="O217" i="8"/>
  <c r="N217" i="8"/>
  <c r="F217" i="8"/>
  <c r="G217" i="8"/>
  <c r="F301" i="8"/>
  <c r="Q301" i="8"/>
  <c r="M301" i="8"/>
  <c r="G301" i="8"/>
  <c r="P301" i="8"/>
  <c r="D301" i="8"/>
  <c r="L301" i="8"/>
  <c r="R301" i="8"/>
  <c r="Z301" i="8" s="1"/>
  <c r="O301" i="8"/>
  <c r="K301" i="8"/>
  <c r="H301" i="8"/>
  <c r="E301" i="8"/>
  <c r="I301" i="8"/>
  <c r="S311" i="8"/>
  <c r="E311" i="8"/>
  <c r="N311" i="8"/>
  <c r="R311" i="8"/>
  <c r="Z311" i="8" s="1"/>
  <c r="Q311" i="8"/>
  <c r="N295" i="8"/>
  <c r="AE295" i="8"/>
  <c r="M295" i="8"/>
  <c r="E295" i="8"/>
  <c r="Z47" i="8"/>
  <c r="F291" i="8"/>
  <c r="M291" i="8"/>
  <c r="D291" i="8"/>
  <c r="G291" i="8"/>
  <c r="F48" i="8"/>
  <c r="M48" i="8"/>
  <c r="G48" i="8"/>
  <c r="E48" i="8"/>
  <c r="K305" i="8"/>
  <c r="AE311" i="8"/>
  <c r="L311" i="8"/>
  <c r="F311" i="8"/>
  <c r="Q295" i="8"/>
  <c r="R295" i="8"/>
  <c r="Z295" i="8" s="1"/>
  <c r="I295" i="8"/>
  <c r="P295" i="8"/>
  <c r="O159" i="8"/>
  <c r="M159" i="8"/>
  <c r="R159" i="8"/>
  <c r="Z159" i="8" s="1"/>
  <c r="G159" i="8"/>
  <c r="M305" i="8"/>
  <c r="D305" i="8"/>
  <c r="P305" i="8"/>
  <c r="F305" i="8"/>
  <c r="E305" i="8"/>
  <c r="R275" i="8"/>
  <c r="Z275" i="8" s="1"/>
  <c r="F275" i="8"/>
  <c r="I275" i="8"/>
  <c r="P275" i="8"/>
  <c r="O264" i="8"/>
  <c r="O105" i="8"/>
  <c r="H243" i="8"/>
  <c r="L234" i="8"/>
  <c r="R234" i="8"/>
  <c r="Z234" i="8" s="1"/>
  <c r="E158" i="8"/>
  <c r="P158" i="8"/>
  <c r="F202" i="8"/>
  <c r="AE301" i="8"/>
  <c r="E135" i="8"/>
  <c r="K249" i="8"/>
  <c r="K217" i="8"/>
  <c r="M242" i="8"/>
  <c r="G17" i="8"/>
  <c r="K105" i="8"/>
  <c r="P105" i="8"/>
  <c r="S105" i="8"/>
  <c r="Q105" i="8"/>
  <c r="G105" i="8"/>
  <c r="J105" i="8"/>
  <c r="H105" i="8"/>
  <c r="E105" i="8"/>
  <c r="I105" i="8"/>
  <c r="D168" i="8"/>
  <c r="R168" i="8"/>
  <c r="Z168" i="8" s="1"/>
  <c r="L168" i="8"/>
  <c r="E168" i="8"/>
  <c r="H168" i="8"/>
  <c r="I168" i="8"/>
  <c r="Q168" i="8"/>
  <c r="O193" i="8"/>
  <c r="J193" i="8"/>
  <c r="F193" i="8"/>
  <c r="D193" i="8"/>
  <c r="K193" i="8"/>
  <c r="I193" i="8"/>
  <c r="AE193" i="8"/>
  <c r="Q193" i="8"/>
  <c r="S193" i="8"/>
  <c r="M193" i="8"/>
  <c r="N193" i="8"/>
  <c r="G193" i="8"/>
  <c r="R193" i="8"/>
  <c r="Z193" i="8" s="1"/>
  <c r="P193" i="8"/>
  <c r="P139" i="8"/>
  <c r="Q139" i="8"/>
  <c r="I139" i="8"/>
  <c r="AE139" i="8"/>
  <c r="F139" i="8"/>
  <c r="D139" i="8"/>
  <c r="L139" i="8"/>
  <c r="N139" i="8"/>
  <c r="M139" i="8"/>
  <c r="O139" i="8"/>
  <c r="G139" i="8"/>
  <c r="K139" i="8"/>
  <c r="J139" i="8"/>
  <c r="AB183" i="8"/>
  <c r="Z183" i="8"/>
  <c r="R243" i="8"/>
  <c r="Z243" i="8" s="1"/>
  <c r="I243" i="8"/>
  <c r="M243" i="8"/>
  <c r="D243" i="8"/>
  <c r="O243" i="8"/>
  <c r="K243" i="8"/>
  <c r="L243" i="8"/>
  <c r="G243" i="8"/>
  <c r="E243" i="8"/>
  <c r="G264" i="8"/>
  <c r="J264" i="8"/>
  <c r="K264" i="8"/>
  <c r="H264" i="8"/>
  <c r="N264" i="8"/>
  <c r="D264" i="8"/>
  <c r="P264" i="8"/>
  <c r="I264" i="8"/>
  <c r="M19" i="8"/>
  <c r="I19" i="8"/>
  <c r="O19" i="8"/>
  <c r="D19" i="8"/>
  <c r="G19" i="8"/>
  <c r="L19" i="8"/>
  <c r="Q96" i="8"/>
  <c r="AE96" i="8"/>
  <c r="S96" i="8"/>
  <c r="I96" i="8"/>
  <c r="N96" i="8"/>
  <c r="M96" i="8"/>
  <c r="G96" i="8"/>
  <c r="F96" i="8"/>
  <c r="R96" i="8"/>
  <c r="Z96" i="8" s="1"/>
  <c r="J96" i="8"/>
  <c r="O96" i="8"/>
  <c r="D96" i="8"/>
  <c r="E96" i="8"/>
  <c r="E277" i="8"/>
  <c r="M277" i="8"/>
  <c r="K277" i="8"/>
  <c r="F277" i="8"/>
  <c r="AE277" i="8"/>
  <c r="O277" i="8"/>
  <c r="P277" i="8"/>
  <c r="G277" i="8"/>
  <c r="H277" i="8"/>
  <c r="N277" i="8"/>
  <c r="Q277" i="8"/>
  <c r="D277" i="8"/>
  <c r="L277" i="8"/>
  <c r="R277" i="8"/>
  <c r="Z277" i="8" s="1"/>
  <c r="L159" i="8"/>
  <c r="I159" i="8"/>
  <c r="E159" i="8"/>
  <c r="N159" i="8"/>
  <c r="H159" i="8"/>
  <c r="Z198" i="8"/>
  <c r="H311" i="8"/>
  <c r="S291" i="8"/>
  <c r="H291" i="8"/>
  <c r="K291" i="8"/>
  <c r="E291" i="8"/>
  <c r="Q48" i="8"/>
  <c r="D48" i="8"/>
  <c r="P48" i="8"/>
  <c r="H48" i="8"/>
  <c r="J113" i="8"/>
  <c r="I113" i="8"/>
  <c r="P113" i="8"/>
  <c r="N113" i="8"/>
  <c r="Q31" i="8"/>
  <c r="M31" i="8"/>
  <c r="H31" i="8"/>
  <c r="E31" i="8"/>
  <c r="N148" i="8"/>
  <c r="O148" i="8"/>
  <c r="I148" i="8"/>
  <c r="E148" i="8"/>
  <c r="E156" i="8"/>
  <c r="AE156" i="8"/>
  <c r="H156" i="8"/>
  <c r="O156" i="8"/>
  <c r="M17" i="8"/>
  <c r="P311" i="8"/>
  <c r="I311" i="8"/>
  <c r="O311" i="8"/>
  <c r="D295" i="8"/>
  <c r="H295" i="8"/>
  <c r="L295" i="8"/>
  <c r="D159" i="8"/>
  <c r="J159" i="8"/>
  <c r="Q159" i="8"/>
  <c r="O291" i="8"/>
  <c r="R291" i="8"/>
  <c r="Z291" i="8" s="1"/>
  <c r="J291" i="8"/>
  <c r="N291" i="8"/>
  <c r="AE48" i="8"/>
  <c r="J48" i="8"/>
  <c r="K48" i="8"/>
  <c r="AE113" i="8"/>
  <c r="O113" i="8"/>
  <c r="K113" i="8"/>
  <c r="N305" i="8"/>
  <c r="H305" i="8"/>
  <c r="Q305" i="8"/>
  <c r="Z35" i="8"/>
  <c r="G31" i="8"/>
  <c r="AE31" i="8"/>
  <c r="K31" i="8"/>
  <c r="K148" i="8"/>
  <c r="L148" i="8"/>
  <c r="R148" i="8"/>
  <c r="Z148" i="8" s="1"/>
  <c r="M148" i="8"/>
  <c r="D156" i="8"/>
  <c r="N156" i="8"/>
  <c r="J156" i="8"/>
  <c r="Q275" i="8"/>
  <c r="K275" i="8"/>
  <c r="J275" i="8"/>
  <c r="R264" i="8"/>
  <c r="Z264" i="8" s="1"/>
  <c r="L264" i="8"/>
  <c r="M105" i="8"/>
  <c r="AE105" i="8"/>
  <c r="N19" i="8"/>
  <c r="P243" i="8"/>
  <c r="AE243" i="8"/>
  <c r="Q234" i="8"/>
  <c r="E234" i="8"/>
  <c r="D158" i="8"/>
  <c r="R158" i="8"/>
  <c r="Z158" i="8" s="1"/>
  <c r="P96" i="8"/>
  <c r="I202" i="8"/>
  <c r="N301" i="8"/>
  <c r="E193" i="8"/>
  <c r="I249" i="8"/>
  <c r="S217" i="8"/>
  <c r="I277" i="8"/>
  <c r="R139" i="8"/>
  <c r="Z139" i="8" s="1"/>
  <c r="F17" i="8"/>
  <c r="F97" i="8"/>
  <c r="Z83" i="8"/>
  <c r="Z63" i="8"/>
  <c r="S135" i="8"/>
  <c r="S263" i="8"/>
  <c r="S125" i="8"/>
  <c r="S139" i="8"/>
  <c r="S295" i="8"/>
  <c r="S90" i="8"/>
  <c r="S48" i="8"/>
  <c r="S234" i="8"/>
  <c r="S113" i="8"/>
  <c r="Z269" i="8"/>
  <c r="Z280" i="8"/>
  <c r="Z245" i="8"/>
  <c r="F15" i="8"/>
  <c r="S292" i="8"/>
  <c r="Z110" i="8"/>
  <c r="S279" i="8"/>
  <c r="S293" i="8"/>
  <c r="S220" i="8"/>
  <c r="S299" i="8"/>
  <c r="S301" i="8"/>
  <c r="S160" i="8"/>
  <c r="S38" i="8"/>
  <c r="S242" i="8"/>
  <c r="S31" i="8"/>
  <c r="I174" i="8"/>
  <c r="F174" i="8"/>
  <c r="G174" i="8"/>
  <c r="AE174" i="8"/>
  <c r="E174" i="8"/>
  <c r="P174" i="8"/>
  <c r="J174" i="8"/>
  <c r="R174" i="8"/>
  <c r="Z174" i="8" s="1"/>
  <c r="D218" i="8"/>
  <c r="AE218" i="8"/>
  <c r="L218" i="8"/>
  <c r="Q218" i="8"/>
  <c r="R56" i="8"/>
  <c r="Z56" i="8" s="1"/>
  <c r="M56" i="8"/>
  <c r="N56" i="8"/>
  <c r="Q203" i="8"/>
  <c r="H203" i="8"/>
  <c r="J203" i="8"/>
  <c r="P203" i="8"/>
  <c r="O203" i="8"/>
  <c r="M203" i="8"/>
  <c r="L203" i="8"/>
  <c r="G203" i="8"/>
  <c r="K203" i="8"/>
  <c r="D203" i="8"/>
  <c r="I203" i="8"/>
  <c r="R203" i="8"/>
  <c r="Z203" i="8" s="1"/>
  <c r="AE203" i="8"/>
  <c r="N203" i="8"/>
  <c r="F203" i="8"/>
  <c r="E203" i="8"/>
  <c r="M27" i="8"/>
  <c r="J27" i="8"/>
  <c r="P27" i="8"/>
  <c r="F27" i="8"/>
  <c r="S27" i="8"/>
  <c r="AE27" i="8"/>
  <c r="L27" i="8"/>
  <c r="O27" i="8"/>
  <c r="E108" i="8"/>
  <c r="L108" i="8"/>
  <c r="D108" i="8"/>
  <c r="Q108" i="8"/>
  <c r="N108" i="8"/>
  <c r="K108" i="8"/>
  <c r="AE108" i="8"/>
  <c r="I108" i="8"/>
  <c r="H108" i="8"/>
  <c r="M108" i="8"/>
  <c r="R108" i="8"/>
  <c r="Z108" i="8" s="1"/>
  <c r="P108" i="8"/>
  <c r="O108" i="8"/>
  <c r="S108" i="8"/>
  <c r="G108" i="8"/>
  <c r="F108" i="8"/>
  <c r="K81" i="8"/>
  <c r="O81" i="8"/>
  <c r="S81" i="8"/>
  <c r="Q81" i="8"/>
  <c r="N81" i="8"/>
  <c r="M81" i="8"/>
  <c r="K58" i="8"/>
  <c r="E58" i="8"/>
  <c r="AE58" i="8"/>
  <c r="G58" i="8"/>
  <c r="N58" i="8"/>
  <c r="D58" i="8"/>
  <c r="F58" i="8"/>
  <c r="I58" i="8"/>
  <c r="R58" i="8"/>
  <c r="Z58" i="8" s="1"/>
  <c r="Q58" i="8"/>
  <c r="L58" i="8"/>
  <c r="J58" i="8"/>
  <c r="H58" i="8"/>
  <c r="M58" i="8"/>
  <c r="S58" i="8"/>
  <c r="P58" i="8"/>
  <c r="S204" i="8"/>
  <c r="H204" i="8"/>
  <c r="I204" i="8"/>
  <c r="O204" i="8"/>
  <c r="L204" i="8"/>
  <c r="R62" i="8"/>
  <c r="Z62" i="8" s="1"/>
  <c r="Q62" i="8"/>
  <c r="N62" i="8"/>
  <c r="L62" i="8"/>
  <c r="Q100" i="8"/>
  <c r="I100" i="8"/>
  <c r="K100" i="8"/>
  <c r="G100" i="8"/>
  <c r="P100" i="8"/>
  <c r="F100" i="8"/>
  <c r="AE100" i="8"/>
  <c r="R100" i="8"/>
  <c r="Z100" i="8" s="1"/>
  <c r="E100" i="8"/>
  <c r="D100" i="8"/>
  <c r="L100" i="8"/>
  <c r="S100" i="8"/>
  <c r="J100" i="8"/>
  <c r="H100" i="8"/>
  <c r="M100" i="8"/>
  <c r="N100" i="8"/>
  <c r="M196" i="8"/>
  <c r="I196" i="8"/>
  <c r="H196" i="8"/>
  <c r="E196" i="8"/>
  <c r="O196" i="8"/>
  <c r="F196" i="8"/>
  <c r="D196" i="8"/>
  <c r="K196" i="8"/>
  <c r="N196" i="8"/>
  <c r="P196" i="8"/>
  <c r="L196" i="8"/>
  <c r="S196" i="8"/>
  <c r="G196" i="8"/>
  <c r="Q196" i="8"/>
  <c r="F303" i="8"/>
  <c r="G303" i="8"/>
  <c r="K303" i="8"/>
  <c r="L303" i="8"/>
  <c r="J303" i="8"/>
  <c r="O303" i="8"/>
  <c r="N303" i="8"/>
  <c r="H303" i="8"/>
  <c r="I303" i="8"/>
  <c r="AE303" i="8"/>
  <c r="M175" i="8"/>
  <c r="S175" i="8"/>
  <c r="I175" i="8"/>
  <c r="O175" i="8"/>
  <c r="K212" i="8"/>
  <c r="H212" i="8"/>
  <c r="R212" i="8"/>
  <c r="Z212" i="8" s="1"/>
  <c r="J212" i="8"/>
  <c r="O14" i="8"/>
  <c r="I14" i="8"/>
  <c r="Z268" i="8"/>
  <c r="Q151" i="8"/>
  <c r="K151" i="8"/>
  <c r="N151" i="8"/>
  <c r="AE151" i="8"/>
  <c r="Q283" i="8"/>
  <c r="H283" i="8"/>
  <c r="P283" i="8"/>
  <c r="E283" i="8"/>
  <c r="N210" i="8"/>
  <c r="E210" i="8"/>
  <c r="M210" i="8"/>
  <c r="P210" i="8"/>
  <c r="G204" i="8"/>
  <c r="F204" i="8"/>
  <c r="P204" i="8"/>
  <c r="P218" i="8"/>
  <c r="G218" i="8"/>
  <c r="Q115" i="8"/>
  <c r="K240" i="8"/>
  <c r="AE240" i="8"/>
  <c r="M240" i="8"/>
  <c r="J62" i="8"/>
  <c r="H62" i="8"/>
  <c r="P62" i="8"/>
  <c r="K56" i="8"/>
  <c r="E56" i="8"/>
  <c r="H149" i="8"/>
  <c r="M149" i="8"/>
  <c r="N169" i="8"/>
  <c r="L81" i="8"/>
  <c r="R81" i="8"/>
  <c r="Z81" i="8" s="1"/>
  <c r="R170" i="8"/>
  <c r="Z170" i="8" s="1"/>
  <c r="J170" i="8"/>
  <c r="R99" i="8"/>
  <c r="Z99" i="8" s="1"/>
  <c r="L99" i="8"/>
  <c r="N99" i="8"/>
  <c r="G27" i="8"/>
  <c r="E27" i="8"/>
  <c r="O174" i="8"/>
  <c r="M303" i="8"/>
  <c r="O84" i="8"/>
  <c r="J221" i="8"/>
  <c r="F76" i="8"/>
  <c r="Q21" i="8"/>
  <c r="AE196" i="8"/>
  <c r="Q169" i="8"/>
  <c r="I169" i="8"/>
  <c r="L169" i="8"/>
  <c r="K244" i="8"/>
  <c r="O244" i="8"/>
  <c r="S244" i="8"/>
  <c r="H244" i="8"/>
  <c r="Q244" i="8"/>
  <c r="M244" i="8"/>
  <c r="E244" i="8"/>
  <c r="P244" i="8"/>
  <c r="R115" i="8"/>
  <c r="Z115" i="8" s="1"/>
  <c r="G115" i="8"/>
  <c r="E115" i="8"/>
  <c r="L164" i="8"/>
  <c r="D164" i="8"/>
  <c r="F164" i="8"/>
  <c r="M164" i="8"/>
  <c r="S52" i="8"/>
  <c r="H52" i="8"/>
  <c r="K52" i="8"/>
  <c r="P52" i="8"/>
  <c r="M13" i="8"/>
  <c r="G13" i="8"/>
  <c r="O13" i="8"/>
  <c r="D13" i="8"/>
  <c r="L13" i="8"/>
  <c r="H13" i="8"/>
  <c r="F13" i="8"/>
  <c r="I13" i="8"/>
  <c r="N13" i="8"/>
  <c r="I221" i="8"/>
  <c r="AE221" i="8"/>
  <c r="N221" i="8"/>
  <c r="M221" i="8"/>
  <c r="E221" i="8"/>
  <c r="S221" i="8"/>
  <c r="H221" i="8"/>
  <c r="P221" i="8"/>
  <c r="O221" i="8"/>
  <c r="D221" i="8"/>
  <c r="O212" i="8"/>
  <c r="E212" i="8"/>
  <c r="AE212" i="8"/>
  <c r="Q212" i="8"/>
  <c r="H151" i="8"/>
  <c r="G151" i="8"/>
  <c r="D151" i="8"/>
  <c r="O151" i="8"/>
  <c r="M283" i="8"/>
  <c r="O283" i="8"/>
  <c r="F283" i="8"/>
  <c r="AE283" i="8"/>
  <c r="G210" i="8"/>
  <c r="S210" i="8"/>
  <c r="F210" i="8"/>
  <c r="H210" i="8"/>
  <c r="E204" i="8"/>
  <c r="AE204" i="8"/>
  <c r="J204" i="8"/>
  <c r="M218" i="8"/>
  <c r="J218" i="8"/>
  <c r="P115" i="8"/>
  <c r="F115" i="8"/>
  <c r="D240" i="8"/>
  <c r="F240" i="8"/>
  <c r="F62" i="8"/>
  <c r="G62" i="8"/>
  <c r="O62" i="8"/>
  <c r="F56" i="8"/>
  <c r="D56" i="8"/>
  <c r="P149" i="8"/>
  <c r="R149" i="8"/>
  <c r="Z149" i="8" s="1"/>
  <c r="M169" i="8"/>
  <c r="S169" i="8"/>
  <c r="H81" i="8"/>
  <c r="J81" i="8"/>
  <c r="E81" i="8"/>
  <c r="N170" i="8"/>
  <c r="M21" i="8"/>
  <c r="I99" i="8"/>
  <c r="K27" i="8"/>
  <c r="Q27" i="8"/>
  <c r="L174" i="8"/>
  <c r="D303" i="8"/>
  <c r="P303" i="8"/>
  <c r="G221" i="8"/>
  <c r="L221" i="8"/>
  <c r="F244" i="8"/>
  <c r="D244" i="8"/>
  <c r="R196" i="8"/>
  <c r="Z196" i="8" s="1"/>
  <c r="O100" i="8"/>
  <c r="O58" i="8"/>
  <c r="J108" i="8"/>
  <c r="S203" i="8"/>
  <c r="J46" i="8"/>
  <c r="O46" i="8"/>
  <c r="Q285" i="8"/>
  <c r="AE285" i="8"/>
  <c r="S91" i="8"/>
  <c r="K91" i="8"/>
  <c r="AE91" i="8"/>
  <c r="K111" i="8"/>
  <c r="G111" i="8"/>
  <c r="M170" i="8"/>
  <c r="E170" i="8"/>
  <c r="K170" i="8"/>
  <c r="P170" i="8"/>
  <c r="D170" i="8"/>
  <c r="S149" i="8"/>
  <c r="G149" i="8"/>
  <c r="E149" i="8"/>
  <c r="K84" i="8"/>
  <c r="Q84" i="8"/>
  <c r="D84" i="8"/>
  <c r="M84" i="8"/>
  <c r="J84" i="8"/>
  <c r="AE84" i="8"/>
  <c r="E84" i="8"/>
  <c r="P84" i="8"/>
  <c r="R84" i="8"/>
  <c r="Z84" i="8" s="1"/>
  <c r="S84" i="8"/>
  <c r="L84" i="8"/>
  <c r="J99" i="8"/>
  <c r="AE99" i="8"/>
  <c r="G99" i="8"/>
  <c r="F99" i="8"/>
  <c r="S99" i="8"/>
  <c r="D99" i="8"/>
  <c r="K99" i="8"/>
  <c r="M99" i="8"/>
  <c r="I235" i="8"/>
  <c r="O235" i="8"/>
  <c r="K235" i="8"/>
  <c r="J235" i="8"/>
  <c r="N235" i="8"/>
  <c r="S235" i="8"/>
  <c r="Q235" i="8"/>
  <c r="L235" i="8"/>
  <c r="D235" i="8"/>
  <c r="P235" i="8"/>
  <c r="H235" i="8"/>
  <c r="F235" i="8"/>
  <c r="R235" i="8"/>
  <c r="Z235" i="8" s="1"/>
  <c r="G235" i="8"/>
  <c r="P226" i="8"/>
  <c r="I226" i="8"/>
  <c r="S226" i="8"/>
  <c r="Q226" i="8"/>
  <c r="E226" i="8"/>
  <c r="F226" i="8"/>
  <c r="K226" i="8"/>
  <c r="M226" i="8"/>
  <c r="R226" i="8"/>
  <c r="Z226" i="8" s="1"/>
  <c r="D226" i="8"/>
  <c r="J226" i="8"/>
  <c r="G226" i="8"/>
  <c r="O226" i="8"/>
  <c r="AE226" i="8"/>
  <c r="L226" i="8"/>
  <c r="Q240" i="8"/>
  <c r="I240" i="8"/>
  <c r="R240" i="8"/>
  <c r="Z240" i="8" s="1"/>
  <c r="O240" i="8"/>
  <c r="J76" i="8"/>
  <c r="R76" i="8"/>
  <c r="Z76" i="8" s="1"/>
  <c r="Q76" i="8"/>
  <c r="N76" i="8"/>
  <c r="D76" i="8"/>
  <c r="G76" i="8"/>
  <c r="M76" i="8"/>
  <c r="E76" i="8"/>
  <c r="H76" i="8"/>
  <c r="S76" i="8"/>
  <c r="AE76" i="8"/>
  <c r="L76" i="8"/>
  <c r="I76" i="8"/>
  <c r="P21" i="8"/>
  <c r="O21" i="8"/>
  <c r="E21" i="8"/>
  <c r="G21" i="8"/>
  <c r="H21" i="8"/>
  <c r="L21" i="8"/>
  <c r="F21" i="8"/>
  <c r="R21" i="8"/>
  <c r="Z21" i="8" s="1"/>
  <c r="D21" i="8"/>
  <c r="N33" i="8"/>
  <c r="E33" i="8"/>
  <c r="H33" i="8"/>
  <c r="D33" i="8"/>
  <c r="Q33" i="8"/>
  <c r="G33" i="8"/>
  <c r="P33" i="8"/>
  <c r="O33" i="8"/>
  <c r="AE33" i="8"/>
  <c r="L33" i="8"/>
  <c r="K33" i="8"/>
  <c r="M33" i="8"/>
  <c r="F33" i="8"/>
  <c r="I33" i="8"/>
  <c r="S33" i="8"/>
  <c r="R33" i="8"/>
  <c r="Z33" i="8" s="1"/>
  <c r="Z109" i="8"/>
  <c r="L175" i="8"/>
  <c r="P175" i="8"/>
  <c r="F175" i="8"/>
  <c r="D175" i="8"/>
  <c r="H14" i="8"/>
  <c r="E14" i="8"/>
  <c r="M14" i="8"/>
  <c r="AE175" i="8"/>
  <c r="H175" i="8"/>
  <c r="G175" i="8"/>
  <c r="R175" i="8"/>
  <c r="Z175" i="8" s="1"/>
  <c r="N212" i="8"/>
  <c r="P212" i="8"/>
  <c r="G212" i="8"/>
  <c r="F14" i="8"/>
  <c r="N14" i="8"/>
  <c r="S151" i="8"/>
  <c r="J151" i="8"/>
  <c r="I151" i="8"/>
  <c r="M151" i="8"/>
  <c r="D283" i="8"/>
  <c r="N283" i="8"/>
  <c r="L283" i="8"/>
  <c r="R283" i="8"/>
  <c r="Z283" i="8" s="1"/>
  <c r="I210" i="8"/>
  <c r="O210" i="8"/>
  <c r="J210" i="8"/>
  <c r="L210" i="8"/>
  <c r="K204" i="8"/>
  <c r="M204" i="8"/>
  <c r="D204" i="8"/>
  <c r="E218" i="8"/>
  <c r="K218" i="8"/>
  <c r="I115" i="8"/>
  <c r="AE115" i="8"/>
  <c r="J115" i="8"/>
  <c r="N240" i="8"/>
  <c r="L240" i="8"/>
  <c r="J240" i="8"/>
  <c r="AE62" i="8"/>
  <c r="I62" i="8"/>
  <c r="E62" i="8"/>
  <c r="G56" i="8"/>
  <c r="O56" i="8"/>
  <c r="J149" i="8"/>
  <c r="O149" i="8"/>
  <c r="I149" i="8"/>
  <c r="O169" i="8"/>
  <c r="J169" i="8"/>
  <c r="G81" i="8"/>
  <c r="P81" i="8"/>
  <c r="AE81" i="8"/>
  <c r="L170" i="8"/>
  <c r="H170" i="8"/>
  <c r="O99" i="8"/>
  <c r="Q99" i="8"/>
  <c r="H27" i="8"/>
  <c r="I27" i="8"/>
  <c r="R27" i="8"/>
  <c r="Z27" i="8" s="1"/>
  <c r="H174" i="8"/>
  <c r="R303" i="8"/>
  <c r="Z303" i="8" s="1"/>
  <c r="E303" i="8"/>
  <c r="I84" i="8"/>
  <c r="G84" i="8"/>
  <c r="Q221" i="8"/>
  <c r="R221" i="8"/>
  <c r="Z221" i="8" s="1"/>
  <c r="I244" i="8"/>
  <c r="O76" i="8"/>
  <c r="N21" i="8"/>
  <c r="N52" i="8"/>
  <c r="J196" i="8"/>
  <c r="E235" i="8"/>
  <c r="N226" i="8"/>
  <c r="Z121" i="8"/>
  <c r="Z153" i="8"/>
  <c r="S37" i="8"/>
  <c r="S132" i="8"/>
  <c r="S253" i="8"/>
  <c r="S240" i="8"/>
  <c r="S62" i="8"/>
  <c r="S198" i="8"/>
  <c r="S140" i="8"/>
  <c r="S303" i="8"/>
  <c r="S155" i="8"/>
  <c r="Z254" i="8"/>
  <c r="L15" i="8"/>
  <c r="P98" i="8"/>
  <c r="M98" i="8"/>
  <c r="Q98" i="8"/>
  <c r="S98" i="8"/>
  <c r="N98" i="8"/>
  <c r="L98" i="8"/>
  <c r="O98" i="8"/>
  <c r="D98" i="8"/>
  <c r="I98" i="8"/>
  <c r="H98" i="8"/>
  <c r="F98" i="8"/>
  <c r="G98" i="8"/>
  <c r="S106" i="8"/>
  <c r="H106" i="8"/>
  <c r="AE106" i="8"/>
  <c r="I106" i="8"/>
  <c r="L281" i="8"/>
  <c r="N281" i="8"/>
  <c r="AE281" i="8"/>
  <c r="S281" i="8"/>
  <c r="F42" i="8"/>
  <c r="H42" i="8"/>
  <c r="I42" i="8"/>
  <c r="G42" i="8"/>
  <c r="N42" i="8"/>
  <c r="I110" i="8"/>
  <c r="O110" i="8"/>
  <c r="K110" i="8"/>
  <c r="G110" i="8"/>
  <c r="J213" i="8"/>
  <c r="N213" i="8"/>
  <c r="O213" i="8"/>
  <c r="L213" i="8"/>
  <c r="P67" i="8"/>
  <c r="M67" i="8"/>
  <c r="E67" i="8"/>
  <c r="H67" i="8"/>
  <c r="D167" i="8"/>
  <c r="I167" i="8"/>
  <c r="R167" i="8"/>
  <c r="Z167" i="8" s="1"/>
  <c r="H167" i="8"/>
  <c r="J176" i="8"/>
  <c r="E176" i="8"/>
  <c r="P176" i="8"/>
  <c r="N176" i="8"/>
  <c r="I138" i="8"/>
  <c r="H138" i="8"/>
  <c r="K138" i="8"/>
  <c r="G138" i="8"/>
  <c r="O28" i="8"/>
  <c r="Q28" i="8"/>
  <c r="L28" i="8"/>
  <c r="K28" i="8"/>
  <c r="K233" i="8"/>
  <c r="N233" i="8"/>
  <c r="M233" i="8"/>
  <c r="J233" i="8"/>
  <c r="H233" i="8"/>
  <c r="Q260" i="8"/>
  <c r="L260" i="8"/>
  <c r="S260" i="8"/>
  <c r="R260" i="8"/>
  <c r="Z260" i="8" s="1"/>
  <c r="I38" i="8"/>
  <c r="N38" i="8"/>
  <c r="AE38" i="8"/>
  <c r="M38" i="8"/>
  <c r="G241" i="8"/>
  <c r="I241" i="8"/>
  <c r="N241" i="8"/>
  <c r="R241" i="8"/>
  <c r="Z241" i="8" s="1"/>
  <c r="E241" i="8"/>
  <c r="L256" i="8"/>
  <c r="O256" i="8"/>
  <c r="J256" i="8"/>
  <c r="AE256" i="8"/>
  <c r="F45" i="8"/>
  <c r="J45" i="8"/>
  <c r="I45" i="8"/>
  <c r="G45" i="8"/>
  <c r="P45" i="8"/>
  <c r="Q220" i="8"/>
  <c r="K220" i="8"/>
  <c r="I220" i="8"/>
  <c r="H220" i="8"/>
  <c r="E274" i="8"/>
  <c r="P274" i="8"/>
  <c r="Q274" i="8"/>
  <c r="I274" i="8"/>
  <c r="H79" i="8"/>
  <c r="O79" i="8"/>
  <c r="J79" i="8"/>
  <c r="E79" i="8"/>
  <c r="AE87" i="8"/>
  <c r="J87" i="8"/>
  <c r="F87" i="8"/>
  <c r="I87" i="8"/>
  <c r="H232" i="8"/>
  <c r="AE232" i="8"/>
  <c r="D232" i="8"/>
  <c r="D281" i="8"/>
  <c r="H281" i="8"/>
  <c r="K281" i="8"/>
  <c r="G265" i="8"/>
  <c r="E265" i="8"/>
  <c r="N265" i="8"/>
  <c r="J106" i="8"/>
  <c r="N106" i="8"/>
  <c r="D106" i="8"/>
  <c r="F185" i="8"/>
  <c r="AE185" i="8"/>
  <c r="D80" i="8"/>
  <c r="J80" i="8"/>
  <c r="F64" i="8"/>
  <c r="G64" i="8"/>
  <c r="I64" i="8"/>
  <c r="Z39" i="8"/>
  <c r="P297" i="8"/>
  <c r="AE297" i="8"/>
  <c r="H297" i="8"/>
  <c r="F124" i="8"/>
  <c r="R98" i="8"/>
  <c r="Z98" i="8" s="1"/>
  <c r="P205" i="8"/>
  <c r="O253" i="8"/>
  <c r="K145" i="8"/>
  <c r="H25" i="8"/>
  <c r="I130" i="8"/>
  <c r="S129" i="8"/>
  <c r="O247" i="8"/>
  <c r="I247" i="8"/>
  <c r="R247" i="8"/>
  <c r="Z247" i="8" s="1"/>
  <c r="AE247" i="8"/>
  <c r="H247" i="8"/>
  <c r="E247" i="8"/>
  <c r="G247" i="8"/>
  <c r="D247" i="8"/>
  <c r="N247" i="8"/>
  <c r="K247" i="8"/>
  <c r="L247" i="8"/>
  <c r="F247" i="8"/>
  <c r="O80" i="8"/>
  <c r="P80" i="8"/>
  <c r="K80" i="8"/>
  <c r="R80" i="8"/>
  <c r="Z80" i="8" s="1"/>
  <c r="E18" i="8"/>
  <c r="D18" i="8"/>
  <c r="N18" i="8"/>
  <c r="I18" i="8"/>
  <c r="M18" i="8"/>
  <c r="G18" i="8"/>
  <c r="H18" i="8"/>
  <c r="F18" i="8"/>
  <c r="L18" i="8"/>
  <c r="R185" i="8"/>
  <c r="Z185" i="8" s="1"/>
  <c r="D185" i="8"/>
  <c r="P185" i="8"/>
  <c r="L185" i="8"/>
  <c r="Q176" i="8"/>
  <c r="L176" i="8"/>
  <c r="K176" i="8"/>
  <c r="F176" i="8"/>
  <c r="O138" i="8"/>
  <c r="N138" i="8"/>
  <c r="J138" i="8"/>
  <c r="R138" i="8"/>
  <c r="Z138" i="8" s="1"/>
  <c r="I28" i="8"/>
  <c r="G28" i="8"/>
  <c r="J28" i="8"/>
  <c r="D28" i="8"/>
  <c r="N28" i="8"/>
  <c r="L233" i="8"/>
  <c r="F233" i="8"/>
  <c r="E233" i="8"/>
  <c r="AE233" i="8"/>
  <c r="H260" i="8"/>
  <c r="N260" i="8"/>
  <c r="P260" i="8"/>
  <c r="J260" i="8"/>
  <c r="M260" i="8"/>
  <c r="L38" i="8"/>
  <c r="H38" i="8"/>
  <c r="G38" i="8"/>
  <c r="F38" i="8"/>
  <c r="Z136" i="8"/>
  <c r="S241" i="8"/>
  <c r="AE241" i="8"/>
  <c r="P241" i="8"/>
  <c r="F241" i="8"/>
  <c r="S256" i="8"/>
  <c r="I256" i="8"/>
  <c r="F256" i="8"/>
  <c r="E256" i="8"/>
  <c r="D256" i="8"/>
  <c r="O45" i="8"/>
  <c r="N45" i="8"/>
  <c r="H45" i="8"/>
  <c r="S45" i="8"/>
  <c r="L220" i="8"/>
  <c r="M220" i="8"/>
  <c r="D220" i="8"/>
  <c r="G220" i="8"/>
  <c r="R274" i="8"/>
  <c r="Z274" i="8" s="1"/>
  <c r="J274" i="8"/>
  <c r="D274" i="8"/>
  <c r="K274" i="8"/>
  <c r="P79" i="8"/>
  <c r="M79" i="8"/>
  <c r="F79" i="8"/>
  <c r="N79" i="8"/>
  <c r="Q87" i="8"/>
  <c r="N87" i="8"/>
  <c r="L87" i="8"/>
  <c r="M87" i="8"/>
  <c r="S110" i="8"/>
  <c r="Z308" i="8"/>
  <c r="M232" i="8"/>
  <c r="G232" i="8"/>
  <c r="O281" i="8"/>
  <c r="M281" i="8"/>
  <c r="R281" i="8"/>
  <c r="Z281" i="8" s="1"/>
  <c r="L265" i="8"/>
  <c r="R265" i="8"/>
  <c r="Z265" i="8" s="1"/>
  <c r="K265" i="8"/>
  <c r="S21" i="8"/>
  <c r="G106" i="8"/>
  <c r="K106" i="8"/>
  <c r="L106" i="8"/>
  <c r="Z41" i="8"/>
  <c r="H185" i="8"/>
  <c r="J185" i="8"/>
  <c r="Q185" i="8"/>
  <c r="S185" i="8"/>
  <c r="E80" i="8"/>
  <c r="I80" i="8"/>
  <c r="F80" i="8"/>
  <c r="E64" i="8"/>
  <c r="O64" i="8"/>
  <c r="K297" i="8"/>
  <c r="Q297" i="8"/>
  <c r="E98" i="8"/>
  <c r="P247" i="8"/>
  <c r="O18" i="8"/>
  <c r="K64" i="8"/>
  <c r="H64" i="8"/>
  <c r="L64" i="8"/>
  <c r="AE64" i="8"/>
  <c r="D265" i="8"/>
  <c r="AE265" i="8"/>
  <c r="P265" i="8"/>
  <c r="H265" i="8"/>
  <c r="S297" i="8"/>
  <c r="I297" i="8"/>
  <c r="J297" i="8"/>
  <c r="E297" i="8"/>
  <c r="F297" i="8"/>
  <c r="G130" i="8"/>
  <c r="N130" i="8"/>
  <c r="P130" i="8"/>
  <c r="D130" i="8"/>
  <c r="E130" i="8"/>
  <c r="L130" i="8"/>
  <c r="S130" i="8"/>
  <c r="M130" i="8"/>
  <c r="AE130" i="8"/>
  <c r="O130" i="8"/>
  <c r="H130" i="8"/>
  <c r="K130" i="8"/>
  <c r="O205" i="8"/>
  <c r="L205" i="8"/>
  <c r="AE205" i="8"/>
  <c r="M205" i="8"/>
  <c r="Q205" i="8"/>
  <c r="N205" i="8"/>
  <c r="G205" i="8"/>
  <c r="K205" i="8"/>
  <c r="R205" i="8"/>
  <c r="Z205" i="8" s="1"/>
  <c r="H205" i="8"/>
  <c r="E205" i="8"/>
  <c r="D205" i="8"/>
  <c r="F253" i="8"/>
  <c r="I253" i="8"/>
  <c r="Q253" i="8"/>
  <c r="L253" i="8"/>
  <c r="N253" i="8"/>
  <c r="D253" i="8"/>
  <c r="J253" i="8"/>
  <c r="K253" i="8"/>
  <c r="G253" i="8"/>
  <c r="P253" i="8"/>
  <c r="AE253" i="8"/>
  <c r="M253" i="8"/>
  <c r="H253" i="8"/>
  <c r="S232" i="8"/>
  <c r="N232" i="8"/>
  <c r="P232" i="8"/>
  <c r="E232" i="8"/>
  <c r="G129" i="8"/>
  <c r="P129" i="8"/>
  <c r="Q129" i="8"/>
  <c r="I129" i="8"/>
  <c r="O129" i="8"/>
  <c r="AE129" i="8"/>
  <c r="H129" i="8"/>
  <c r="J129" i="8"/>
  <c r="M129" i="8"/>
  <c r="E129" i="8"/>
  <c r="D129" i="8"/>
  <c r="N129" i="8"/>
  <c r="R124" i="8"/>
  <c r="Z124" i="8" s="1"/>
  <c r="M124" i="8"/>
  <c r="N124" i="8"/>
  <c r="K124" i="8"/>
  <c r="E124" i="8"/>
  <c r="G124" i="8"/>
  <c r="D124" i="8"/>
  <c r="P124" i="8"/>
  <c r="J124" i="8"/>
  <c r="H124" i="8"/>
  <c r="S124" i="8"/>
  <c r="L124" i="8"/>
  <c r="I124" i="8"/>
  <c r="AE145" i="8"/>
  <c r="J145" i="8"/>
  <c r="O145" i="8"/>
  <c r="I145" i="8"/>
  <c r="M145" i="8"/>
  <c r="S145" i="8"/>
  <c r="E145" i="8"/>
  <c r="N145" i="8"/>
  <c r="H145" i="8"/>
  <c r="P145" i="8"/>
  <c r="D145" i="8"/>
  <c r="L145" i="8"/>
  <c r="J25" i="8"/>
  <c r="I25" i="8"/>
  <c r="D25" i="8"/>
  <c r="F25" i="8"/>
  <c r="P25" i="8"/>
  <c r="S25" i="8"/>
  <c r="AE25" i="8"/>
  <c r="Q25" i="8"/>
  <c r="E25" i="8"/>
  <c r="M25" i="8"/>
  <c r="L25" i="8"/>
  <c r="R25" i="8"/>
  <c r="Z25" i="8" s="1"/>
  <c r="F16" i="8"/>
  <c r="I16" i="8"/>
  <c r="N16" i="8"/>
  <c r="D16" i="8"/>
  <c r="J42" i="8"/>
  <c r="M42" i="8"/>
  <c r="L42" i="8"/>
  <c r="Q42" i="8"/>
  <c r="E110" i="8"/>
  <c r="P110" i="8"/>
  <c r="M110" i="8"/>
  <c r="H110" i="8"/>
  <c r="H213" i="8"/>
  <c r="I213" i="8"/>
  <c r="R213" i="8"/>
  <c r="Z213" i="8" s="1"/>
  <c r="F213" i="8"/>
  <c r="F67" i="8"/>
  <c r="D67" i="8"/>
  <c r="Q67" i="8"/>
  <c r="S67" i="8"/>
  <c r="O167" i="8"/>
  <c r="AE167" i="8"/>
  <c r="G167" i="8"/>
  <c r="F167" i="8"/>
  <c r="Z239" i="8"/>
  <c r="L16" i="8"/>
  <c r="G16" i="8"/>
  <c r="E16" i="8"/>
  <c r="O42" i="8"/>
  <c r="P42" i="8"/>
  <c r="D42" i="8"/>
  <c r="F110" i="8"/>
  <c r="N110" i="8"/>
  <c r="J110" i="8"/>
  <c r="E213" i="8"/>
  <c r="D213" i="8"/>
  <c r="K213" i="8"/>
  <c r="P213" i="8"/>
  <c r="S23" i="8"/>
  <c r="O67" i="8"/>
  <c r="G67" i="8"/>
  <c r="J67" i="8"/>
  <c r="K67" i="8"/>
  <c r="P167" i="8"/>
  <c r="N167" i="8"/>
  <c r="J167" i="8"/>
  <c r="G176" i="8"/>
  <c r="R176" i="8"/>
  <c r="Z176" i="8" s="1"/>
  <c r="O176" i="8"/>
  <c r="AE138" i="8"/>
  <c r="L138" i="8"/>
  <c r="D138" i="8"/>
  <c r="E138" i="8"/>
  <c r="H28" i="8"/>
  <c r="E28" i="8"/>
  <c r="M28" i="8"/>
  <c r="D233" i="8"/>
  <c r="O233" i="8"/>
  <c r="Q233" i="8"/>
  <c r="E260" i="8"/>
  <c r="AE260" i="8"/>
  <c r="G260" i="8"/>
  <c r="J38" i="8"/>
  <c r="Q38" i="8"/>
  <c r="D38" i="8"/>
  <c r="M241" i="8"/>
  <c r="L241" i="8"/>
  <c r="H241" i="8"/>
  <c r="K256" i="8"/>
  <c r="N256" i="8"/>
  <c r="M256" i="8"/>
  <c r="M45" i="8"/>
  <c r="R45" i="8"/>
  <c r="Z45" i="8" s="1"/>
  <c r="Q45" i="8"/>
  <c r="N220" i="8"/>
  <c r="R220" i="8"/>
  <c r="Z220" i="8" s="1"/>
  <c r="F220" i="8"/>
  <c r="AE220" i="8"/>
  <c r="N274" i="8"/>
  <c r="O274" i="8"/>
  <c r="S274" i="8"/>
  <c r="D79" i="8"/>
  <c r="L79" i="8"/>
  <c r="R79" i="8"/>
  <c r="Z79" i="8" s="1"/>
  <c r="K79" i="8"/>
  <c r="O87" i="8"/>
  <c r="P87" i="8"/>
  <c r="R87" i="8"/>
  <c r="Z87" i="8" s="1"/>
  <c r="F232" i="8"/>
  <c r="Q232" i="8"/>
  <c r="L232" i="8"/>
  <c r="R232" i="8"/>
  <c r="Z232" i="8" s="1"/>
  <c r="P281" i="8"/>
  <c r="I281" i="8"/>
  <c r="F281" i="8"/>
  <c r="Z292" i="8"/>
  <c r="M265" i="8"/>
  <c r="S265" i="8"/>
  <c r="O265" i="8"/>
  <c r="P106" i="8"/>
  <c r="F106" i="8"/>
  <c r="M106" i="8"/>
  <c r="E106" i="8"/>
  <c r="O185" i="8"/>
  <c r="K185" i="8"/>
  <c r="I185" i="8"/>
  <c r="Z93" i="8"/>
  <c r="N80" i="8"/>
  <c r="H80" i="8"/>
  <c r="M80" i="8"/>
  <c r="Z137" i="8"/>
  <c r="P64" i="8"/>
  <c r="N64" i="8"/>
  <c r="J64" i="8"/>
  <c r="G297" i="8"/>
  <c r="L297" i="8"/>
  <c r="R297" i="8"/>
  <c r="Z297" i="8" s="1"/>
  <c r="Z180" i="8"/>
  <c r="Q124" i="8"/>
  <c r="AE98" i="8"/>
  <c r="I205" i="8"/>
  <c r="E253" i="8"/>
  <c r="Q145" i="8"/>
  <c r="J247" i="8"/>
  <c r="G25" i="8"/>
  <c r="R130" i="8"/>
  <c r="Z130" i="8" s="1"/>
  <c r="L129" i="8"/>
  <c r="Z101" i="8"/>
  <c r="H15" i="8"/>
  <c r="M15" i="8"/>
  <c r="D13" i="11"/>
  <c r="Z127" i="8"/>
  <c r="S205" i="8"/>
  <c r="S247" i="8"/>
  <c r="S128" i="8"/>
  <c r="Z88" i="8"/>
  <c r="Q174" i="8"/>
  <c r="D174" i="8"/>
  <c r="N174" i="8"/>
  <c r="K174" i="8"/>
  <c r="M174" i="8"/>
  <c r="E46" i="8"/>
  <c r="D46" i="8"/>
  <c r="R46" i="8"/>
  <c r="Z46" i="8" s="1"/>
  <c r="L46" i="8"/>
  <c r="S46" i="8"/>
  <c r="I46" i="8"/>
  <c r="N46" i="8"/>
  <c r="P46" i="8"/>
  <c r="Q46" i="8"/>
  <c r="H46" i="8"/>
  <c r="K46" i="8"/>
  <c r="AE46" i="8"/>
  <c r="M46" i="8"/>
  <c r="AB172" i="8"/>
  <c r="J285" i="8"/>
  <c r="P285" i="8"/>
  <c r="S285" i="8"/>
  <c r="D285" i="8"/>
  <c r="N285" i="8"/>
  <c r="O285" i="8"/>
  <c r="H285" i="8"/>
  <c r="K285" i="8"/>
  <c r="F285" i="8"/>
  <c r="I285" i="8"/>
  <c r="E285" i="8"/>
  <c r="M285" i="8"/>
  <c r="G285" i="8"/>
  <c r="A10" i="8"/>
  <c r="F169" i="8"/>
  <c r="H169" i="8"/>
  <c r="AE169" i="8"/>
  <c r="G169" i="8"/>
  <c r="D169" i="8"/>
  <c r="Q91" i="8"/>
  <c r="F91" i="8"/>
  <c r="H91" i="8"/>
  <c r="M91" i="8"/>
  <c r="I91" i="8"/>
  <c r="R91" i="8"/>
  <c r="Z91" i="8" s="1"/>
  <c r="O91" i="8"/>
  <c r="P91" i="8"/>
  <c r="N91" i="8"/>
  <c r="G91" i="8"/>
  <c r="D91" i="8"/>
  <c r="E91" i="8"/>
  <c r="AE111" i="8"/>
  <c r="E111" i="8"/>
  <c r="F111" i="8"/>
  <c r="P111" i="8"/>
  <c r="D111" i="8"/>
  <c r="N111" i="8"/>
  <c r="O111" i="8"/>
  <c r="R111" i="8"/>
  <c r="Z111" i="8" s="1"/>
  <c r="M111" i="8"/>
  <c r="J111" i="8"/>
  <c r="L111" i="8"/>
  <c r="I111" i="8"/>
  <c r="J244" i="8"/>
  <c r="N244" i="8"/>
  <c r="L244" i="8"/>
  <c r="R244" i="8"/>
  <c r="Z244" i="8" s="1"/>
  <c r="AE170" i="8"/>
  <c r="I170" i="8"/>
  <c r="Q170" i="8"/>
  <c r="S170" i="8"/>
  <c r="D149" i="8"/>
  <c r="N149" i="8"/>
  <c r="Q149" i="8"/>
  <c r="F149" i="8"/>
  <c r="O218" i="8"/>
  <c r="I218" i="8"/>
  <c r="F218" i="8"/>
  <c r="S218" i="8"/>
  <c r="D115" i="8"/>
  <c r="L115" i="8"/>
  <c r="M115" i="8"/>
  <c r="N115" i="8"/>
  <c r="S115" i="8"/>
  <c r="AE164" i="8"/>
  <c r="I164" i="8"/>
  <c r="P164" i="8"/>
  <c r="J164" i="8"/>
  <c r="G164" i="8"/>
  <c r="R164" i="8"/>
  <c r="Z164" i="8" s="1"/>
  <c r="S164" i="8"/>
  <c r="O164" i="8"/>
  <c r="Q164" i="8"/>
  <c r="K164" i="8"/>
  <c r="E164" i="8"/>
  <c r="H164" i="8"/>
  <c r="N164" i="8"/>
  <c r="S56" i="8"/>
  <c r="J56" i="8"/>
  <c r="AE56" i="8"/>
  <c r="L56" i="8"/>
  <c r="P56" i="8"/>
  <c r="F59" i="8"/>
  <c r="O59" i="8"/>
  <c r="G59" i="8"/>
  <c r="D59" i="8"/>
  <c r="Q59" i="8"/>
  <c r="AE59" i="8"/>
  <c r="K59" i="8"/>
  <c r="H59" i="8"/>
  <c r="R59" i="8"/>
  <c r="Z59" i="8" s="1"/>
  <c r="N59" i="8"/>
  <c r="M59" i="8"/>
  <c r="I59" i="8"/>
  <c r="J59" i="8"/>
  <c r="P59" i="8"/>
  <c r="L59" i="8"/>
  <c r="E59" i="8"/>
  <c r="S59" i="8"/>
  <c r="AE52" i="8"/>
  <c r="O52" i="8"/>
  <c r="F52" i="8"/>
  <c r="Q52" i="8"/>
  <c r="E52" i="8"/>
  <c r="J52" i="8"/>
  <c r="D52" i="8"/>
  <c r="G52" i="8"/>
  <c r="I52" i="8"/>
  <c r="M52" i="8"/>
  <c r="L52" i="8"/>
  <c r="R52" i="8"/>
  <c r="Z52" i="8" s="1"/>
  <c r="L285" i="8"/>
  <c r="Q111" i="8"/>
  <c r="L91" i="8"/>
  <c r="F46" i="8"/>
  <c r="R285" i="8"/>
  <c r="Z285" i="8" s="1"/>
  <c r="S111" i="8"/>
  <c r="H111" i="8"/>
  <c r="J91" i="8"/>
  <c r="G46" i="8"/>
  <c r="Z306" i="8"/>
  <c r="Z120" i="8"/>
  <c r="Z86" i="8"/>
  <c r="Z250" i="8"/>
  <c r="E15" i="8"/>
  <c r="D15" i="8"/>
  <c r="M104" i="8"/>
  <c r="N104" i="8"/>
  <c r="F104" i="8"/>
  <c r="R104" i="8"/>
  <c r="Z104" i="8" s="1"/>
  <c r="S26" i="8"/>
  <c r="F168" i="8"/>
  <c r="G168" i="8"/>
  <c r="O168" i="8"/>
  <c r="N168" i="8"/>
  <c r="J168" i="8"/>
  <c r="M168" i="8"/>
  <c r="S168" i="8"/>
  <c r="K168" i="8"/>
  <c r="P168" i="8"/>
  <c r="AE168" i="8"/>
  <c r="P150" i="8"/>
  <c r="D150" i="8"/>
  <c r="R150" i="8"/>
  <c r="Z150" i="8" s="1"/>
  <c r="L150" i="8"/>
  <c r="H150" i="8"/>
  <c r="G150" i="8"/>
  <c r="I150" i="8"/>
  <c r="J150" i="8"/>
  <c r="M150" i="8"/>
  <c r="E150" i="8"/>
  <c r="Q150" i="8"/>
  <c r="F150" i="8"/>
  <c r="AE150" i="8"/>
  <c r="O150" i="8"/>
  <c r="K150" i="8"/>
  <c r="N150" i="8"/>
  <c r="C13" i="11"/>
  <c r="S150" i="8"/>
  <c r="I72" i="8"/>
  <c r="N72" i="8"/>
  <c r="P72" i="8"/>
  <c r="E72" i="8"/>
  <c r="M72" i="8"/>
  <c r="F72" i="8"/>
  <c r="J72" i="8"/>
  <c r="H72" i="8"/>
  <c r="Q72" i="8"/>
  <c r="G72" i="8"/>
  <c r="O72" i="8"/>
  <c r="D72" i="8"/>
  <c r="L72" i="8"/>
  <c r="R72" i="8"/>
  <c r="Z72" i="8" s="1"/>
  <c r="AE72" i="8"/>
  <c r="K72" i="8"/>
  <c r="E13" i="11"/>
  <c r="S72" i="8"/>
  <c r="C33" i="12"/>
  <c r="Q84" i="2"/>
  <c r="U92" i="2"/>
  <c r="R90" i="2"/>
  <c r="Q91" i="2"/>
  <c r="T89" i="2"/>
  <c r="R85" i="2"/>
  <c r="Q86" i="2"/>
  <c r="Q87" i="2"/>
  <c r="T85" i="2"/>
  <c r="R87" i="2"/>
  <c r="T86" i="2"/>
  <c r="T88" i="2"/>
  <c r="O94" i="2"/>
  <c r="N95" i="2"/>
  <c r="P94" i="2"/>
  <c r="U85" i="2"/>
  <c r="R84" i="2"/>
  <c r="U89" i="2"/>
  <c r="U84" i="2"/>
  <c r="S84" i="2"/>
  <c r="AQ19" i="5"/>
  <c r="AR22" i="5"/>
  <c r="AQ12" i="5"/>
  <c r="AR15" i="5"/>
  <c r="AR19" i="5"/>
  <c r="AQ13" i="5"/>
  <c r="AR13" i="5"/>
  <c r="AQ15" i="5"/>
  <c r="AQ14" i="5"/>
  <c r="AQ21" i="5"/>
  <c r="T76" i="2"/>
  <c r="AQ18" i="5"/>
  <c r="AR21" i="5"/>
  <c r="AR16" i="5"/>
  <c r="AR20" i="5"/>
  <c r="AR18" i="5"/>
  <c r="AQ22" i="5"/>
  <c r="AR17" i="5"/>
  <c r="AR14" i="5"/>
  <c r="AQ16" i="5"/>
  <c r="AQ20" i="5"/>
  <c r="AR12" i="5"/>
  <c r="U76" i="2"/>
  <c r="T78" i="2"/>
  <c r="T80" i="2"/>
  <c r="U78" i="2"/>
  <c r="T77" i="2"/>
  <c r="U77" i="2"/>
  <c r="T79" i="2"/>
  <c r="AQ19" i="7"/>
  <c r="T81" i="2"/>
  <c r="U79" i="2"/>
  <c r="AP26" i="7"/>
  <c r="U80" i="2"/>
  <c r="AQ22" i="7"/>
  <c r="AP23" i="7"/>
  <c r="AP19" i="7"/>
  <c r="AP22" i="7"/>
  <c r="AQ24" i="7"/>
  <c r="AQ26" i="7"/>
  <c r="R82" i="2"/>
  <c r="U81" i="2"/>
  <c r="AP20" i="7"/>
  <c r="T82" i="2"/>
  <c r="AP16" i="7"/>
  <c r="U82" i="2"/>
  <c r="AP18" i="7"/>
  <c r="AQ20" i="7"/>
  <c r="AQ23" i="7"/>
  <c r="AQ17" i="7"/>
  <c r="Q81" i="2"/>
  <c r="AP25" i="7"/>
  <c r="R81" i="2"/>
  <c r="AQ18" i="7"/>
  <c r="T83" i="2"/>
  <c r="S81" i="2"/>
  <c r="AP24" i="7"/>
  <c r="Q83" i="2"/>
  <c r="U83" i="2"/>
  <c r="AP17" i="7"/>
  <c r="R83" i="2"/>
  <c r="S82" i="2"/>
  <c r="U86" i="2"/>
  <c r="S83" i="2"/>
  <c r="AQ25" i="7"/>
  <c r="Q82" i="2"/>
  <c r="AQ16" i="7"/>
  <c r="U90" i="2"/>
  <c r="S88" i="2"/>
  <c r="R86" i="2"/>
  <c r="S85" i="2"/>
  <c r="U87" i="2"/>
  <c r="U88" i="2"/>
  <c r="Q92" i="2"/>
  <c r="T91" i="2"/>
  <c r="S91" i="2"/>
  <c r="S86" i="2"/>
  <c r="R92" i="2"/>
  <c r="R91" i="2"/>
  <c r="Y93" i="2"/>
  <c r="T93" i="2" s="1"/>
  <c r="W93" i="2"/>
  <c r="R93" i="2" s="1"/>
  <c r="Z93" i="2"/>
  <c r="U93" i="2" s="1"/>
  <c r="X93" i="2"/>
  <c r="S93" i="2" s="1"/>
  <c r="V93" i="2"/>
  <c r="Q93" i="2" s="1"/>
  <c r="Q90" i="2"/>
  <c r="U91" i="2"/>
  <c r="Q88" i="2"/>
  <c r="T84" i="2"/>
  <c r="Q85" i="2"/>
  <c r="S89" i="2"/>
  <c r="T87" i="2"/>
  <c r="Q89" i="2"/>
  <c r="R89" i="2"/>
  <c r="A33" i="12"/>
  <c r="E8" i="11" l="1"/>
  <c r="C34" i="12"/>
  <c r="BE20" i="5"/>
  <c r="BF20" i="5" s="1"/>
  <c r="BG20" i="5" s="1"/>
  <c r="AR20" i="7"/>
  <c r="BN20" i="7" s="1"/>
  <c r="AR18" i="7"/>
  <c r="AR19" i="7"/>
  <c r="AA16" i="6" s="1"/>
  <c r="AR26" i="7"/>
  <c r="BN26" i="7" s="1"/>
  <c r="Y94" i="2"/>
  <c r="T94" i="2" s="1"/>
  <c r="W94" i="2"/>
  <c r="R94" i="2" s="1"/>
  <c r="Z94" i="2"/>
  <c r="U94" i="2" s="1"/>
  <c r="X94" i="2"/>
  <c r="S94" i="2" s="1"/>
  <c r="V94" i="2"/>
  <c r="Q94" i="2" s="1"/>
  <c r="AR24" i="7"/>
  <c r="AR16" i="7"/>
  <c r="BN16" i="7" s="1"/>
  <c r="BO16" i="7" s="1"/>
  <c r="AR17" i="7"/>
  <c r="AR25" i="7"/>
  <c r="AR23" i="7"/>
  <c r="AS16" i="5"/>
  <c r="AT16" i="5" s="1"/>
  <c r="AU16" i="5" s="1"/>
  <c r="AC16" i="5" s="1"/>
  <c r="BE16" i="5"/>
  <c r="BF16" i="5" s="1"/>
  <c r="BG16" i="5" s="1"/>
  <c r="AS18" i="5"/>
  <c r="AT18" i="5" s="1"/>
  <c r="AU18" i="5" s="1"/>
  <c r="AC18" i="5" s="1"/>
  <c r="BE18" i="5"/>
  <c r="BF18" i="5" s="1"/>
  <c r="BG18" i="5" s="1"/>
  <c r="AS15" i="5"/>
  <c r="AT15" i="5" s="1"/>
  <c r="AU15" i="5" s="1"/>
  <c r="AC15" i="5" s="1"/>
  <c r="BE15" i="5"/>
  <c r="BF15" i="5" s="1"/>
  <c r="BG15" i="5" s="1"/>
  <c r="AS12" i="5"/>
  <c r="AT12" i="5" s="1"/>
  <c r="AU12" i="5" s="1"/>
  <c r="AC12" i="5" s="1"/>
  <c r="BE12" i="5"/>
  <c r="BF12" i="5" s="1"/>
  <c r="BG12" i="5" s="1"/>
  <c r="AR22" i="7"/>
  <c r="AS17" i="5"/>
  <c r="AT17" i="5" s="1"/>
  <c r="AU17" i="5" s="1"/>
  <c r="BE17" i="5"/>
  <c r="BF17" i="5" s="1"/>
  <c r="BG17" i="5" s="1"/>
  <c r="BE21" i="5"/>
  <c r="BF21" i="5" s="1"/>
  <c r="BG21" i="5" s="1"/>
  <c r="AS21" i="5"/>
  <c r="AT21" i="5" s="1"/>
  <c r="AU21" i="5" s="1"/>
  <c r="AC21" i="5" s="1"/>
  <c r="AS13" i="5"/>
  <c r="AT13" i="5" s="1"/>
  <c r="AU13" i="5" s="1"/>
  <c r="BE13" i="5"/>
  <c r="BF13" i="5" s="1"/>
  <c r="BG13" i="5" s="1"/>
  <c r="O95" i="2"/>
  <c r="N96" i="2"/>
  <c r="P95" i="2"/>
  <c r="AS20" i="5"/>
  <c r="AT20" i="5" s="1"/>
  <c r="AU20" i="5" s="1"/>
  <c r="AC20" i="5" s="1"/>
  <c r="AS22" i="5"/>
  <c r="AT22" i="5" s="1"/>
  <c r="AU22" i="5" s="1"/>
  <c r="BE22" i="5"/>
  <c r="BF22" i="5" s="1"/>
  <c r="BG22" i="5" s="1"/>
  <c r="AS14" i="5"/>
  <c r="AT14" i="5" s="1"/>
  <c r="AU14" i="5" s="1"/>
  <c r="BE14" i="5"/>
  <c r="BF14" i="5" s="1"/>
  <c r="BG14" i="5" s="1"/>
  <c r="AS19" i="5"/>
  <c r="AT19" i="5" s="1"/>
  <c r="AU19" i="5" s="1"/>
  <c r="BE19" i="5"/>
  <c r="BF19" i="5" s="1"/>
  <c r="BG19" i="5" s="1"/>
  <c r="AC19" i="5" s="1"/>
  <c r="A34" i="12"/>
  <c r="B34" i="12"/>
  <c r="BH12" i="5" l="1"/>
  <c r="BP16" i="7"/>
  <c r="C35" i="12"/>
  <c r="BN18" i="7"/>
  <c r="BO18" i="7" s="1"/>
  <c r="BP18" i="7" s="1"/>
  <c r="AA17" i="6"/>
  <c r="AA23" i="6"/>
  <c r="AS20" i="7"/>
  <c r="AB17" i="6" s="1"/>
  <c r="BO20" i="7"/>
  <c r="BO26" i="7"/>
  <c r="AS18" i="7"/>
  <c r="BN19" i="7"/>
  <c r="BO19" i="7" s="1"/>
  <c r="BP19" i="7" s="1"/>
  <c r="AA15" i="6"/>
  <c r="AS19" i="7"/>
  <c r="AB16" i="6" s="1"/>
  <c r="AS26" i="7"/>
  <c r="J23" i="8" s="1"/>
  <c r="X20" i="5"/>
  <c r="AE20" i="5"/>
  <c r="AD20" i="5"/>
  <c r="AG20" i="5"/>
  <c r="AI20" i="5" s="1"/>
  <c r="AJ20" i="5" s="1"/>
  <c r="AF20" i="5"/>
  <c r="J21" i="6"/>
  <c r="L24" i="7" s="1"/>
  <c r="AC14" i="5"/>
  <c r="Z95" i="2"/>
  <c r="U95" i="2" s="1"/>
  <c r="V95" i="2"/>
  <c r="Q95" i="2" s="1"/>
  <c r="Y95" i="2"/>
  <c r="T95" i="2" s="1"/>
  <c r="X95" i="2"/>
  <c r="S95" i="2" s="1"/>
  <c r="W95" i="2"/>
  <c r="R95" i="2" s="1"/>
  <c r="AC13" i="5"/>
  <c r="AC17" i="5"/>
  <c r="AS17" i="7"/>
  <c r="AA14" i="6"/>
  <c r="BN17" i="7"/>
  <c r="P13" i="8" s="1"/>
  <c r="J22" i="6"/>
  <c r="L25" i="7" s="1"/>
  <c r="AF21" i="5"/>
  <c r="AE21" i="5"/>
  <c r="AG21" i="5"/>
  <c r="AI21" i="5" s="1"/>
  <c r="AJ21" i="5" s="1"/>
  <c r="AD21" i="5"/>
  <c r="X21" i="5"/>
  <c r="AD15" i="5"/>
  <c r="AE15" i="5"/>
  <c r="AG15" i="5"/>
  <c r="AI15" i="5" s="1"/>
  <c r="AJ15" i="5" s="1"/>
  <c r="AF15" i="5"/>
  <c r="X15" i="5"/>
  <c r="J16" i="6"/>
  <c r="L19" i="7" s="1"/>
  <c r="AG16" i="5"/>
  <c r="AI16" i="5" s="1"/>
  <c r="AJ16" i="5" s="1"/>
  <c r="AD16" i="5"/>
  <c r="AE16" i="5"/>
  <c r="AF16" i="5"/>
  <c r="X16" i="5"/>
  <c r="J17" i="6"/>
  <c r="L20" i="7" s="1"/>
  <c r="AC22" i="5"/>
  <c r="AA20" i="6"/>
  <c r="AS23" i="7"/>
  <c r="J20" i="8" s="1"/>
  <c r="BN23" i="7"/>
  <c r="P19" i="8" s="1"/>
  <c r="AA21" i="6"/>
  <c r="AS24" i="7"/>
  <c r="J21" i="8" s="1"/>
  <c r="BN24" i="7"/>
  <c r="AF19" i="5"/>
  <c r="AD19" i="5"/>
  <c r="AG19" i="5"/>
  <c r="AI19" i="5" s="1"/>
  <c r="AJ19" i="5" s="1"/>
  <c r="AE19" i="5"/>
  <c r="X19" i="5"/>
  <c r="J20" i="6"/>
  <c r="L23" i="7" s="1"/>
  <c r="N97" i="2"/>
  <c r="P96" i="2"/>
  <c r="O96" i="2"/>
  <c r="AS22" i="7"/>
  <c r="AA19" i="6"/>
  <c r="BN22" i="7"/>
  <c r="P15" i="8" s="1"/>
  <c r="AA13" i="6"/>
  <c r="AT16" i="7"/>
  <c r="AS16" i="7"/>
  <c r="AG12" i="5"/>
  <c r="AI12" i="5" s="1"/>
  <c r="AJ12" i="5" s="1"/>
  <c r="AE12" i="5"/>
  <c r="AD12" i="5"/>
  <c r="AF12" i="5"/>
  <c r="X12" i="5"/>
  <c r="J13" i="6"/>
  <c r="L16" i="7" s="1"/>
  <c r="AE18" i="5"/>
  <c r="AG18" i="5"/>
  <c r="AI18" i="5" s="1"/>
  <c r="AJ18" i="5" s="1"/>
  <c r="AD18" i="5"/>
  <c r="X18" i="5"/>
  <c r="J19" i="6"/>
  <c r="L22" i="7" s="1"/>
  <c r="AF18" i="5"/>
  <c r="AS25" i="7"/>
  <c r="AA22" i="6"/>
  <c r="BN25" i="7"/>
  <c r="BO25" i="7" s="1"/>
  <c r="B35" i="12"/>
  <c r="A35" i="12"/>
  <c r="AB22" i="6" l="1"/>
  <c r="J22" i="8"/>
  <c r="C36" i="12"/>
  <c r="BH14" i="5"/>
  <c r="BH15" i="5"/>
  <c r="AT20" i="7"/>
  <c r="AC17" i="6" s="1"/>
  <c r="J15" i="8"/>
  <c r="BH16" i="5"/>
  <c r="BP20" i="7"/>
  <c r="BO17" i="7"/>
  <c r="Q14" i="8" s="1"/>
  <c r="P14" i="8"/>
  <c r="AC13" i="6"/>
  <c r="AB19" i="6"/>
  <c r="J16" i="8"/>
  <c r="BH22" i="5"/>
  <c r="AT19" i="7"/>
  <c r="AC16" i="6" s="1"/>
  <c r="BO22" i="7"/>
  <c r="Q15" i="8" s="1"/>
  <c r="P16" i="8"/>
  <c r="BO24" i="7"/>
  <c r="Q18" i="8" s="1"/>
  <c r="P18" i="8"/>
  <c r="AB20" i="6"/>
  <c r="J17" i="8"/>
  <c r="BO23" i="7"/>
  <c r="Q17" i="8" s="1"/>
  <c r="P17" i="8"/>
  <c r="AB23" i="6"/>
  <c r="J19" i="8"/>
  <c r="AB13" i="6"/>
  <c r="J13" i="8"/>
  <c r="AB21" i="6"/>
  <c r="J18" i="8"/>
  <c r="BP26" i="7"/>
  <c r="AB14" i="6"/>
  <c r="J14" i="8"/>
  <c r="AT17" i="7"/>
  <c r="AT26" i="7"/>
  <c r="K23" i="8" s="1"/>
  <c r="AB15" i="6"/>
  <c r="AT18" i="7"/>
  <c r="AC15" i="6" s="1"/>
  <c r="AG14" i="5"/>
  <c r="AI14" i="5" s="1"/>
  <c r="AJ14" i="5" s="1"/>
  <c r="AE14" i="5"/>
  <c r="X14" i="5"/>
  <c r="AD14" i="5"/>
  <c r="AF14" i="5"/>
  <c r="J15" i="6"/>
  <c r="L18" i="7" s="1"/>
  <c r="AG13" i="5"/>
  <c r="AI13" i="5" s="1"/>
  <c r="AJ13" i="5" s="1"/>
  <c r="AD13" i="5"/>
  <c r="AE13" i="5"/>
  <c r="X13" i="5"/>
  <c r="AF13" i="5"/>
  <c r="J14" i="6"/>
  <c r="L17" i="7" s="1"/>
  <c r="AT25" i="7"/>
  <c r="AT22" i="7"/>
  <c r="V96" i="2"/>
  <c r="Q96" i="2" s="1"/>
  <c r="W96" i="2"/>
  <c r="R96" i="2" s="1"/>
  <c r="Y96" i="2"/>
  <c r="T96" i="2" s="1"/>
  <c r="X96" i="2"/>
  <c r="S96" i="2" s="1"/>
  <c r="Z96" i="2"/>
  <c r="U96" i="2" s="1"/>
  <c r="AT24" i="7"/>
  <c r="K21" i="8" s="1"/>
  <c r="AT23" i="7"/>
  <c r="K20" i="8" s="1"/>
  <c r="AD22" i="5"/>
  <c r="AG22" i="5"/>
  <c r="AI22" i="5" s="1"/>
  <c r="AJ22" i="5" s="1"/>
  <c r="AE22" i="5"/>
  <c r="X22" i="5"/>
  <c r="AF22" i="5"/>
  <c r="J23" i="6"/>
  <c r="L26" i="7" s="1"/>
  <c r="BH21" i="5"/>
  <c r="BP25" i="7"/>
  <c r="P97" i="2"/>
  <c r="O97" i="2"/>
  <c r="N98" i="2"/>
  <c r="X17" i="5"/>
  <c r="J18" i="6"/>
  <c r="L21" i="7" s="1"/>
  <c r="AE17" i="5"/>
  <c r="AF17" i="5"/>
  <c r="AD17" i="5"/>
  <c r="AG17" i="5"/>
  <c r="AI17" i="5" s="1"/>
  <c r="AJ17" i="5" s="1"/>
  <c r="B36" i="12"/>
  <c r="A36" i="12"/>
  <c r="Q13" i="8" l="1"/>
  <c r="AC22" i="6"/>
  <c r="K22" i="8"/>
  <c r="C37" i="12"/>
  <c r="K13" i="8"/>
  <c r="Q19" i="8"/>
  <c r="BP17" i="7"/>
  <c r="R14" i="8" s="1"/>
  <c r="S14" i="8" s="1"/>
  <c r="K15" i="8"/>
  <c r="BH19" i="5"/>
  <c r="BH20" i="5"/>
  <c r="BH13" i="5"/>
  <c r="BP24" i="7"/>
  <c r="R18" i="8" s="1"/>
  <c r="Z18" i="8" s="1"/>
  <c r="BT217" i="7"/>
  <c r="BP23" i="7"/>
  <c r="R17" i="8" s="1"/>
  <c r="S17" i="8" s="1"/>
  <c r="BT263" i="7"/>
  <c r="BT310" i="7"/>
  <c r="BT136" i="7"/>
  <c r="BT315" i="7"/>
  <c r="BT150" i="7"/>
  <c r="BT41" i="7"/>
  <c r="BT113" i="7"/>
  <c r="BT203" i="7"/>
  <c r="BT260" i="7"/>
  <c r="BT208" i="7"/>
  <c r="BT178" i="7"/>
  <c r="BT229" i="7"/>
  <c r="BT42" i="7"/>
  <c r="BT76" i="7"/>
  <c r="BT127" i="7"/>
  <c r="BT174" i="7"/>
  <c r="BT177" i="7"/>
  <c r="BT280" i="7"/>
  <c r="BT168" i="7"/>
  <c r="BT205" i="7"/>
  <c r="BT77" i="7"/>
  <c r="BT259" i="7"/>
  <c r="BT98" i="7"/>
  <c r="BT267" i="7"/>
  <c r="BT78" i="7"/>
  <c r="BT126" i="7"/>
  <c r="BT184" i="7"/>
  <c r="BT153" i="7"/>
  <c r="BT292" i="7"/>
  <c r="AC23" i="6"/>
  <c r="K19" i="8"/>
  <c r="Q16" i="8"/>
  <c r="BT282" i="7"/>
  <c r="BT189" i="7"/>
  <c r="BT88" i="7"/>
  <c r="BT288" i="7"/>
  <c r="BT243" i="7"/>
  <c r="BT254" i="7"/>
  <c r="BT297" i="7"/>
  <c r="BT144" i="7"/>
  <c r="BT30" i="7"/>
  <c r="BT244" i="7"/>
  <c r="BT43" i="7"/>
  <c r="BT25" i="7"/>
  <c r="BT234" i="7"/>
  <c r="BT61" i="7"/>
  <c r="BT146" i="7"/>
  <c r="BT300" i="7"/>
  <c r="BT120" i="7"/>
  <c r="BT211" i="7"/>
  <c r="BT19" i="7"/>
  <c r="BT175" i="7"/>
  <c r="BT114" i="7"/>
  <c r="BT290" i="7"/>
  <c r="BT283" i="7"/>
  <c r="BT140" i="7"/>
  <c r="BT31" i="7"/>
  <c r="BT56" i="7"/>
  <c r="BT58" i="7"/>
  <c r="BT121" i="7"/>
  <c r="BT84" i="7"/>
  <c r="BT204" i="7"/>
  <c r="BT223" i="7"/>
  <c r="BT224" i="7"/>
  <c r="BT245" i="7"/>
  <c r="BT112" i="7"/>
  <c r="BT70" i="7"/>
  <c r="BT221" i="7"/>
  <c r="BT246" i="7"/>
  <c r="BT233" i="7"/>
  <c r="BT291" i="7"/>
  <c r="BT172" i="7"/>
  <c r="BT253" i="7"/>
  <c r="BT256" i="7"/>
  <c r="BT235" i="7"/>
  <c r="BT149" i="7"/>
  <c r="BT299" i="7"/>
  <c r="BT109" i="7"/>
  <c r="BT214" i="7"/>
  <c r="BH18" i="5"/>
  <c r="BT115" i="7"/>
  <c r="BT138" i="7"/>
  <c r="BT212" i="7"/>
  <c r="BT237" i="7"/>
  <c r="BT28" i="7"/>
  <c r="BT48" i="7"/>
  <c r="BT215" i="7"/>
  <c r="BT232" i="7"/>
  <c r="BT27" i="7"/>
  <c r="BT118" i="7"/>
  <c r="BT29" i="7"/>
  <c r="BT130" i="7"/>
  <c r="BT55" i="7"/>
  <c r="BT268" i="7"/>
  <c r="BT183" i="7"/>
  <c r="BT210" i="7"/>
  <c r="BT165" i="7"/>
  <c r="BT91" i="7"/>
  <c r="BT133" i="7"/>
  <c r="BT152" i="7"/>
  <c r="BT171" i="7"/>
  <c r="BT39" i="7"/>
  <c r="BT227" i="7"/>
  <c r="BT74" i="7"/>
  <c r="BT86" i="7"/>
  <c r="BT230" i="7"/>
  <c r="BT287" i="7"/>
  <c r="BT166" i="7"/>
  <c r="BT239" i="7"/>
  <c r="BT99" i="7"/>
  <c r="BT96" i="7"/>
  <c r="BT32" i="7"/>
  <c r="BT75" i="7"/>
  <c r="BT262" i="7"/>
  <c r="BT279" i="7"/>
  <c r="BT87" i="7"/>
  <c r="BT180" i="7"/>
  <c r="BT122" i="7"/>
  <c r="BT169" i="7"/>
  <c r="BT62" i="7"/>
  <c r="BT95" i="7"/>
  <c r="BT187" i="7"/>
  <c r="BT240" i="7"/>
  <c r="BT295" i="7"/>
  <c r="BT147" i="7"/>
  <c r="BT226" i="7"/>
  <c r="BT157" i="7"/>
  <c r="BT188" i="7"/>
  <c r="BT37" i="7"/>
  <c r="BT72" i="7"/>
  <c r="BT191" i="7"/>
  <c r="BT216" i="7"/>
  <c r="BT65" i="7"/>
  <c r="BT231" i="7"/>
  <c r="BT218" i="7"/>
  <c r="BT116" i="7"/>
  <c r="BT303" i="7"/>
  <c r="BT26" i="7"/>
  <c r="BT222" i="7"/>
  <c r="BT220" i="7"/>
  <c r="BT248" i="7"/>
  <c r="BT69" i="7"/>
  <c r="BT301" i="7"/>
  <c r="BT163" i="7"/>
  <c r="BT255" i="7"/>
  <c r="BT21" i="7"/>
  <c r="BT270" i="7"/>
  <c r="BT38" i="7"/>
  <c r="BT148" i="7"/>
  <c r="BT50" i="7"/>
  <c r="BT265" i="7"/>
  <c r="BT186" i="7"/>
  <c r="BT33" i="7"/>
  <c r="BT250" i="7"/>
  <c r="BT312" i="7"/>
  <c r="BT53" i="7"/>
  <c r="BT249" i="7"/>
  <c r="BT101" i="7"/>
  <c r="BT57" i="7"/>
  <c r="BT179" i="7"/>
  <c r="BT298" i="7"/>
  <c r="BT94" i="7"/>
  <c r="BT158" i="7"/>
  <c r="BT106" i="7"/>
  <c r="BT49" i="7"/>
  <c r="BT197" i="7"/>
  <c r="BT66" i="7"/>
  <c r="BT276" i="7"/>
  <c r="BT35" i="7"/>
  <c r="BT141" i="7"/>
  <c r="BT145" i="7"/>
  <c r="BT137" i="7"/>
  <c r="BT54" i="7"/>
  <c r="BT40" i="7"/>
  <c r="BT261" i="7"/>
  <c r="BT252" i="7"/>
  <c r="BT135" i="7"/>
  <c r="BT46" i="7"/>
  <c r="BT213" i="7"/>
  <c r="BT132" i="7"/>
  <c r="BT219" i="7"/>
  <c r="BT309" i="7"/>
  <c r="BT278" i="7"/>
  <c r="BT192" i="7"/>
  <c r="BT225" i="7"/>
  <c r="BT59" i="7"/>
  <c r="BT269" i="7"/>
  <c r="BT285" i="7"/>
  <c r="BT314" i="7"/>
  <c r="BT143" i="7"/>
  <c r="BT207" i="7"/>
  <c r="BT173" i="7"/>
  <c r="BT105" i="7"/>
  <c r="BT272" i="7"/>
  <c r="BT286" i="7"/>
  <c r="BT275" i="7"/>
  <c r="BT110" i="7"/>
  <c r="BT90" i="7"/>
  <c r="BT16" i="7"/>
  <c r="BT20" i="7"/>
  <c r="BT170" i="7"/>
  <c r="BT81" i="7"/>
  <c r="BT52" i="7"/>
  <c r="BT257" i="7"/>
  <c r="BT17" i="7"/>
  <c r="BT193" i="7"/>
  <c r="BT60" i="7"/>
  <c r="BT71" i="7"/>
  <c r="BT302" i="7"/>
  <c r="BT124" i="7"/>
  <c r="BT162" i="7"/>
  <c r="BT47" i="7"/>
  <c r="BT238" i="7"/>
  <c r="BT198" i="7"/>
  <c r="BT92" i="7"/>
  <c r="BT123" i="7"/>
  <c r="BT264" i="7"/>
  <c r="BT63" i="7"/>
  <c r="BT306" i="7"/>
  <c r="BT83" i="7"/>
  <c r="BT289" i="7"/>
  <c r="BT247" i="7"/>
  <c r="BT196" i="7"/>
  <c r="BT241" i="7"/>
  <c r="BT159" i="7"/>
  <c r="BT294" i="7"/>
  <c r="BT100" i="7"/>
  <c r="BT308" i="7"/>
  <c r="BT79" i="7"/>
  <c r="BT82" i="7"/>
  <c r="BT167" i="7"/>
  <c r="BT131" i="7"/>
  <c r="BT89" i="7"/>
  <c r="BT51" i="7"/>
  <c r="BT85" i="7"/>
  <c r="BT228" i="7"/>
  <c r="BT119" i="7"/>
  <c r="BT296" i="7"/>
  <c r="BT242" i="7"/>
  <c r="BT104" i="7"/>
  <c r="BT194" i="7"/>
  <c r="BT67" i="7"/>
  <c r="BT93" i="7"/>
  <c r="BT111" i="7"/>
  <c r="BT107" i="7"/>
  <c r="BT103" i="7"/>
  <c r="BT64" i="7"/>
  <c r="BT151" i="7"/>
  <c r="BT202" i="7"/>
  <c r="BT125" i="7"/>
  <c r="BT236" i="7"/>
  <c r="BT68" i="7"/>
  <c r="BT156" i="7"/>
  <c r="BT200" i="7"/>
  <c r="BT281" i="7"/>
  <c r="BT22" i="7"/>
  <c r="BT271" i="7"/>
  <c r="BT128" i="7"/>
  <c r="BT44" i="7"/>
  <c r="BT305" i="7"/>
  <c r="BT73" i="7"/>
  <c r="BT181" i="7"/>
  <c r="BT45" i="7"/>
  <c r="BT206" i="7"/>
  <c r="BT273" i="7"/>
  <c r="BT307" i="7"/>
  <c r="BT258" i="7"/>
  <c r="BT182" i="7"/>
  <c r="BT251" i="7"/>
  <c r="BT284" i="7"/>
  <c r="BT195" i="7"/>
  <c r="BT160" i="7"/>
  <c r="BT155" i="7"/>
  <c r="BT23" i="7"/>
  <c r="BT161" i="7"/>
  <c r="BT185" i="7"/>
  <c r="BT277" i="7"/>
  <c r="BT209" i="7"/>
  <c r="BT164" i="7"/>
  <c r="BT24" i="7"/>
  <c r="AC21" i="6"/>
  <c r="K18" i="8"/>
  <c r="BP22" i="7"/>
  <c r="R16" i="8" s="1"/>
  <c r="BT176" i="7"/>
  <c r="BT199" i="7"/>
  <c r="BT266" i="7"/>
  <c r="BT190" i="7"/>
  <c r="BT108" i="7"/>
  <c r="BT313" i="7"/>
  <c r="BT311" i="7"/>
  <c r="BT36" i="7"/>
  <c r="BT134" i="7"/>
  <c r="BT129" i="7"/>
  <c r="BT102" i="7"/>
  <c r="BT97" i="7"/>
  <c r="BT80" i="7"/>
  <c r="BT201" i="7"/>
  <c r="BT274" i="7"/>
  <c r="BT117" i="7"/>
  <c r="BT293" i="7"/>
  <c r="BT142" i="7"/>
  <c r="BT304" i="7"/>
  <c r="BT139" i="7"/>
  <c r="BT154" i="7"/>
  <c r="BT34" i="7"/>
  <c r="BT18" i="7"/>
  <c r="AC20" i="6"/>
  <c r="K17" i="8"/>
  <c r="AC14" i="6"/>
  <c r="K14" i="8"/>
  <c r="AC19" i="6"/>
  <c r="K16" i="8"/>
  <c r="W97" i="2"/>
  <c r="R97" i="2" s="1"/>
  <c r="X97" i="2"/>
  <c r="S97" i="2" s="1"/>
  <c r="Z97" i="2"/>
  <c r="U97" i="2" s="1"/>
  <c r="Y97" i="2"/>
  <c r="T97" i="2" s="1"/>
  <c r="V97" i="2"/>
  <c r="Q97" i="2" s="1"/>
  <c r="N99" i="2"/>
  <c r="O98" i="2"/>
  <c r="P98" i="2"/>
  <c r="A37" i="12"/>
  <c r="B37" i="12"/>
  <c r="R13" i="8" l="1"/>
  <c r="S13" i="8" s="1"/>
  <c r="C38" i="12"/>
  <c r="C39" i="12" s="1"/>
  <c r="R15" i="8"/>
  <c r="R19" i="8"/>
  <c r="Z14" i="8"/>
  <c r="V279" i="5"/>
  <c r="S18" i="8"/>
  <c r="V259" i="5"/>
  <c r="V191" i="5"/>
  <c r="V290" i="5"/>
  <c r="V63" i="5"/>
  <c r="V232" i="5"/>
  <c r="V142" i="5"/>
  <c r="V29" i="5"/>
  <c r="V175" i="5"/>
  <c r="V146" i="5"/>
  <c r="V122" i="5"/>
  <c r="V148" i="5"/>
  <c r="V125" i="5"/>
  <c r="V255" i="5"/>
  <c r="Z17" i="8"/>
  <c r="V25" i="5"/>
  <c r="V224" i="5"/>
  <c r="V286" i="5"/>
  <c r="V39" i="5"/>
  <c r="V38" i="5"/>
  <c r="V118" i="5"/>
  <c r="V108" i="5"/>
  <c r="V78" i="5"/>
  <c r="V129" i="5"/>
  <c r="V304" i="5"/>
  <c r="V228" i="5"/>
  <c r="V235" i="5"/>
  <c r="V271" i="5"/>
  <c r="V211" i="5"/>
  <c r="V102" i="5"/>
  <c r="V307" i="5"/>
  <c r="V220" i="5"/>
  <c r="V186" i="5"/>
  <c r="V110" i="5"/>
  <c r="V185" i="5"/>
  <c r="V151" i="5"/>
  <c r="V123" i="5"/>
  <c r="V193" i="5"/>
  <c r="V121" i="5"/>
  <c r="V239" i="5"/>
  <c r="V196" i="5"/>
  <c r="V302" i="5"/>
  <c r="V285" i="5"/>
  <c r="V160" i="5"/>
  <c r="V173" i="5"/>
  <c r="V267" i="5"/>
  <c r="V155" i="5"/>
  <c r="V21" i="5"/>
  <c r="V297" i="5"/>
  <c r="V226" i="5"/>
  <c r="V37" i="5"/>
  <c r="V217" i="5"/>
  <c r="V172" i="5"/>
  <c r="V30" i="5"/>
  <c r="V164" i="5"/>
  <c r="V209" i="5"/>
  <c r="V203" i="5"/>
  <c r="V238" i="5"/>
  <c r="V201" i="5"/>
  <c r="V280" i="5"/>
  <c r="V184" i="5"/>
  <c r="V262" i="5"/>
  <c r="V138" i="5"/>
  <c r="V103" i="5"/>
  <c r="V116" i="5"/>
  <c r="V99" i="5"/>
  <c r="V216" i="5"/>
  <c r="V86" i="5"/>
  <c r="V245" i="5"/>
  <c r="V140" i="5"/>
  <c r="V202" i="5"/>
  <c r="V171" i="5"/>
  <c r="V58" i="5"/>
  <c r="V199" i="5"/>
  <c r="V159" i="5"/>
  <c r="V87" i="5"/>
  <c r="V112" i="5"/>
  <c r="V247" i="5"/>
  <c r="V62" i="5"/>
  <c r="V183" i="5"/>
  <c r="V69" i="5"/>
  <c r="V258" i="5"/>
  <c r="V289" i="5"/>
  <c r="V34" i="5"/>
  <c r="V131" i="5"/>
  <c r="V101" i="5"/>
  <c r="V119" i="5"/>
  <c r="V120" i="5"/>
  <c r="V180" i="5"/>
  <c r="V145" i="5"/>
  <c r="V306" i="5"/>
  <c r="V127" i="5"/>
  <c r="V277" i="5"/>
  <c r="V222" i="5"/>
  <c r="V283" i="5"/>
  <c r="V81" i="5"/>
  <c r="V234" i="5"/>
  <c r="V293" i="5"/>
  <c r="V169" i="5"/>
  <c r="V227" i="5"/>
  <c r="V192" i="5"/>
  <c r="V95" i="5"/>
  <c r="V177" i="5"/>
  <c r="V133" i="5"/>
  <c r="V292" i="5"/>
  <c r="V32" i="5"/>
  <c r="V114" i="5"/>
  <c r="V303" i="5"/>
  <c r="V305" i="5"/>
  <c r="V205" i="5"/>
  <c r="V89" i="5"/>
  <c r="V243" i="5"/>
  <c r="V213" i="5"/>
  <c r="V105" i="5"/>
  <c r="V165" i="5"/>
  <c r="V252" i="5"/>
  <c r="V60" i="5"/>
  <c r="V100" i="5"/>
  <c r="V26" i="5"/>
  <c r="V296" i="5"/>
  <c r="V161" i="5"/>
  <c r="V295" i="5"/>
  <c r="V54" i="5"/>
  <c r="V33" i="5"/>
  <c r="V79" i="5"/>
  <c r="V71" i="5"/>
  <c r="V195" i="5"/>
  <c r="V40" i="5"/>
  <c r="V149" i="5"/>
  <c r="V70" i="5"/>
  <c r="V55" i="5"/>
  <c r="V132" i="5"/>
  <c r="V170" i="5"/>
  <c r="V43" i="5"/>
  <c r="V300" i="5"/>
  <c r="V237" i="5"/>
  <c r="V233" i="5"/>
  <c r="V124" i="5"/>
  <c r="V84" i="5"/>
  <c r="V106" i="5"/>
  <c r="V91" i="5"/>
  <c r="V134" i="5"/>
  <c r="V236" i="5"/>
  <c r="V144" i="5"/>
  <c r="V73" i="5"/>
  <c r="V104" i="5"/>
  <c r="V31" i="5"/>
  <c r="V230" i="5"/>
  <c r="V64" i="5"/>
  <c r="V28" i="5"/>
  <c r="V178" i="5"/>
  <c r="V221" i="5"/>
  <c r="V257" i="5"/>
  <c r="V52" i="5"/>
  <c r="V166" i="5"/>
  <c r="V282" i="5"/>
  <c r="V135" i="5"/>
  <c r="V274" i="5"/>
  <c r="V96" i="5"/>
  <c r="V260" i="5"/>
  <c r="V219" i="5"/>
  <c r="V162" i="5"/>
  <c r="V197" i="5"/>
  <c r="V194" i="5"/>
  <c r="V246" i="5"/>
  <c r="V143" i="5"/>
  <c r="V77" i="5"/>
  <c r="V147" i="5"/>
  <c r="V41" i="5"/>
  <c r="V12" i="5"/>
  <c r="V66" i="5"/>
  <c r="V198" i="5"/>
  <c r="V248" i="5"/>
  <c r="V93" i="5"/>
  <c r="V174" i="5"/>
  <c r="V276" i="5"/>
  <c r="V231" i="5"/>
  <c r="V76" i="5"/>
  <c r="V49" i="5"/>
  <c r="V137" i="5"/>
  <c r="V210" i="5"/>
  <c r="V141" i="5"/>
  <c r="V97" i="5"/>
  <c r="V51" i="5"/>
  <c r="V57" i="5"/>
  <c r="V67" i="5"/>
  <c r="V244" i="5"/>
  <c r="V153" i="5"/>
  <c r="V35" i="5"/>
  <c r="V298" i="5"/>
  <c r="V223" i="5"/>
  <c r="V176" i="5"/>
  <c r="V126" i="5"/>
  <c r="V188" i="5"/>
  <c r="V68" i="5"/>
  <c r="V23" i="5"/>
  <c r="V42" i="5"/>
  <c r="V80" i="5"/>
  <c r="V107" i="5"/>
  <c r="V309" i="5"/>
  <c r="V109" i="5"/>
  <c r="V256" i="5"/>
  <c r="V113" i="5"/>
  <c r="V214" i="5"/>
  <c r="V299" i="5"/>
  <c r="V167" i="5"/>
  <c r="V225" i="5"/>
  <c r="V251" i="5"/>
  <c r="V47" i="5"/>
  <c r="V15" i="5"/>
  <c r="V85" i="5"/>
  <c r="V272" i="5"/>
  <c r="V45" i="5"/>
  <c r="V269" i="5"/>
  <c r="V158" i="5"/>
  <c r="V46" i="5"/>
  <c r="V48" i="5"/>
  <c r="V204" i="5"/>
  <c r="V163" i="5"/>
  <c r="V287" i="5"/>
  <c r="V22" i="5"/>
  <c r="V270" i="5"/>
  <c r="V168" i="5"/>
  <c r="V13" i="5"/>
  <c r="V240" i="5"/>
  <c r="V249" i="5"/>
  <c r="V241" i="5"/>
  <c r="V115" i="5"/>
  <c r="V59" i="5"/>
  <c r="V294" i="5"/>
  <c r="V181" i="5"/>
  <c r="V128" i="5"/>
  <c r="V19" i="5"/>
  <c r="V278" i="5"/>
  <c r="V288" i="5"/>
  <c r="V44" i="5"/>
  <c r="V310" i="5"/>
  <c r="V264" i="5"/>
  <c r="V206" i="5"/>
  <c r="V250" i="5"/>
  <c r="V207" i="5"/>
  <c r="V154" i="5"/>
  <c r="V179" i="5"/>
  <c r="V311" i="5"/>
  <c r="V263" i="5"/>
  <c r="V18" i="5"/>
  <c r="V268" i="5"/>
  <c r="V189" i="5"/>
  <c r="V61" i="5"/>
  <c r="V291" i="5"/>
  <c r="V56" i="5"/>
  <c r="V94" i="5"/>
  <c r="V92" i="5"/>
  <c r="V308" i="5"/>
  <c r="V83" i="5"/>
  <c r="V24" i="5"/>
  <c r="V117" i="5"/>
  <c r="V182" i="5"/>
  <c r="V53" i="5"/>
  <c r="V254" i="5"/>
  <c r="V139" i="5"/>
  <c r="V88" i="5"/>
  <c r="V152" i="5"/>
  <c r="V111" i="5"/>
  <c r="V273" i="5"/>
  <c r="V253" i="5"/>
  <c r="V301" i="5"/>
  <c r="V261" i="5"/>
  <c r="V156" i="5"/>
  <c r="V187" i="5"/>
  <c r="V74" i="5"/>
  <c r="V14" i="5"/>
  <c r="V229" i="5"/>
  <c r="V242" i="5"/>
  <c r="V284" i="5"/>
  <c r="V20" i="5"/>
  <c r="V200" i="5"/>
  <c r="V218" i="5"/>
  <c r="V208" i="5"/>
  <c r="S16" i="8"/>
  <c r="Z16" i="8"/>
  <c r="V75" i="5"/>
  <c r="V190" i="5"/>
  <c r="V90" i="5"/>
  <c r="V36" i="5"/>
  <c r="V50" i="5"/>
  <c r="V27" i="5"/>
  <c r="V275" i="5"/>
  <c r="V98" i="5"/>
  <c r="V281" i="5"/>
  <c r="V17" i="5"/>
  <c r="V65" i="5"/>
  <c r="V212" i="5"/>
  <c r="V130" i="5"/>
  <c r="V215" i="5"/>
  <c r="V265" i="5"/>
  <c r="V266" i="5"/>
  <c r="V72" i="5"/>
  <c r="V136" i="5"/>
  <c r="V157" i="5"/>
  <c r="V16" i="5"/>
  <c r="V150" i="5"/>
  <c r="V82" i="5"/>
  <c r="X98" i="2"/>
  <c r="S98" i="2" s="1"/>
  <c r="Z98" i="2"/>
  <c r="U98" i="2" s="1"/>
  <c r="W98" i="2"/>
  <c r="R98" i="2" s="1"/>
  <c r="Y98" i="2"/>
  <c r="T98" i="2" s="1"/>
  <c r="V98" i="2"/>
  <c r="Q98" i="2" s="1"/>
  <c r="N100" i="2"/>
  <c r="P99" i="2"/>
  <c r="O99" i="2"/>
  <c r="B39" i="12"/>
  <c r="Z13" i="8" l="1"/>
  <c r="C40" i="12"/>
  <c r="C41" i="12" s="1"/>
  <c r="S19" i="8"/>
  <c r="Z19" i="8"/>
  <c r="Z15" i="8"/>
  <c r="S15" i="8"/>
  <c r="O100" i="2"/>
  <c r="P100" i="2"/>
  <c r="N101" i="2"/>
  <c r="Y99" i="2"/>
  <c r="T99" i="2" s="1"/>
  <c r="V99" i="2"/>
  <c r="Q99" i="2" s="1"/>
  <c r="Z99" i="2"/>
  <c r="U99" i="2" s="1"/>
  <c r="X99" i="2"/>
  <c r="S99" i="2" s="1"/>
  <c r="W99" i="2"/>
  <c r="R99" i="2" s="1"/>
  <c r="A41" i="12"/>
  <c r="C42" i="12" l="1"/>
  <c r="F15" i="11"/>
  <c r="G16" i="11"/>
  <c r="F16" i="11"/>
  <c r="C15" i="11"/>
  <c r="G15" i="11"/>
  <c r="C16" i="11"/>
  <c r="E15" i="11"/>
  <c r="D16" i="11"/>
  <c r="E16" i="11"/>
  <c r="D15" i="11"/>
  <c r="W100" i="2"/>
  <c r="R100" i="2" s="1"/>
  <c r="X100" i="2"/>
  <c r="S100" i="2" s="1"/>
  <c r="Z100" i="2"/>
  <c r="U100" i="2" s="1"/>
  <c r="V100" i="2"/>
  <c r="Q100" i="2" s="1"/>
  <c r="Y100" i="2"/>
  <c r="T100" i="2" s="1"/>
  <c r="O101" i="2"/>
  <c r="N102" i="2"/>
  <c r="P101" i="2"/>
  <c r="B42" i="12"/>
  <c r="C43" i="12" l="1"/>
  <c r="F17" i="11"/>
  <c r="C14" i="11"/>
  <c r="C17" i="11" s="1"/>
  <c r="G17" i="11"/>
  <c r="E14" i="11"/>
  <c r="E17" i="11" s="1"/>
  <c r="D14" i="11"/>
  <c r="D17" i="11" s="1"/>
  <c r="P102" i="2"/>
  <c r="O102" i="2"/>
  <c r="V101" i="2"/>
  <c r="Q101" i="2" s="1"/>
  <c r="Z101" i="2"/>
  <c r="U101" i="2" s="1"/>
  <c r="X101" i="2"/>
  <c r="S101" i="2" s="1"/>
  <c r="Y101" i="2"/>
  <c r="T101" i="2" s="1"/>
  <c r="W101" i="2"/>
  <c r="R101" i="2" s="1"/>
  <c r="B43" i="12"/>
  <c r="C44" i="12" l="1"/>
  <c r="Z102" i="2"/>
  <c r="U102" i="2" s="1"/>
  <c r="V102" i="2"/>
  <c r="Q102" i="2" s="1"/>
  <c r="X102" i="2"/>
  <c r="S102" i="2" s="1"/>
  <c r="Y102" i="2"/>
  <c r="T102" i="2" s="1"/>
  <c r="W102" i="2"/>
  <c r="R102" i="2" s="1"/>
  <c r="B44" i="12"/>
  <c r="C45" i="12" l="1"/>
  <c r="C46" i="12" s="1"/>
  <c r="A46" i="12"/>
  <c r="C47" i="12" l="1"/>
  <c r="A47" i="12"/>
  <c r="B47" i="12"/>
  <c r="C48" i="12" l="1"/>
  <c r="A48" i="12"/>
  <c r="B48" i="12"/>
  <c r="C49" i="12" l="1"/>
  <c r="B49" i="12"/>
  <c r="A49" i="12"/>
  <c r="C50" i="12" l="1"/>
  <c r="B50" i="12"/>
  <c r="A50" i="12"/>
  <c r="C51" i="12" l="1"/>
  <c r="B51" i="12"/>
  <c r="A51" i="12"/>
  <c r="C52" i="12" l="1"/>
  <c r="C53" i="12" s="1"/>
  <c r="A53" i="12"/>
  <c r="C54" i="12" l="1"/>
  <c r="B54" i="12"/>
  <c r="C55" i="12" l="1"/>
  <c r="B55" i="12"/>
  <c r="C56" i="12" l="1"/>
  <c r="B56" i="12"/>
  <c r="C57" i="12" l="1"/>
  <c r="B57" i="12"/>
  <c r="C58" i="12" l="1"/>
  <c r="C59" i="12" s="1"/>
  <c r="B59" i="12"/>
  <c r="C60" i="12" l="1"/>
  <c r="A60" i="12"/>
  <c r="B60" i="12"/>
  <c r="C61" i="12" l="1"/>
  <c r="B61" i="12"/>
  <c r="C62" i="12" l="1"/>
  <c r="A62" i="12"/>
  <c r="B62" i="12"/>
  <c r="C63" i="12" l="1"/>
  <c r="B63" i="12"/>
  <c r="C64" i="12" l="1"/>
  <c r="B64" i="12"/>
  <c r="A64" i="12"/>
  <c r="C65" i="12" l="1"/>
  <c r="B65" i="12"/>
  <c r="C66" i="12" l="1"/>
  <c r="C67" i="12" s="1"/>
  <c r="B67" i="12"/>
  <c r="C68" i="12" l="1"/>
  <c r="C69" i="12" s="1"/>
  <c r="A69" i="12"/>
  <c r="C70" i="12" l="1"/>
  <c r="B70" i="12"/>
  <c r="C71" i="12" l="1"/>
  <c r="B71" i="12"/>
  <c r="C72" i="12" l="1"/>
  <c r="B72" i="12"/>
  <c r="C73" i="12" l="1"/>
  <c r="B73" i="12"/>
  <c r="C74" i="12" l="1"/>
  <c r="C75" i="12" s="1"/>
  <c r="B75" i="12"/>
  <c r="B84" i="12"/>
  <c r="A83" i="12"/>
  <c r="C85" i="12" l="1"/>
  <c r="B85" i="12"/>
  <c r="C86" i="12" l="1"/>
  <c r="B86" i="12"/>
  <c r="C87" i="12" l="1"/>
  <c r="B87" i="12"/>
  <c r="C88" i="12" l="1"/>
  <c r="C89" i="12" s="1"/>
  <c r="B89" i="12"/>
  <c r="C90" i="12" l="1"/>
  <c r="C91" i="12" s="1"/>
  <c r="C92" i="12" s="1"/>
  <c r="C93" i="12" s="1"/>
  <c r="C94" i="12" s="1"/>
  <c r="C95" i="12" s="1"/>
  <c r="C96" i="12" s="1"/>
  <c r="C97" i="12" s="1"/>
  <c r="C98" i="12" s="1"/>
  <c r="C99" i="12" s="1"/>
  <c r="C100" i="12" s="1"/>
  <c r="C101" i="12" s="1"/>
  <c r="C102" i="12" s="1"/>
  <c r="C103" i="12" s="1"/>
  <c r="C104" i="12" s="1"/>
  <c r="C105" i="12" s="1"/>
  <c r="C106" i="12" s="1"/>
  <c r="C107" i="12" s="1"/>
  <c r="C108" i="12" s="1"/>
  <c r="C109" i="12" s="1"/>
  <c r="C110" i="12" s="1"/>
  <c r="C111" i="12" s="1"/>
  <c r="C112" i="12" s="1"/>
  <c r="C113" i="12" s="1"/>
  <c r="C114" i="12" s="1"/>
  <c r="C115" i="12" s="1"/>
  <c r="C116" i="12" s="1"/>
  <c r="C117" i="12" s="1"/>
  <c r="C118" i="12" s="1"/>
  <c r="C119" i="12" s="1"/>
  <c r="C120" i="12" s="1"/>
  <c r="C121" i="12" s="1"/>
  <c r="C122" i="12" s="1"/>
  <c r="C123" i="12" s="1"/>
  <c r="C124" i="12" s="1"/>
  <c r="C125" i="12" s="1"/>
  <c r="C126" i="12" s="1"/>
  <c r="C127" i="12" s="1"/>
  <c r="C128" i="12" s="1"/>
  <c r="C129" i="12" s="1"/>
  <c r="C130" i="12" s="1"/>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C159" i="12" s="1"/>
  <c r="C160" i="12" s="1"/>
  <c r="C161" i="12" s="1"/>
  <c r="C162" i="12" s="1"/>
  <c r="C163" i="12" s="1"/>
  <c r="C164" i="12" s="1"/>
  <c r="C165" i="12" s="1"/>
  <c r="C166" i="12" s="1"/>
  <c r="C167" i="12" s="1"/>
  <c r="C168" i="12" s="1"/>
  <c r="C169" i="12" s="1"/>
  <c r="C170" i="12" s="1"/>
  <c r="C171" i="12" s="1"/>
  <c r="C172" i="12" s="1"/>
  <c r="C173" i="12" s="1"/>
  <c r="C174" i="12" s="1"/>
  <c r="C175" i="12" s="1"/>
  <c r="C176" i="12" s="1"/>
  <c r="C177" i="12" s="1"/>
  <c r="C178" i="12" s="1"/>
  <c r="C179" i="12" s="1"/>
  <c r="C180" i="12" s="1"/>
  <c r="C181" i="12" s="1"/>
  <c r="C182" i="12" s="1"/>
  <c r="C183" i="12" s="1"/>
  <c r="C184" i="12" s="1"/>
  <c r="C185" i="12" s="1"/>
  <c r="C186" i="12" s="1"/>
  <c r="C187" i="12" s="1"/>
  <c r="C188" i="12" s="1"/>
  <c r="C189" i="12" s="1"/>
  <c r="C190" i="12" s="1"/>
  <c r="C191" i="12" s="1"/>
  <c r="C192" i="12" s="1"/>
  <c r="C193" i="12" s="1"/>
  <c r="C194" i="12" s="1"/>
  <c r="C195" i="12" s="1"/>
  <c r="C196" i="12" s="1"/>
  <c r="C197" i="12" s="1"/>
  <c r="C198" i="12" s="1"/>
  <c r="C199" i="12" s="1"/>
  <c r="C200" i="12" s="1"/>
  <c r="C201" i="12" s="1"/>
  <c r="C202" i="12" s="1"/>
  <c r="C203" i="12" s="1"/>
</calcChain>
</file>

<file path=xl/comments1.xml><?xml version="1.0" encoding="utf-8"?>
<comments xmlns="http://schemas.openxmlformats.org/spreadsheetml/2006/main">
  <authors>
    <author>Silvio Borella</author>
  </authors>
  <commentList>
    <comment ref="C6" authorId="0" shapeId="0">
      <text>
        <r>
          <rPr>
            <b/>
            <sz val="8"/>
            <color indexed="81"/>
            <rFont val="Arial"/>
            <family val="2"/>
          </rPr>
          <t>Silvio Borella:</t>
        </r>
        <r>
          <rPr>
            <sz val="8"/>
            <color indexed="81"/>
            <rFont val="Arial"/>
            <family val="2"/>
          </rPr>
          <t xml:space="preserve">
N° interne, code, etc.</t>
        </r>
      </text>
    </comment>
    <comment ref="E6" authorId="0" shapeId="0">
      <text>
        <r>
          <rPr>
            <b/>
            <sz val="8"/>
            <color indexed="81"/>
            <rFont val="Arial"/>
            <family val="2"/>
          </rPr>
          <t>Silvio Borella:</t>
        </r>
        <r>
          <rPr>
            <sz val="8"/>
            <color indexed="81"/>
            <rFont val="Arial"/>
            <family val="2"/>
          </rPr>
          <t xml:space="preserve">
Puissance nominale du moteur, en kW.
A lire sur la plaque signalétique.</t>
        </r>
      </text>
    </comment>
    <comment ref="F6" authorId="0" shapeId="0">
      <text>
        <r>
          <rPr>
            <b/>
            <sz val="8"/>
            <color indexed="81"/>
            <rFont val="Arial"/>
            <family val="2"/>
          </rPr>
          <t>Silvio Borella:</t>
        </r>
        <r>
          <rPr>
            <sz val="8"/>
            <color indexed="81"/>
            <rFont val="Arial"/>
            <family val="2"/>
          </rPr>
          <t xml:space="preserve">
Temps de marche de la pompe, en heures par année.</t>
        </r>
      </text>
    </comment>
    <comment ref="G6" authorId="0" shapeId="0">
      <text>
        <r>
          <rPr>
            <b/>
            <sz val="8"/>
            <color indexed="81"/>
            <rFont val="Arial"/>
            <family val="2"/>
          </rPr>
          <t>Silvio Borella:</t>
        </r>
        <r>
          <rPr>
            <sz val="8"/>
            <color indexed="81"/>
            <rFont val="Arial"/>
            <family val="2"/>
          </rPr>
          <t xml:space="preserve">
Année de construction de l'installation (plaque signalétique de la pompe).</t>
        </r>
      </text>
    </comment>
    <comment ref="H6" authorId="0" shapeId="0">
      <text>
        <r>
          <rPr>
            <b/>
            <sz val="8"/>
            <color indexed="81"/>
            <rFont val="Arial"/>
            <family val="2"/>
          </rPr>
          <t>Silvio Borella:</t>
        </r>
        <r>
          <rPr>
            <sz val="8"/>
            <color indexed="81"/>
            <rFont val="Arial"/>
            <family val="2"/>
          </rPr>
          <t xml:space="preserve">
Forcer l'étape 2 (analyse détaillée).
Par exp. si la pompe ne fonctionne plus correctement et doit prochainement être remplacée…</t>
        </r>
      </text>
    </comment>
    <comment ref="I6" authorId="0" shapeId="0">
      <text>
        <r>
          <rPr>
            <b/>
            <sz val="8"/>
            <color indexed="81"/>
            <rFont val="Arial"/>
            <family val="2"/>
          </rPr>
          <t>Silvio Borella:</t>
        </r>
        <r>
          <rPr>
            <sz val="8"/>
            <color indexed="81"/>
            <rFont val="Arial"/>
            <family val="2"/>
          </rPr>
          <t xml:space="preserve">
Estimation grossière de la probabilité qu'il existe des mesures rentables.</t>
        </r>
      </text>
    </comment>
  </commentList>
</comments>
</file>

<file path=xl/comments2.xml><?xml version="1.0" encoding="utf-8"?>
<comments xmlns="http://schemas.openxmlformats.org/spreadsheetml/2006/main">
  <authors>
    <author>Silvio Borella</author>
  </authors>
  <commentList>
    <comment ref="E6" authorId="0" shapeId="0">
      <text>
        <r>
          <rPr>
            <b/>
            <sz val="8"/>
            <color indexed="81"/>
            <rFont val="Arial"/>
            <family val="2"/>
          </rPr>
          <t>Silvio Borella:</t>
        </r>
        <r>
          <rPr>
            <sz val="8"/>
            <color indexed="81"/>
            <rFont val="Arial"/>
            <family val="2"/>
          </rPr>
          <t xml:space="preserve">
Si le prix du courant n'est pas indiqué explicitement, un prix standard est utilisé pour les calculs (cf. ci-dessous).</t>
        </r>
      </text>
    </comment>
    <comment ref="W10" authorId="0" shapeId="0">
      <text>
        <r>
          <rPr>
            <b/>
            <sz val="8"/>
            <color indexed="81"/>
            <rFont val="Arial"/>
            <family val="2"/>
          </rPr>
          <t>Silvio Borella:</t>
        </r>
        <r>
          <rPr>
            <sz val="8"/>
            <color indexed="81"/>
            <rFont val="Arial"/>
            <family val="2"/>
          </rPr>
          <t xml:space="preserve">
Heures de marches par année pour les différents débits volumiques (25%, 50%, 75% resp. 100% du débit nominal).</t>
        </r>
      </text>
    </comment>
    <comment ref="G11" authorId="0" shapeId="0">
      <text>
        <r>
          <rPr>
            <b/>
            <sz val="8"/>
            <color indexed="81"/>
            <rFont val="Arial"/>
            <family val="2"/>
          </rPr>
          <t>Silvio Borella:</t>
        </r>
        <r>
          <rPr>
            <sz val="8"/>
            <color indexed="81"/>
            <rFont val="Arial"/>
            <family val="2"/>
          </rPr>
          <t xml:space="preserve">
Puissance nominale du moteur, en kW.
A lire sur la plaque signalétique.</t>
        </r>
      </text>
    </comment>
    <comment ref="H11" authorId="0" shapeId="0">
      <text>
        <r>
          <rPr>
            <b/>
            <sz val="8"/>
            <color indexed="81"/>
            <rFont val="Arial"/>
            <family val="2"/>
          </rPr>
          <t>Silvio Borella:</t>
        </r>
        <r>
          <rPr>
            <sz val="8"/>
            <color indexed="81"/>
            <rFont val="Arial"/>
            <family val="2"/>
          </rPr>
          <t xml:space="preserve">
Temps de marche de la pompe, en heures par année.</t>
        </r>
      </text>
    </comment>
    <comment ref="I11" authorId="0" shapeId="0">
      <text>
        <r>
          <rPr>
            <b/>
            <sz val="8"/>
            <color indexed="81"/>
            <rFont val="Arial"/>
            <family val="2"/>
          </rPr>
          <t>Silvio Borella:</t>
        </r>
        <r>
          <rPr>
            <sz val="8"/>
            <color indexed="81"/>
            <rFont val="Arial"/>
            <family val="2"/>
          </rPr>
          <t xml:space="preserve">
Année de construction de l'installation (plaque signalétique de la pompe).</t>
        </r>
      </text>
    </comment>
    <comment ref="M11" authorId="0" shapeId="0">
      <text>
        <r>
          <rPr>
            <b/>
            <sz val="9"/>
            <color indexed="81"/>
            <rFont val="Segoe UI"/>
            <family val="2"/>
          </rPr>
          <t>Silvio Borella:</t>
        </r>
        <r>
          <rPr>
            <sz val="9"/>
            <color indexed="81"/>
            <rFont val="Segoe UI"/>
            <family val="2"/>
          </rPr>
          <t xml:space="preserve">
Jährlicher Stromverbrauch:
P * t * Lastfaktor</t>
        </r>
      </text>
    </comment>
    <comment ref="N11" authorId="0" shapeId="0">
      <text>
        <r>
          <rPr>
            <b/>
            <sz val="8"/>
            <color indexed="81"/>
            <rFont val="Arial"/>
            <family val="2"/>
          </rPr>
          <t>Silvio Borella:</t>
        </r>
        <r>
          <rPr>
            <sz val="8"/>
            <color indexed="81"/>
            <rFont val="Arial"/>
            <family val="2"/>
          </rPr>
          <t xml:space="preserve">
Circuit ouvert (p.exp. transport d'un liquide dans un réservoir surélevé) ou fermé (p.exp. circuit de chauffage).</t>
        </r>
      </text>
    </comment>
    <comment ref="O11" authorId="0" shapeId="0">
      <text>
        <r>
          <rPr>
            <b/>
            <sz val="8"/>
            <color indexed="81"/>
            <rFont val="Arial"/>
            <family val="2"/>
          </rPr>
          <t>Silvio Borella:</t>
        </r>
        <r>
          <rPr>
            <sz val="8"/>
            <color indexed="81"/>
            <rFont val="Arial"/>
            <family val="2"/>
          </rPr>
          <t xml:space="preserve">
Besoins (débit volumique, pression) variables (p.exp. Nombre variable d'utilisateurs) ou constants?</t>
        </r>
      </text>
    </comment>
    <comment ref="P11" authorId="0" shapeId="0">
      <text>
        <r>
          <rPr>
            <b/>
            <sz val="8"/>
            <color indexed="81"/>
            <rFont val="Arial"/>
            <family val="2"/>
          </rPr>
          <t>Silvio Borella:</t>
        </r>
        <r>
          <rPr>
            <sz val="8"/>
            <color indexed="81"/>
            <rFont val="Arial"/>
            <family val="2"/>
          </rPr>
          <t xml:space="preserve">
Comment le débit volumique est-il régulé?
Rem.: Il se peut que le débit soit réduit par une vanne ou un étranglement, même si le besoin est constant.</t>
        </r>
      </text>
    </comment>
    <comment ref="Z11" authorId="0" shapeId="0">
      <text>
        <r>
          <rPr>
            <b/>
            <sz val="8"/>
            <color indexed="81"/>
            <rFont val="Arial"/>
            <family val="2"/>
          </rPr>
          <t>Silvio Borella:</t>
        </r>
        <r>
          <rPr>
            <sz val="8"/>
            <color indexed="81"/>
            <rFont val="Arial"/>
            <family val="2"/>
          </rPr>
          <t xml:space="preserve">
Cette valeur est calculée.
Si elle est inférieure à 0, les valeur entrées doivent être vérifiées!</t>
        </r>
      </text>
    </comment>
    <comment ref="S12" authorId="0" shapeId="0">
      <text>
        <r>
          <rPr>
            <b/>
            <sz val="9"/>
            <color indexed="81"/>
            <rFont val="Segoe UI"/>
            <family val="2"/>
          </rPr>
          <t xml:space="preserve">Silvio Borella: </t>
        </r>
        <r>
          <rPr>
            <sz val="9"/>
            <color indexed="81"/>
            <rFont val="Segoe UI"/>
            <family val="2"/>
          </rPr>
          <t>Für die weiteren Berechnungen benutzter Wert.</t>
        </r>
      </text>
    </comment>
    <comment ref="V12" authorId="0" shapeId="0">
      <text>
        <r>
          <rPr>
            <b/>
            <sz val="8"/>
            <color indexed="81"/>
            <rFont val="Arial"/>
            <family val="2"/>
          </rPr>
          <t>Silvio Borella:</t>
        </r>
        <r>
          <rPr>
            <sz val="8"/>
            <color indexed="81"/>
            <rFont val="Arial"/>
            <family val="2"/>
          </rPr>
          <t xml:space="preserve">
Valeur utilisée pour la suite des calculs.</t>
        </r>
      </text>
    </comment>
  </commentList>
</comments>
</file>

<file path=xl/comments3.xml><?xml version="1.0" encoding="utf-8"?>
<comments xmlns="http://schemas.openxmlformats.org/spreadsheetml/2006/main">
  <authors>
    <author>Silvio Borella</author>
  </authors>
  <commentList>
    <comment ref="G11" authorId="0" shapeId="0">
      <text>
        <r>
          <rPr>
            <b/>
            <sz val="8"/>
            <color indexed="81"/>
            <rFont val="Arial"/>
            <family val="2"/>
          </rPr>
          <t>Silvio Borella:</t>
        </r>
        <r>
          <rPr>
            <sz val="8"/>
            <color indexed="81"/>
            <rFont val="Arial"/>
            <family val="2"/>
          </rPr>
          <t xml:space="preserve">
Puissance nominale du moteur, en kW.
A lire sur la plaque signalétique.</t>
        </r>
      </text>
    </comment>
    <comment ref="H11" authorId="0" shapeId="0">
      <text>
        <r>
          <rPr>
            <b/>
            <sz val="8"/>
            <color indexed="81"/>
            <rFont val="Arial"/>
            <family val="2"/>
          </rPr>
          <t>Silvio Borella:</t>
        </r>
        <r>
          <rPr>
            <sz val="8"/>
            <color indexed="81"/>
            <rFont val="Arial"/>
            <family val="2"/>
          </rPr>
          <t xml:space="preserve">
Temps de marche de la pompe, en heures par année.</t>
        </r>
      </text>
    </comment>
    <comment ref="I11" authorId="0" shapeId="0">
      <text>
        <r>
          <rPr>
            <b/>
            <sz val="8"/>
            <color indexed="81"/>
            <rFont val="Arial"/>
            <family val="2"/>
          </rPr>
          <t>Silvio Borella:</t>
        </r>
        <r>
          <rPr>
            <sz val="8"/>
            <color indexed="81"/>
            <rFont val="Arial"/>
            <family val="2"/>
          </rPr>
          <t xml:space="preserve">
Année de construction de l'installation (plaque signalétique de la pompe).</t>
        </r>
      </text>
    </comment>
  </commentList>
</comments>
</file>

<file path=xl/comments4.xml><?xml version="1.0" encoding="utf-8"?>
<comments xmlns="http://schemas.openxmlformats.org/spreadsheetml/2006/main">
  <authors>
    <author>Silvio Borella</author>
  </authors>
  <commentList>
    <comment ref="R8" authorId="0" shapeId="0">
      <text>
        <r>
          <rPr>
            <b/>
            <sz val="9"/>
            <color indexed="81"/>
            <rFont val="Segoe UI"/>
            <family val="2"/>
          </rPr>
          <t>Silvio Borella:</t>
        </r>
        <r>
          <rPr>
            <sz val="9"/>
            <color indexed="81"/>
            <rFont val="Segoe UI"/>
            <family val="2"/>
          </rPr>
          <t xml:space="preserve">
Sortierung nach Schritt 1 herausgenommen (2016-06-14). Sortierung "blockiert auf "Nr."
Grund: Eine Sortierung mit einer anderen Reihenfolge als im Blatt 'Schritt 1' (dh. Nach Nr)  führt zu Verschiebungen bei den Eingaben im Schritt 2, falls nachträglich Eingaben im Schritt 1 verändert werden.</t>
        </r>
      </text>
    </comment>
    <comment ref="F10" authorId="0" shapeId="0">
      <text>
        <r>
          <rPr>
            <b/>
            <sz val="9"/>
            <color indexed="81"/>
            <rFont val="Segoe UI"/>
            <family val="2"/>
          </rPr>
          <t>Silvio Borella:</t>
        </r>
        <r>
          <rPr>
            <sz val="9"/>
            <color indexed="81"/>
            <rFont val="Segoe UI"/>
            <family val="2"/>
          </rPr>
          <t xml:space="preserve">
Elektrische Nennleistung des Elektromotors, in kW.
Kann auf dem Typenschild abgelesen werden.</t>
        </r>
      </text>
    </comment>
    <comment ref="G10" authorId="0" shapeId="0">
      <text>
        <r>
          <rPr>
            <b/>
            <sz val="9"/>
            <color indexed="81"/>
            <rFont val="Segoe UI"/>
            <family val="2"/>
          </rPr>
          <t>Silvio Borella:</t>
        </r>
        <r>
          <rPr>
            <sz val="9"/>
            <color indexed="81"/>
            <rFont val="Segoe UI"/>
            <family val="2"/>
          </rPr>
          <t xml:space="preserve">
Betriebszeit der Pumpe, in Stunden pro Jahr.</t>
        </r>
      </text>
    </comment>
    <comment ref="H10" authorId="0" shapeId="0">
      <text>
        <r>
          <rPr>
            <b/>
            <sz val="9"/>
            <color indexed="81"/>
            <rFont val="Segoe UI"/>
            <family val="2"/>
          </rPr>
          <t>Silvio Borella:</t>
        </r>
        <r>
          <rPr>
            <sz val="9"/>
            <color indexed="81"/>
            <rFont val="Segoe UI"/>
            <family val="2"/>
          </rPr>
          <t xml:space="preserve">
Baujahr der Anlage. Angabe auf dem Typenschild.</t>
        </r>
      </text>
    </comment>
    <comment ref="I10" authorId="0" shapeId="0">
      <text>
        <r>
          <rPr>
            <b/>
            <sz val="9"/>
            <color indexed="81"/>
            <rFont val="Segoe UI"/>
            <family val="2"/>
          </rPr>
          <t>Silvio Borella:</t>
        </r>
        <r>
          <rPr>
            <sz val="9"/>
            <color indexed="81"/>
            <rFont val="Segoe UI"/>
            <family val="2"/>
          </rPr>
          <t xml:space="preserve">
Mittlere Last in % der el. Nennleistung</t>
        </r>
      </text>
    </comment>
    <comment ref="J10" authorId="0" shapeId="0">
      <text>
        <r>
          <rPr>
            <b/>
            <sz val="9"/>
            <color indexed="81"/>
            <rFont val="Segoe UI"/>
            <family val="2"/>
          </rPr>
          <t>Silvio Borella:</t>
        </r>
        <r>
          <rPr>
            <sz val="9"/>
            <color indexed="81"/>
            <rFont val="Segoe UI"/>
            <family val="2"/>
          </rPr>
          <t xml:space="preserve">
Jährlicher Stromverbrauch:
P * t * Lastfaktor</t>
        </r>
      </text>
    </comment>
    <comment ref="K10" authorId="0" shapeId="0">
      <text>
        <r>
          <rPr>
            <b/>
            <sz val="9"/>
            <color indexed="81"/>
            <rFont val="Segoe UI"/>
            <family val="2"/>
          </rPr>
          <t>Silvio Borella:</t>
        </r>
        <r>
          <rPr>
            <sz val="9"/>
            <color indexed="81"/>
            <rFont val="Segoe UI"/>
            <family val="2"/>
          </rPr>
          <t xml:space="preserve">
1-2-3-Test: Punkte (0 - 5) für die Leistung.</t>
        </r>
      </text>
    </comment>
    <comment ref="L10" authorId="0" shapeId="0">
      <text>
        <r>
          <rPr>
            <b/>
            <sz val="9"/>
            <color indexed="81"/>
            <rFont val="Segoe UI"/>
            <family val="2"/>
          </rPr>
          <t>Silvio Borella:</t>
        </r>
        <r>
          <rPr>
            <sz val="9"/>
            <color indexed="81"/>
            <rFont val="Segoe UI"/>
            <family val="2"/>
          </rPr>
          <t xml:space="preserve">
1-2-3-Test: Punkte (0 - 5) für die Betriebszeit (h/a).</t>
        </r>
      </text>
    </comment>
    <comment ref="M10" authorId="0" shapeId="0">
      <text>
        <r>
          <rPr>
            <b/>
            <sz val="9"/>
            <color indexed="81"/>
            <rFont val="Segoe UI"/>
            <family val="2"/>
          </rPr>
          <t>Silvio Borella:</t>
        </r>
        <r>
          <rPr>
            <sz val="9"/>
            <color indexed="81"/>
            <rFont val="Segoe UI"/>
            <family val="2"/>
          </rPr>
          <t xml:space="preserve">
1-2-3-Test: Punkte (0 - 5) für das Alter.
Bei fehlender Eingabe (Baujahr = 0) wird die mittlere Punktzahl 3 gegeben.</t>
        </r>
      </text>
    </comment>
    <comment ref="N10" authorId="0" shapeId="0">
      <text>
        <r>
          <rPr>
            <b/>
            <sz val="9"/>
            <color indexed="81"/>
            <rFont val="Segoe UI"/>
            <family val="2"/>
          </rPr>
          <t>Silvio Borella:</t>
        </r>
        <r>
          <rPr>
            <sz val="9"/>
            <color indexed="81"/>
            <rFont val="Segoe UI"/>
            <family val="2"/>
          </rPr>
          <t xml:space="preserve">
1-2-3-Test: Punkte (0 - 5) total berechnet aus den Punkten für P, t und Alter:
P(total) = Pkte(Alter) + Faktor_A * Pkte(t) * Pkte(P)</t>
        </r>
      </text>
    </comment>
    <comment ref="O10" authorId="0" shapeId="0">
      <text>
        <r>
          <rPr>
            <b/>
            <sz val="9"/>
            <color indexed="81"/>
            <rFont val="Segoe UI"/>
            <family val="2"/>
          </rPr>
          <t>Silvio Borella:</t>
        </r>
        <r>
          <rPr>
            <sz val="9"/>
            <color indexed="81"/>
            <rFont val="Segoe UI"/>
            <family val="2"/>
          </rPr>
          <t xml:space="preserve">
1: Ja
2: eventuell
0: Nein
(Hier aus dem 1-2-3-Test)</t>
        </r>
      </text>
    </comment>
    <comment ref="R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Nr (gemäss Schritt 1): 1-2-3-...</t>
        </r>
      </text>
    </comment>
    <comment ref="S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Pkte total (gemäss Berechnungen 1): absteigend
3) Nr (gemäss Schritt 1): 1-2-3-...</t>
        </r>
      </text>
    </comment>
    <comment ref="T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el. Leistung (gemäss Schritt 1): absteigend
3) Nr (gemäss Schritt 1): 1-2-3-...</t>
        </r>
      </text>
    </comment>
    <comment ref="U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el. Verbrauch (P*t gemäss Schritt 1): absteigend
3) Nr (gemäss Schritt 1): 1-2-3-...</t>
        </r>
      </text>
    </comment>
    <comment ref="V10"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Einsparpotential [kWh/a] (gemäss Berechnungen 1): absteigend
3) Nr (gemäss Schritt 1): 1-2-3-...</t>
        </r>
      </text>
    </comment>
    <comment ref="W10" authorId="0" shapeId="0">
      <text>
        <r>
          <rPr>
            <b/>
            <sz val="9"/>
            <color indexed="81"/>
            <rFont val="Segoe UI"/>
            <family val="2"/>
          </rPr>
          <t>Silvio Borella:</t>
        </r>
        <r>
          <rPr>
            <sz val="9"/>
            <color indexed="81"/>
            <rFont val="Segoe UI"/>
            <family val="2"/>
          </rPr>
          <t xml:space="preserve">
gewählte Variante.
Aus Rang-Pkte 1,2,3,4 oder 5.</t>
        </r>
      </text>
    </comment>
    <comment ref="X10" authorId="0" shapeId="0">
      <text>
        <r>
          <rPr>
            <b/>
            <sz val="9"/>
            <color indexed="81"/>
            <rFont val="Segoe UI"/>
            <family val="2"/>
          </rPr>
          <t>Silvio Borella:</t>
        </r>
        <r>
          <rPr>
            <sz val="9"/>
            <color indexed="81"/>
            <rFont val="Segoe UI"/>
            <family val="2"/>
          </rPr>
          <t xml:space="preserve">
Alte Version, "ergänzte" Punkte-Zahl (mit einer groben Abschätzung der Paybackzeit) für die Bestimmung der Reihenfolge.</t>
        </r>
      </text>
    </comment>
    <comment ref="AC10" authorId="0" shapeId="0">
      <text>
        <r>
          <rPr>
            <b/>
            <sz val="9"/>
            <color indexed="81"/>
            <rFont val="Segoe UI"/>
            <family val="2"/>
          </rPr>
          <t>Silvio Borella:</t>
        </r>
        <r>
          <rPr>
            <sz val="9"/>
            <color indexed="81"/>
            <rFont val="Segoe UI"/>
            <family val="2"/>
          </rPr>
          <t xml:space="preserve">
Minimum (kürzeste) von den 3 berechnten Paybacks.</t>
        </r>
      </text>
    </comment>
    <comment ref="AG10" authorId="0" shapeId="0">
      <text>
        <r>
          <rPr>
            <b/>
            <sz val="9"/>
            <color indexed="81"/>
            <rFont val="Segoe UI"/>
            <family val="2"/>
          </rPr>
          <t>Silvio Borella:</t>
        </r>
        <r>
          <rPr>
            <sz val="9"/>
            <color indexed="81"/>
            <rFont val="Segoe UI"/>
            <family val="2"/>
          </rPr>
          <t xml:space="preserve">
1: Ja
2: eventuell
0: Nein
(Hier rein aus Wirtschaftlichkeitsbetrachtung)</t>
        </r>
      </text>
    </comment>
    <comment ref="AJ10" authorId="0" shapeId="0">
      <text>
        <r>
          <rPr>
            <b/>
            <sz val="9"/>
            <color indexed="81"/>
            <rFont val="Segoe UI"/>
            <family val="2"/>
          </rPr>
          <t>Silvio Borella:</t>
        </r>
        <r>
          <rPr>
            <sz val="9"/>
            <color indexed="81"/>
            <rFont val="Segoe UI"/>
            <family val="2"/>
          </rPr>
          <t xml:space="preserve">
Alt (Version 0.0): "ergänzte" Payback-Zahl für die Bestimmung der Reihenfolge.</t>
        </r>
      </text>
    </comment>
    <comment ref="AL10" authorId="0" shapeId="0">
      <text>
        <r>
          <rPr>
            <b/>
            <sz val="9"/>
            <color indexed="81"/>
            <rFont val="Segoe UI"/>
            <family val="2"/>
          </rPr>
          <t>Silvio Borella:</t>
        </r>
        <r>
          <rPr>
            <sz val="9"/>
            <color indexed="81"/>
            <rFont val="Segoe UI"/>
            <family val="2"/>
          </rPr>
          <t xml:space="preserve">
Kosten Anteil auf Energie</t>
        </r>
      </text>
    </comment>
    <comment ref="AW10" authorId="0" shapeId="0">
      <text>
        <r>
          <rPr>
            <b/>
            <sz val="9"/>
            <color indexed="81"/>
            <rFont val="Segoe UI"/>
            <family val="2"/>
          </rPr>
          <t>Silvio Borella:</t>
        </r>
        <r>
          <rPr>
            <sz val="9"/>
            <color indexed="81"/>
            <rFont val="Segoe UI"/>
            <family val="2"/>
          </rPr>
          <t xml:space="preserve">
Kosten Anteil auf Energie</t>
        </r>
      </text>
    </comment>
    <comment ref="BC10" authorId="0" shapeId="0">
      <text>
        <r>
          <rPr>
            <b/>
            <sz val="9"/>
            <color indexed="81"/>
            <rFont val="Segoe UI"/>
            <family val="2"/>
          </rPr>
          <t>Silvio Borella:</t>
        </r>
        <r>
          <rPr>
            <sz val="9"/>
            <color indexed="81"/>
            <rFont val="Segoe UI"/>
            <family val="2"/>
          </rPr>
          <t xml:space="preserve">
Kosten Anteil auf Energie</t>
        </r>
      </text>
    </comment>
  </commentList>
</comments>
</file>

<file path=xl/comments5.xml><?xml version="1.0" encoding="utf-8"?>
<comments xmlns="http://schemas.openxmlformats.org/spreadsheetml/2006/main">
  <authors>
    <author>Silvio Borella</author>
  </authors>
  <commentList>
    <comment ref="I14" authorId="0" shapeId="0">
      <text>
        <r>
          <rPr>
            <b/>
            <sz val="9"/>
            <color indexed="81"/>
            <rFont val="Segoe UI"/>
            <family val="2"/>
          </rPr>
          <t>Silvio Borella:</t>
        </r>
        <r>
          <rPr>
            <sz val="9"/>
            <color indexed="81"/>
            <rFont val="Segoe UI"/>
            <family val="2"/>
          </rPr>
          <t xml:space="preserve">
Elektrische Nennleistung des Elektromotors, in kW.
Kann auf dem Typenschild abgelesen werden.</t>
        </r>
      </text>
    </comment>
    <comment ref="J14" authorId="0" shapeId="0">
      <text>
        <r>
          <rPr>
            <b/>
            <sz val="9"/>
            <color indexed="81"/>
            <rFont val="Segoe UI"/>
            <family val="2"/>
          </rPr>
          <t>Silvio Borella:</t>
        </r>
        <r>
          <rPr>
            <sz val="9"/>
            <color indexed="81"/>
            <rFont val="Segoe UI"/>
            <family val="2"/>
          </rPr>
          <t xml:space="preserve">
Betriebszeit der Pumpe, in Stunden pro Jahr.</t>
        </r>
      </text>
    </comment>
    <comment ref="K14" authorId="0" shapeId="0">
      <text>
        <r>
          <rPr>
            <b/>
            <sz val="9"/>
            <color indexed="81"/>
            <rFont val="Segoe UI"/>
            <family val="2"/>
          </rPr>
          <t>Silvio Borella:</t>
        </r>
        <r>
          <rPr>
            <sz val="9"/>
            <color indexed="81"/>
            <rFont val="Segoe UI"/>
            <family val="2"/>
          </rPr>
          <t xml:space="preserve">
Baujahr der Anlage. Angabe auf dem Typenschild.</t>
        </r>
      </text>
    </comment>
    <comment ref="O14" authorId="0" shapeId="0">
      <text>
        <r>
          <rPr>
            <b/>
            <sz val="9"/>
            <color indexed="81"/>
            <rFont val="Segoe UI"/>
            <family val="2"/>
          </rPr>
          <t>Silvio Borella:</t>
        </r>
        <r>
          <rPr>
            <sz val="9"/>
            <color indexed="81"/>
            <rFont val="Segoe UI"/>
            <family val="2"/>
          </rPr>
          <t xml:space="preserve">
Zur Berechnung der mittleren Last in % der el. Nennleistung.</t>
        </r>
      </text>
    </comment>
    <comment ref="P14" authorId="0" shapeId="0">
      <text>
        <r>
          <rPr>
            <b/>
            <sz val="9"/>
            <color indexed="81"/>
            <rFont val="Segoe UI"/>
            <family val="2"/>
          </rPr>
          <t>Silvio Borella:</t>
        </r>
        <r>
          <rPr>
            <sz val="9"/>
            <color indexed="81"/>
            <rFont val="Segoe UI"/>
            <family val="2"/>
          </rPr>
          <t xml:space="preserve">
Zur Berechnung der mittleren Last in % der el. Nennleistung.</t>
        </r>
      </text>
    </comment>
    <comment ref="Q14" authorId="0" shapeId="0">
      <text>
        <r>
          <rPr>
            <b/>
            <sz val="9"/>
            <color indexed="81"/>
            <rFont val="Segoe UI"/>
            <family val="2"/>
          </rPr>
          <t>Silvio Borella:</t>
        </r>
        <r>
          <rPr>
            <sz val="9"/>
            <color indexed="81"/>
            <rFont val="Segoe UI"/>
            <family val="2"/>
          </rPr>
          <t xml:space="preserve">
Mittlere Last in % der el. Nennleistung.
Wird aus der Betriebsstunden-Verteilung des Volumenstroms [% vom Nennvolumenstrom] zwischen dem 0- und dem 100%-Punkt linear interpoliert.</t>
        </r>
      </text>
    </comment>
    <comment ref="R14" authorId="0" shapeId="0">
      <text>
        <r>
          <rPr>
            <b/>
            <sz val="9"/>
            <color indexed="81"/>
            <rFont val="Segoe UI"/>
            <family val="2"/>
          </rPr>
          <t>Silvio Borella:</t>
        </r>
        <r>
          <rPr>
            <sz val="9"/>
            <color indexed="81"/>
            <rFont val="Segoe UI"/>
            <family val="2"/>
          </rPr>
          <t xml:space="preserve">
Jährlicher Stromverbrauch:
P * t * Lastfaktor</t>
        </r>
      </text>
    </comment>
    <comment ref="S14" authorId="0" shapeId="0">
      <text>
        <r>
          <rPr>
            <b/>
            <sz val="9"/>
            <color indexed="81"/>
            <rFont val="Segoe UI"/>
            <family val="2"/>
          </rPr>
          <t>Silvio Borella:</t>
        </r>
        <r>
          <rPr>
            <sz val="9"/>
            <color indexed="81"/>
            <rFont val="Segoe UI"/>
            <family val="2"/>
          </rPr>
          <t xml:space="preserve">
Info ob der Kreislauf offen (z.B. Förderung Flüssigkeit in ein höher gelegenes Reservoir) oder geschlossen (z.B. Heizkreis) ist.</t>
        </r>
      </text>
    </comment>
    <comment ref="T14" authorId="0" shapeId="0">
      <text>
        <r>
          <rPr>
            <b/>
            <sz val="9"/>
            <color indexed="81"/>
            <rFont val="Segoe UI"/>
            <family val="2"/>
          </rPr>
          <t>Silvio Borella:</t>
        </r>
        <r>
          <rPr>
            <sz val="9"/>
            <color indexed="81"/>
            <rFont val="Segoe UI"/>
            <family val="2"/>
          </rPr>
          <t xml:space="preserve">
Info ob der Bedarf (Volumenstrom, Druck) variabel (z.B. variable Anzahl Verbraucher) oder konstant ist.</t>
        </r>
      </text>
    </comment>
    <comment ref="U14" authorId="0" shapeId="0">
      <text>
        <r>
          <rPr>
            <b/>
            <sz val="9"/>
            <color indexed="81"/>
            <rFont val="Segoe UI"/>
            <family val="2"/>
          </rPr>
          <t>Silvio Borella:</t>
        </r>
        <r>
          <rPr>
            <sz val="9"/>
            <color indexed="81"/>
            <rFont val="Segoe UI"/>
            <family val="2"/>
          </rPr>
          <t xml:space="preserve">
Wie wird gegebenenfalls der Volumenstrom reguliert?</t>
        </r>
      </text>
    </comment>
    <comment ref="AG14" authorId="0" shapeId="0">
      <text>
        <r>
          <rPr>
            <b/>
            <sz val="9"/>
            <color indexed="81"/>
            <rFont val="Segoe UI"/>
            <family val="2"/>
          </rPr>
          <t>Silvio Borella:</t>
        </r>
        <r>
          <rPr>
            <sz val="9"/>
            <color indexed="81"/>
            <rFont val="Segoe UI"/>
            <family val="2"/>
          </rPr>
          <t xml:space="preserve">
Grösstes Volumenstrom (100%, 75%, 50% oder 25%), für welches die angegebene Betriebszeit &lt;&gt; 0 ist.</t>
        </r>
      </text>
    </comment>
    <comment ref="BQ14"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Nr (gemäss Schritt 1): 1-2-3-...</t>
        </r>
      </text>
    </comment>
    <comment ref="BR14"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el. Leistung (gemäss Schritt 1): absteigend
3) Nr (gemäss Schritt 1): 1-2-3-...</t>
        </r>
      </text>
    </comment>
    <comment ref="BS14"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el. Verbrauch (P*t gemäss Schritt 1): absteigend
3) Nr (gemäss Schritt 1): 1-2-3-...</t>
        </r>
      </text>
    </comment>
    <comment ref="BT14" authorId="0" shapeId="0">
      <text>
        <r>
          <rPr>
            <b/>
            <sz val="9"/>
            <color indexed="81"/>
            <rFont val="Segoe UI"/>
            <family val="2"/>
          </rPr>
          <t>Silvio Borella:</t>
        </r>
        <r>
          <rPr>
            <sz val="9"/>
            <color indexed="81"/>
            <rFont val="Segoe UI"/>
            <family val="2"/>
          </rPr>
          <t xml:space="preserve">
"ergänzte" Punkte-Zahl für die Bestimmung der Reihenfolge nach folgenden Kriterien:
1) Schritt2': 1-2-0
2) Einsparpotential [kWh/a] (gemäss Berechnungen 1): absteigend
3) Nr (gemäss Schritt 1): 1-2-3-...</t>
        </r>
      </text>
    </comment>
    <comment ref="BU14" authorId="0" shapeId="0">
      <text>
        <r>
          <rPr>
            <b/>
            <sz val="9"/>
            <color indexed="81"/>
            <rFont val="Segoe UI"/>
            <family val="2"/>
          </rPr>
          <t>Silvio Borella:</t>
        </r>
        <r>
          <rPr>
            <sz val="9"/>
            <color indexed="81"/>
            <rFont val="Segoe UI"/>
            <family val="2"/>
          </rPr>
          <t xml:space="preserve">
gewählte Variante.
Aus Rang-Pkte 1,2,3 oder 4.</t>
        </r>
      </text>
    </comment>
  </commentList>
</comments>
</file>

<file path=xl/comments6.xml><?xml version="1.0" encoding="utf-8"?>
<comments xmlns="http://schemas.openxmlformats.org/spreadsheetml/2006/main">
  <authors>
    <author>Silvio Borella</author>
  </authors>
  <commentList>
    <comment ref="B37" authorId="0" shapeId="0">
      <text>
        <r>
          <rPr>
            <b/>
            <sz val="9"/>
            <color indexed="81"/>
            <rFont val="Segoe UI"/>
            <family val="2"/>
          </rPr>
          <t>Silvio Borella:</t>
        </r>
        <r>
          <rPr>
            <sz val="9"/>
            <color indexed="81"/>
            <rFont val="Segoe UI"/>
            <family val="2"/>
          </rPr>
          <t xml:space="preserve">
Wird in anderen Tabelle als "IE-ID" angegeben.</t>
        </r>
      </text>
    </comment>
    <comment ref="B64" authorId="0" shapeId="0">
      <text>
        <r>
          <rPr>
            <b/>
            <sz val="9"/>
            <color indexed="81"/>
            <rFont val="Segoe UI"/>
            <family val="2"/>
          </rPr>
          <t>Silvio Borella:</t>
        </r>
        <r>
          <rPr>
            <sz val="9"/>
            <color indexed="81"/>
            <rFont val="Segoe UI"/>
            <family val="2"/>
          </rPr>
          <t xml:space="preserve">
Elektrische Leistung ab welcher die entsprechende Klasse für die Wirkungsgrad-Parameter anfängt.</t>
        </r>
      </text>
    </comment>
    <comment ref="B72" authorId="0" shapeId="0">
      <text>
        <r>
          <rPr>
            <b/>
            <sz val="9"/>
            <color indexed="81"/>
            <rFont val="Segoe UI"/>
            <family val="2"/>
          </rPr>
          <t>Silvio Borella:</t>
        </r>
        <r>
          <rPr>
            <sz val="9"/>
            <color indexed="81"/>
            <rFont val="Segoe UI"/>
            <family val="2"/>
          </rPr>
          <t xml:space="preserve">
Elektrische Leistung ab welcher die Wirkungsgrad-Parameter gelten.</t>
        </r>
      </text>
    </comment>
    <comment ref="B147" authorId="0" shapeId="0">
      <text>
        <r>
          <rPr>
            <b/>
            <sz val="9"/>
            <color indexed="81"/>
            <rFont val="Segoe UI"/>
            <family val="2"/>
          </rPr>
          <t>Silvio Borella:</t>
        </r>
        <r>
          <rPr>
            <sz val="9"/>
            <color indexed="81"/>
            <rFont val="Segoe UI"/>
            <family val="2"/>
          </rPr>
          <t xml:space="preserve">
Altersklasse gemäss Planair (siehe weiter oben).</t>
        </r>
      </text>
    </comment>
    <comment ref="I147" authorId="0" shapeId="0">
      <text>
        <r>
          <rPr>
            <b/>
            <sz val="9"/>
            <color indexed="81"/>
            <rFont val="Segoe UI"/>
            <family val="2"/>
          </rPr>
          <t>Silvio Borella:</t>
        </r>
        <r>
          <rPr>
            <sz val="9"/>
            <color indexed="81"/>
            <rFont val="Segoe UI"/>
            <family val="2"/>
          </rPr>
          <t xml:space="preserve">
Alte Zahlen aus 1. Vorversion vom "Guide des bonnes pratiques…", [Planair SA, 5 août 2015]</t>
        </r>
      </text>
    </comment>
    <comment ref="C155" authorId="0" shapeId="0">
      <text>
        <r>
          <rPr>
            <b/>
            <sz val="9"/>
            <color indexed="81"/>
            <rFont val="Segoe UI"/>
            <family val="2"/>
          </rPr>
          <t>Silvio Borella:</t>
        </r>
        <r>
          <rPr>
            <sz val="9"/>
            <color indexed="81"/>
            <rFont val="Segoe UI"/>
            <family val="2"/>
          </rPr>
          <t xml:space="preserve">
Einsparung bei Ersatz Drosselung durch Drehzahlregulierung...</t>
        </r>
      </text>
    </comment>
    <comment ref="E156" authorId="0" shapeId="0">
      <text>
        <r>
          <rPr>
            <b/>
            <sz val="9"/>
            <color indexed="81"/>
            <rFont val="Segoe UI"/>
            <family val="2"/>
          </rPr>
          <t>Silvio Borella:</t>
        </r>
        <r>
          <rPr>
            <sz val="9"/>
            <color indexed="81"/>
            <rFont val="Segoe UI"/>
            <family val="2"/>
          </rPr>
          <t xml:space="preserve">
i.P. entspricht dies ein Netz mit nur EINEM (grossen) Nutzer allenfals mit variablem Bedarf.</t>
        </r>
      </text>
    </comment>
    <comment ref="B157" authorId="0" shapeId="0">
      <text>
        <r>
          <rPr>
            <b/>
            <sz val="9"/>
            <color indexed="81"/>
            <rFont val="Segoe UI"/>
            <family val="2"/>
          </rPr>
          <t>Silvio Borella:</t>
        </r>
        <r>
          <rPr>
            <sz val="9"/>
            <color indexed="81"/>
            <rFont val="Segoe UI"/>
            <family val="2"/>
          </rPr>
          <t xml:space="preserve">
Volumenstrom, als Teil des aktuell maximalen Volumenstroms.</t>
        </r>
      </text>
    </comment>
    <comment ref="C157" authorId="0" shapeId="0">
      <text>
        <r>
          <rPr>
            <b/>
            <sz val="9"/>
            <color indexed="81"/>
            <rFont val="Segoe UI"/>
            <family val="2"/>
          </rPr>
          <t>Silvio Borella:</t>
        </r>
        <r>
          <rPr>
            <sz val="9"/>
            <color indexed="81"/>
            <rFont val="Segoe UI"/>
            <family val="2"/>
          </rPr>
          <t xml:space="preserve">
… bei einem offenen Kreislauf.</t>
        </r>
      </text>
    </comment>
    <comment ref="D157" authorId="0" shapeId="0">
      <text>
        <r>
          <rPr>
            <b/>
            <sz val="9"/>
            <color indexed="81"/>
            <rFont val="Segoe UI"/>
            <family val="2"/>
          </rPr>
          <t>Silvio Borella:</t>
        </r>
        <r>
          <rPr>
            <sz val="9"/>
            <color indexed="81"/>
            <rFont val="Segoe UI"/>
            <family val="2"/>
          </rPr>
          <t xml:space="preserve">
… bei einem geschlossenen Kreislauf.</t>
        </r>
      </text>
    </comment>
    <comment ref="E157" authorId="0" shapeId="0">
      <text>
        <r>
          <rPr>
            <b/>
            <sz val="9"/>
            <color indexed="81"/>
            <rFont val="Segoe UI"/>
            <family val="2"/>
          </rPr>
          <t>Silvio Borella:</t>
        </r>
        <r>
          <rPr>
            <sz val="9"/>
            <color indexed="81"/>
            <rFont val="Segoe UI"/>
            <family val="2"/>
          </rPr>
          <t xml:space="preserve">
… bei einem offenen Kreislauf.</t>
        </r>
      </text>
    </comment>
    <comment ref="F157" authorId="0" shapeId="0">
      <text>
        <r>
          <rPr>
            <b/>
            <sz val="9"/>
            <color indexed="81"/>
            <rFont val="Segoe UI"/>
            <family val="2"/>
          </rPr>
          <t>Silvio Borella:</t>
        </r>
        <r>
          <rPr>
            <sz val="9"/>
            <color indexed="81"/>
            <rFont val="Segoe UI"/>
            <family val="2"/>
          </rPr>
          <t xml:space="preserve">
… bei einem geschlossenen Kreislauf.</t>
        </r>
      </text>
    </comment>
    <comment ref="C168" authorId="0" shapeId="0">
      <text>
        <r>
          <rPr>
            <b/>
            <sz val="9"/>
            <color indexed="81"/>
            <rFont val="Segoe UI"/>
            <family val="2"/>
          </rPr>
          <t>Silvio Borella:</t>
        </r>
        <r>
          <rPr>
            <sz val="9"/>
            <color indexed="81"/>
            <rFont val="Segoe UI"/>
            <family val="2"/>
          </rPr>
          <t xml:space="preserve">
Einsparung bei Ersatz Drosselung durch Redimensionierung (Fälle, wo max. Volumenstrom als Fkt vom Nennvolumenstrom bekannt).</t>
        </r>
      </text>
    </comment>
    <comment ref="B169" authorId="0" shapeId="0">
      <text>
        <r>
          <rPr>
            <b/>
            <sz val="9"/>
            <color indexed="81"/>
            <rFont val="Segoe UI"/>
            <family val="2"/>
          </rPr>
          <t>Silvio Borella:</t>
        </r>
        <r>
          <rPr>
            <sz val="9"/>
            <color indexed="81"/>
            <rFont val="Segoe UI"/>
            <family val="2"/>
          </rPr>
          <t xml:space="preserve">
max. Volumenstrom, als Teil des Nennvolumenstroms.</t>
        </r>
      </text>
    </comment>
    <comment ref="F178" authorId="0" shapeId="0">
      <text>
        <r>
          <rPr>
            <b/>
            <sz val="9"/>
            <color indexed="81"/>
            <rFont val="Segoe UI"/>
            <family val="2"/>
          </rPr>
          <t>Silvio Borella:</t>
        </r>
        <r>
          <rPr>
            <sz val="9"/>
            <color indexed="81"/>
            <rFont val="Segoe UI"/>
            <family val="2"/>
          </rPr>
          <t xml:space="preserve">
Spalten-Nr in
"Matrix_Regelung.Teilvolumenstrom.Einsparpotential.ID"</t>
        </r>
      </text>
    </comment>
    <comment ref="E208" authorId="0" shapeId="0">
      <text>
        <r>
          <rPr>
            <b/>
            <sz val="9"/>
            <color indexed="81"/>
            <rFont val="Segoe UI"/>
            <family val="2"/>
          </rPr>
          <t>Silvio Borella:</t>
        </r>
        <r>
          <rPr>
            <sz val="9"/>
            <color indexed="81"/>
            <rFont val="Segoe UI"/>
            <family val="2"/>
          </rPr>
          <t xml:space="preserve">
Allgemeiner Text zu einer Pumpenanlage, für Schritt 1</t>
        </r>
      </text>
    </comment>
    <comment ref="F208" authorId="0" shapeId="0">
      <text>
        <r>
          <rPr>
            <b/>
            <sz val="9"/>
            <color indexed="81"/>
            <rFont val="Segoe UI"/>
            <family val="2"/>
          </rPr>
          <t>Silvio Borella:</t>
        </r>
        <r>
          <rPr>
            <sz val="9"/>
            <color indexed="81"/>
            <rFont val="Segoe UI"/>
            <family val="2"/>
          </rPr>
          <t xml:space="preserve">
Text zu einzelnen Massnahmen, für Schritt 2</t>
        </r>
      </text>
    </comment>
    <comment ref="G208" authorId="0" shapeId="0">
      <text>
        <r>
          <rPr>
            <b/>
            <sz val="9"/>
            <color indexed="81"/>
            <rFont val="Segoe UI"/>
            <family val="2"/>
          </rPr>
          <t>Silvio Borella:</t>
        </r>
        <r>
          <rPr>
            <sz val="9"/>
            <color indexed="81"/>
            <rFont val="Segoe UI"/>
            <family val="2"/>
          </rPr>
          <t xml:space="preserve">
1: in Schritt 2 übernehmen
0: in Schritt 2 nicht übernehmen
2: fakultative Übernahme in Schritt 2</t>
        </r>
      </text>
    </comment>
    <comment ref="D227" authorId="0" shapeId="0">
      <text>
        <r>
          <rPr>
            <b/>
            <sz val="9"/>
            <color indexed="81"/>
            <rFont val="Segoe UI"/>
            <family val="2"/>
          </rPr>
          <t>Silvio Borella:</t>
        </r>
        <r>
          <rPr>
            <sz val="9"/>
            <color indexed="81"/>
            <rFont val="Segoe UI"/>
            <family val="2"/>
          </rPr>
          <t xml:space="preserve">
Multiplikationsfaktor zum Einsparpotential je nach aktueller Regulierungsart:
- keine Eingabe: Annahme = Drosselung --&gt; Faktor 1
- keine: Annahme = Drosselung --&gt; Faktor 1
- Drosselung und Bypass --&gt; Faktor 1
- FU: schon optimiert --&gt; Faktor 0</t>
        </r>
      </text>
    </comment>
    <comment ref="E227" authorId="0" shapeId="0">
      <text>
        <r>
          <rPr>
            <b/>
            <sz val="9"/>
            <color indexed="81"/>
            <rFont val="Segoe UI"/>
            <family val="2"/>
          </rPr>
          <t>Silvio Borella:</t>
        </r>
        <r>
          <rPr>
            <sz val="9"/>
            <color indexed="81"/>
            <rFont val="Segoe UI"/>
            <family val="2"/>
          </rPr>
          <t xml:space="preserve">
Multiplikationsfaktor zum Einsparpotential je nach aktueller Regulierungsart:
- keine Eingabe: Annahme = Drosselung --&gt; Faktor 1
- keine: Annahme = Drosselung --&gt; Faktor 1
- Drosselung und Bypass --&gt; Faktor 1
- FU: schon optimiert --&gt; Faktor 0</t>
        </r>
      </text>
    </comment>
    <comment ref="F227" authorId="0" shapeId="0">
      <text>
        <r>
          <rPr>
            <b/>
            <sz val="9"/>
            <color indexed="81"/>
            <rFont val="Segoe UI"/>
            <family val="2"/>
          </rPr>
          <t>Silvio Borella:</t>
        </r>
        <r>
          <rPr>
            <sz val="9"/>
            <color indexed="81"/>
            <rFont val="Segoe UI"/>
            <family val="2"/>
          </rPr>
          <t xml:space="preserve">
Multiplikationsfaktor zum Einsparpotential je nach aktueller Regulierungsart:
- keine Eingabe: Annahme = Drosselung --&gt; Faktor 1
- keine: Annahme = Drosselung --&gt; Faktor 1
- Drosselung und Bypass --&gt; Faktor 1
- FU: schon optimiert --&gt; Faktor 0</t>
        </r>
      </text>
    </comment>
    <comment ref="G227" authorId="0" shapeId="0">
      <text>
        <r>
          <rPr>
            <b/>
            <sz val="9"/>
            <color indexed="81"/>
            <rFont val="Segoe UI"/>
            <family val="2"/>
          </rPr>
          <t>Silvio Borella:</t>
        </r>
        <r>
          <rPr>
            <sz val="9"/>
            <color indexed="81"/>
            <rFont val="Segoe UI"/>
            <family val="2"/>
          </rPr>
          <t xml:space="preserve">
Effizienzklassen Motoren</t>
        </r>
      </text>
    </comment>
    <comment ref="H227" authorId="0" shapeId="0">
      <text>
        <r>
          <rPr>
            <b/>
            <sz val="9"/>
            <color indexed="81"/>
            <rFont val="Segoe UI"/>
            <family val="2"/>
          </rPr>
          <t>Silvio Borella:</t>
        </r>
        <r>
          <rPr>
            <sz val="9"/>
            <color indexed="81"/>
            <rFont val="Segoe UI"/>
            <family val="2"/>
          </rPr>
          <t xml:space="preserve">
Sortiervariante für Darstellung in Schritt 2.
Diese Sortiermöglichkeit wurde für den Nutzer ausgeschaltet, weil sie zu Fehlern führt (darf nicht mehr verwendet werden, wenn schon Daten in Schritt 2 eingegeben wurden).</t>
        </r>
      </text>
    </comment>
    <comment ref="I227" authorId="0" shapeId="0">
      <text>
        <r>
          <rPr>
            <b/>
            <sz val="9"/>
            <color indexed="81"/>
            <rFont val="Segoe UI"/>
            <family val="2"/>
          </rPr>
          <t>Silvio Borella:</t>
        </r>
        <r>
          <rPr>
            <sz val="9"/>
            <color indexed="81"/>
            <rFont val="Segoe UI"/>
            <family val="2"/>
          </rPr>
          <t xml:space="preserve">
Spalten-Nummer im Blatt 'Berechnungen 1', wo die entsprechenden Rangpunkte zu finden sind.</t>
        </r>
      </text>
    </comment>
    <comment ref="J227" authorId="0" shapeId="0">
      <text>
        <r>
          <rPr>
            <b/>
            <sz val="9"/>
            <color indexed="81"/>
            <rFont val="Segoe UI"/>
            <family val="2"/>
          </rPr>
          <t>Silvio Borella:</t>
        </r>
        <r>
          <rPr>
            <sz val="9"/>
            <color indexed="81"/>
            <rFont val="Segoe UI"/>
            <family val="2"/>
          </rPr>
          <t xml:space="preserve">
Sortiervariante für Darstellung in Resultate.</t>
        </r>
      </text>
    </comment>
    <comment ref="K227" authorId="0" shapeId="0">
      <text>
        <r>
          <rPr>
            <b/>
            <sz val="9"/>
            <color indexed="81"/>
            <rFont val="Segoe UI"/>
            <family val="2"/>
          </rPr>
          <t>Silvio Borella:</t>
        </r>
        <r>
          <rPr>
            <sz val="9"/>
            <color indexed="81"/>
            <rFont val="Segoe UI"/>
            <family val="2"/>
          </rPr>
          <t xml:space="preserve">
Spalten-Nummer im Blatt 'Berechnungen 2', wo die entsprechenden Rangpunkte zu finden sind.</t>
        </r>
      </text>
    </comment>
    <comment ref="D273" authorId="0" shapeId="0">
      <text>
        <r>
          <rPr>
            <b/>
            <sz val="9"/>
            <color indexed="81"/>
            <rFont val="Segoe UI"/>
            <family val="2"/>
          </rPr>
          <t>Silvio Borella:</t>
        </r>
        <r>
          <rPr>
            <sz val="9"/>
            <color indexed="81"/>
            <rFont val="Segoe UI"/>
            <family val="2"/>
          </rPr>
          <t xml:space="preserve">
Beurteilung ob Schritt 2
1: Ja
2: eventuell
0: Nein
(aus Punkte vom 1-2-3-Test)</t>
        </r>
      </text>
    </comment>
    <comment ref="B279" authorId="0" shapeId="0">
      <text>
        <r>
          <rPr>
            <b/>
            <sz val="9"/>
            <color indexed="81"/>
            <rFont val="Segoe UI"/>
            <family val="2"/>
          </rPr>
          <t>Silvio Borella:</t>
        </r>
        <r>
          <rPr>
            <sz val="9"/>
            <color indexed="81"/>
            <rFont val="Segoe UI"/>
            <family val="2"/>
          </rPr>
          <t xml:space="preserve">
Dieser Wert ist die max. mögliche Anzahl Punkte.
(Wird automatisch als Funktion vom Faktor A und von den Punkten für Alter, Leistung und Laufzeit berechnet).</t>
        </r>
      </text>
    </comment>
  </commentList>
</comments>
</file>

<file path=xl/comments7.xml><?xml version="1.0" encoding="utf-8"?>
<comments xmlns="http://schemas.openxmlformats.org/spreadsheetml/2006/main">
  <authors>
    <author>Silvio Borella</author>
  </authors>
  <commentList>
    <comment ref="D21" authorId="0" shapeId="0">
      <text>
        <r>
          <rPr>
            <b/>
            <sz val="9"/>
            <color indexed="81"/>
            <rFont val="Segoe UI"/>
            <family val="2"/>
          </rPr>
          <t>Silvio Borella:</t>
        </r>
        <r>
          <rPr>
            <sz val="9"/>
            <color indexed="81"/>
            <rFont val="Segoe UI"/>
            <family val="2"/>
          </rPr>
          <t xml:space="preserve">
</t>
        </r>
        <r>
          <rPr>
            <sz val="8"/>
            <color indexed="81"/>
            <rFont val="Segoe UI"/>
            <family val="2"/>
          </rPr>
          <t>Interne Nummer, Code, etc.</t>
        </r>
      </text>
    </comment>
    <comment ref="D23" authorId="0" shapeId="0">
      <text>
        <r>
          <rPr>
            <b/>
            <sz val="9"/>
            <color indexed="81"/>
            <rFont val="Segoe UI"/>
            <family val="2"/>
          </rPr>
          <t>Silvio Borella:</t>
        </r>
        <r>
          <rPr>
            <sz val="9"/>
            <color indexed="81"/>
            <rFont val="Segoe UI"/>
            <family val="2"/>
          </rPr>
          <t xml:space="preserve">
</t>
        </r>
        <r>
          <rPr>
            <sz val="8"/>
            <color indexed="81"/>
            <rFont val="Segoe UI"/>
            <family val="2"/>
          </rPr>
          <t>Elektrische Nennleistung des Elektromotors, in kW.
Kann aus dem Typenschild abgelesen werden.</t>
        </r>
      </text>
    </comment>
    <comment ref="D24" authorId="0" shapeId="0">
      <text>
        <r>
          <rPr>
            <b/>
            <sz val="9"/>
            <color indexed="81"/>
            <rFont val="Segoe UI"/>
            <family val="2"/>
          </rPr>
          <t>Silvio Borella:</t>
        </r>
        <r>
          <rPr>
            <sz val="9"/>
            <color indexed="81"/>
            <rFont val="Segoe UI"/>
            <family val="2"/>
          </rPr>
          <t xml:space="preserve">
Betriebszeit der Pumpe, in Stunden pro Jahr.</t>
        </r>
      </text>
    </comment>
    <comment ref="D25" authorId="0" shapeId="0">
      <text>
        <r>
          <rPr>
            <b/>
            <sz val="9"/>
            <color indexed="81"/>
            <rFont val="Segoe UI"/>
            <family val="2"/>
          </rPr>
          <t>Silvio Borella:</t>
        </r>
        <r>
          <rPr>
            <sz val="9"/>
            <color indexed="81"/>
            <rFont val="Segoe UI"/>
            <family val="2"/>
          </rPr>
          <t xml:space="preserve">
Baujahr der Anlage. Angabe auf dem Typenschild der Pumpe.</t>
        </r>
      </text>
    </comment>
    <comment ref="D26" authorId="0" shapeId="0">
      <text>
        <r>
          <rPr>
            <b/>
            <sz val="9"/>
            <color indexed="81"/>
            <rFont val="Segoe UI"/>
            <family val="2"/>
          </rPr>
          <t>Silvio Borella:</t>
        </r>
        <r>
          <rPr>
            <sz val="9"/>
            <color indexed="81"/>
            <rFont val="Segoe UI"/>
            <family val="2"/>
          </rPr>
          <t xml:space="preserve">
</t>
        </r>
        <r>
          <rPr>
            <sz val="8"/>
            <color indexed="81"/>
            <rFont val="Segoe UI"/>
            <family val="2"/>
          </rPr>
          <t>Schritt 2 (detailliertere Analyse) erzwingen.
Z.B. weil Pumpe nicht mehr richtig funktioniert und demnächst muss ersetzt werden...</t>
        </r>
      </text>
    </comment>
    <comment ref="D27" authorId="0" shapeId="0">
      <text>
        <r>
          <rPr>
            <b/>
            <sz val="9"/>
            <color indexed="81"/>
            <rFont val="Segoe UI"/>
            <family val="2"/>
          </rPr>
          <t>Silvio Borella:</t>
        </r>
        <r>
          <rPr>
            <sz val="9"/>
            <color indexed="81"/>
            <rFont val="Segoe UI"/>
            <family val="2"/>
          </rPr>
          <t xml:space="preserve">
Grobe Abschätzung über die Wahrscheinlichkeit, dass wirtschaftliche Massnahmen vorhanden sind.</t>
        </r>
      </text>
    </comment>
    <comment ref="K162" authorId="0" shapeId="0">
      <text>
        <r>
          <rPr>
            <b/>
            <sz val="9"/>
            <color indexed="81"/>
            <rFont val="Segoe UI"/>
            <family val="2"/>
          </rPr>
          <t>Silvio Borella:</t>
        </r>
        <r>
          <rPr>
            <sz val="9"/>
            <color indexed="81"/>
            <rFont val="Segoe UI"/>
            <family val="2"/>
          </rPr>
          <t xml:space="preserve">
Info, ob Autor-Name auf gleicher Zeile wie Kommentar (0) oder Zeilenwechsel (1)</t>
        </r>
      </text>
    </comment>
  </commentList>
</comments>
</file>

<file path=xl/sharedStrings.xml><?xml version="1.0" encoding="utf-8"?>
<sst xmlns="http://schemas.openxmlformats.org/spreadsheetml/2006/main" count="1232" uniqueCount="875">
  <si>
    <t>Einsparpotential</t>
  </si>
  <si>
    <t>Motor</t>
  </si>
  <si>
    <t>FU</t>
  </si>
  <si>
    <t>Redim bzw. total</t>
  </si>
  <si>
    <t>En.-Anteil</t>
  </si>
  <si>
    <t>a - "&lt; 1990 (Eff3)"</t>
  </si>
  <si>
    <t>b - "1990-2000 (IE1)"</t>
  </si>
  <si>
    <t>c - "2000-2010 (IE2)"</t>
  </si>
  <si>
    <t>d - "&gt;2010 (IE3)"</t>
  </si>
  <si>
    <t>Kosten</t>
  </si>
  <si>
    <t>Motor     a</t>
  </si>
  <si>
    <t>CHF/kW</t>
  </si>
  <si>
    <t>(Preis = a*P+b)</t>
  </si>
  <si>
    <t xml:space="preserve">                 b</t>
  </si>
  <si>
    <t>CHF</t>
  </si>
  <si>
    <t>Motor Planung etc.</t>
  </si>
  <si>
    <t>(Planung, Dimensionierung, Installation)</t>
  </si>
  <si>
    <t>FU            a</t>
  </si>
  <si>
    <t>FU Planung etc.</t>
  </si>
  <si>
    <t>Redim         a</t>
  </si>
  <si>
    <t>(Preis = a*P+b) Redim. = inkl. Motor, FU, Pumpe</t>
  </si>
  <si>
    <t>Redim Planung etc.</t>
  </si>
  <si>
    <t>Strom-Preis</t>
  </si>
  <si>
    <t>Rp/kWh</t>
  </si>
  <si>
    <t>Parameter</t>
  </si>
  <si>
    <t>Tool ProEPA - Energieeffiziente Pumpen</t>
  </si>
  <si>
    <t>Schritt 1</t>
  </si>
  <si>
    <t>Infos</t>
  </si>
  <si>
    <t>- Die hier aufgeführten Parameter werden für die Berechnungen in den anderen Arbeitsblättern benutzt.</t>
  </si>
  <si>
    <t>- Diese Parameter sollten nicht vom Nutzer verändert werden.</t>
  </si>
  <si>
    <t>Standardwerte</t>
  </si>
  <si>
    <t>- Die Standardwerte werden dort benutzt, wo der Nutzer keinen Wert eingibt.</t>
  </si>
  <si>
    <t>Quelle</t>
  </si>
  <si>
    <t>https://www.strompreis.elcom.admin.ch/</t>
  </si>
  <si>
    <t>Grobe Abschätzung des Durchschnittspreis für die Kundenkategorie C4.</t>
  </si>
  <si>
    <t>- Die blau markierten Felder sind Daten-Matrizen, welche als solche mit Verweis-Funktionen verwendet werden.</t>
  </si>
  <si>
    <t>- Der Zugriff auf die Standardwerte, Parameter, Daten-Matrizen, etc. erfolgt i.d.R. über Namen.</t>
  </si>
  <si>
    <t>Im vorliegenden "Schritt 1" werden nur wenige Angaben benötigt. Dieser 1. Schritt dient einer ersten Filterung der Pumpenanlagen.</t>
  </si>
  <si>
    <t>Nr</t>
  </si>
  <si>
    <t>Bezeichnung</t>
  </si>
  <si>
    <t>Ort</t>
  </si>
  <si>
    <t>Leistung P</t>
  </si>
  <si>
    <t>Baujahr</t>
  </si>
  <si>
    <t>[kW]</t>
  </si>
  <si>
    <t>[h/a]</t>
  </si>
  <si>
    <t>Rang</t>
  </si>
  <si>
    <t>offen</t>
  </si>
  <si>
    <t>Infos für die Tool-Entwicklung</t>
  </si>
  <si>
    <t>Registerfarbe:</t>
  </si>
  <si>
    <t>- blau: Parameter --&gt; für Nutzer nicht sichbar</t>
  </si>
  <si>
    <t>- orange: Infos für Programmierung --&gt; für Nutzer nicht sichtbar</t>
  </si>
  <si>
    <t>Anzahl Pole</t>
  </si>
  <si>
    <t>Effizienzklassen - Motoren</t>
  </si>
  <si>
    <t>- Für die Umwandlung von Baujahr --&gt; IE-Klasse des Motors</t>
  </si>
  <si>
    <t>- Quelle: Topmotors, Merkblatt 13 "Wirkungsgrade" (Oktober 2014)</t>
  </si>
  <si>
    <t>Jg [Jahre]</t>
  </si>
  <si>
    <t>Klasse</t>
  </si>
  <si>
    <t>ID</t>
  </si>
  <si>
    <t>IE3</t>
  </si>
  <si>
    <t>IE4</t>
  </si>
  <si>
    <t>Effizienzklassen - Pumpenanlage</t>
  </si>
  <si>
    <t>- Für die Umwandlung von Baujahr --&gt; Altersklasse der Pumpenanlage gemäss Planair</t>
  </si>
  <si>
    <t>IE0 (Eff3)</t>
  </si>
  <si>
    <t>IE1 (Eff2)</t>
  </si>
  <si>
    <t>IE2 (Eff1)</t>
  </si>
  <si>
    <t>IE-Klassen - Wirkungsgrad-Parameter</t>
  </si>
  <si>
    <t>- Für die Umwandlung von IE-Klasse --&gt; Parameter zur Berechnung des Wirkungsgrads des Motors</t>
  </si>
  <si>
    <t>- Quelle: Topmotors, Merkblatt 13 "Wirkungsgrade" (Oktober 2014) und xxx</t>
  </si>
  <si>
    <t>IE-Klasse</t>
  </si>
  <si>
    <t>Pole</t>
  </si>
  <si>
    <t>&lt;IE0</t>
  </si>
  <si>
    <t>- Die rosa markierten Felder enthalten Daten, welche extrapoliert wurden / noch müssen überprüft werden.</t>
  </si>
  <si>
    <t>IE-ID</t>
  </si>
  <si>
    <t>P [kW]</t>
  </si>
  <si>
    <t>A</t>
  </si>
  <si>
    <t>B</t>
  </si>
  <si>
    <t>C</t>
  </si>
  <si>
    <t>D</t>
  </si>
  <si>
    <t>Kombi</t>
  </si>
  <si>
    <t>IE5</t>
  </si>
  <si>
    <t>IE-Klassen - Wirkungsgrad-Parameter --&gt; Verif. 4-polig</t>
  </si>
  <si>
    <t>Eta (IE-ID)</t>
  </si>
  <si>
    <t>Pole:</t>
  </si>
  <si>
    <t>P-ID</t>
  </si>
  <si>
    <t>- Die hell-grau markierten Felder enthalten nur Versuchsberechnungen (Tests).</t>
  </si>
  <si>
    <t>Pmax</t>
  </si>
  <si>
    <t>Maximale Motorenleistung für die Berechnung des Wirkungsgrads. Ab dieser Leitstung ist der Wirkungsgrad konstant.</t>
  </si>
  <si>
    <t>P' [kW]</t>
  </si>
  <si>
    <t>- Quelle: Extrait du document de l'OFEN "Guide des bonnes pratiques pour l'optimisation des entraînements électriques" (Planair SA, 5 août 2015)</t>
  </si>
  <si>
    <t>"Planairklassen" - Einsparpotentiale für Pumpenanlage</t>
  </si>
  <si>
    <t>- Für die Umwandlung von Altersklasse der Pumpenanlage gemäss Planair --&gt; Einsparpotential fü die verschiedenen MN-Bereiche</t>
  </si>
  <si>
    <t>Alter-ID</t>
  </si>
  <si>
    <t>Altersklasse</t>
  </si>
  <si>
    <t>- Einsparpotential FU: Mittelwert aus den angegebenen Einsparpotentiale für 25% / 50% / 75% Teillast und für geschlossenes / offenes Netz.</t>
  </si>
  <si>
    <t>- Einsparpotential Motor: Im vorliegenden Grobanalyse-Tool wird nicht mit diesen "Planair-Faktoren" gerechnet, sondern aus den TopMotors Angaben (siehe oben).</t>
  </si>
  <si>
    <t>- Energie-Anteil: grobe Aufteilung der investitionskosten auf Energie-Anteil… [grobe Abschätzung Neosys AG, auf Basis technische Lebensdauer = ca. 40 Jahre]</t>
  </si>
  <si>
    <t>- Für die Abschätzung der Kosten von Massnahmen</t>
  </si>
  <si>
    <t>- Topmotors, Merkblatt 10 "Motorpreise" (Oktober 2014)</t>
  </si>
  <si>
    <t>- Quellen:</t>
  </si>
  <si>
    <t>- Topmotors, Merkblatt 11 "FU-Preise" (Oktober 2014)</t>
  </si>
  <si>
    <t>- Parameter-Abschätzung Neosys AG</t>
  </si>
  <si>
    <t>Berechnungen zum Schritt 1</t>
  </si>
  <si>
    <t>Alter-ID (Planair)</t>
  </si>
  <si>
    <t>Planair-Klasse</t>
  </si>
  <si>
    <t>[CHF]</t>
  </si>
  <si>
    <t>[kWh/a]</t>
  </si>
  <si>
    <t>[CHF/a]</t>
  </si>
  <si>
    <t>Payback</t>
  </si>
  <si>
    <t>[a]</t>
  </si>
  <si>
    <t>P'</t>
  </si>
  <si>
    <t>Motor, Anzahl Pole</t>
  </si>
  <si>
    <t>IE neu</t>
  </si>
  <si>
    <t>IE-ID / -Klasse für einen neuen Motor</t>
  </si>
  <si>
    <t>Kombi neu</t>
  </si>
  <si>
    <t>Kombi alt</t>
  </si>
  <si>
    <t>Eta alt</t>
  </si>
  <si>
    <t>Eta neu</t>
  </si>
  <si>
    <t>- Für die Einteilung nach der Wirtschaftlichkeit der Massnahmen</t>
  </si>
  <si>
    <t>Payback [a]</t>
  </si>
  <si>
    <t>Text</t>
  </si>
  <si>
    <t>wirtschaftlich</t>
  </si>
  <si>
    <t>knapp wirtschaftlich</t>
  </si>
  <si>
    <t>sehr wirtschaftlich</t>
  </si>
  <si>
    <t>eher unwirtschaftlich</t>
  </si>
  <si>
    <t>unwirtschaftlich</t>
  </si>
  <si>
    <t>[%]</t>
  </si>
  <si>
    <t>Kosten'</t>
  </si>
  <si>
    <t>En-Anteil</t>
  </si>
  <si>
    <t>1/0 --&gt; Energie-Anteil an Investitionskosten berücksichtigen / nicht berücksichtigen</t>
  </si>
  <si>
    <t>Redim</t>
  </si>
  <si>
    <t>[%] Redim</t>
  </si>
  <si>
    <t>[CHF/a] total</t>
  </si>
  <si>
    <t>[kWh/a] total</t>
  </si>
  <si>
    <t>Min. Payback</t>
  </si>
  <si>
    <t>Wirtschaftlichkeit</t>
  </si>
  <si>
    <t>Text lang 1</t>
  </si>
  <si>
    <t>Text lang 2</t>
  </si>
  <si>
    <t>Sehr wirtschaftliche Massnahmen vorhanden.</t>
  </si>
  <si>
    <t>Schritt 2</t>
  </si>
  <si>
    <t>Wirtschaftliche Massnahmen wahrscheinlich vorhanden.</t>
  </si>
  <si>
    <t>Knapp wirtschaftliche Massnahmen eventuell vorhanden.</t>
  </si>
  <si>
    <t>Sehr wahrscheinlich keine wirtschaftliche Massnahmen vorhanden.</t>
  </si>
  <si>
    <t>Im vorliegenden "Schritt 2" werden die im 1. Schritt gefilterten Pumpenanlagen detaillierter untersucht…</t>
  </si>
  <si>
    <t>Hacken</t>
  </si>
  <si>
    <t>Zeichen, welcher bei Wahl (Ja/Nein) erscheint.</t>
  </si>
  <si>
    <t>Ja</t>
  </si>
  <si>
    <t>S.2 zwingen</t>
  </si>
  <si>
    <t>Schritt 2'</t>
  </si>
  <si>
    <t>Lang 2</t>
  </si>
  <si>
    <t>Platzhalter PB</t>
  </si>
  <si>
    <t>Platzhalter für Paybackzeit, falls keine Angaben vorhanden</t>
  </si>
  <si>
    <t>Payback'</t>
  </si>
  <si>
    <t>"Max." Payback</t>
  </si>
  <si>
    <t>Maximale Payback für die Bestimmung der Reihenfolge im Schritt 2</t>
  </si>
  <si>
    <t>Rang-Nr</t>
  </si>
  <si>
    <t>Regulierung</t>
  </si>
  <si>
    <t>Polzahl</t>
  </si>
  <si>
    <t>Jahr</t>
  </si>
  <si>
    <t>Bp/D/FU/keine</t>
  </si>
  <si>
    <t>Resultat Schritt 1</t>
  </si>
  <si>
    <t>- Quelle: Extrait du document de l'OFEN "Guide des bonnes pratiques pour l'optimisation des entraînements électriques" (Planair SA, 5 août 2015) --&gt; Verändert gemäss Planair, persönliche Kommunikation 14.12.2015</t>
  </si>
  <si>
    <t>- Annahme: geschlossener Kreislauf ca. 3x häufiger als offener Kreislauf</t>
  </si>
  <si>
    <t>Kreislauf</t>
  </si>
  <si>
    <t>Listen für Dropdowns</t>
  </si>
  <si>
    <t>geschlossen</t>
  </si>
  <si>
    <t>- Für die verschiedenen Dropdown-Menüs</t>
  </si>
  <si>
    <t>Bedarf</t>
  </si>
  <si>
    <t>variabel</t>
  </si>
  <si>
    <t>konstant</t>
  </si>
  <si>
    <t>keine</t>
  </si>
  <si>
    <t>Drosselung</t>
  </si>
  <si>
    <t>Bypass</t>
  </si>
  <si>
    <t>Annahme</t>
  </si>
  <si>
    <t>Eingabe</t>
  </si>
  <si>
    <t>benutzter Wert</t>
  </si>
  <si>
    <t>Effizienzklasse</t>
  </si>
  <si>
    <t>Strompreis:</t>
  </si>
  <si>
    <t>IE-Klassen</t>
  </si>
  <si>
    <t>System</t>
  </si>
  <si>
    <t>Betriebsstunden nach Volumenstrombedarf</t>
  </si>
  <si>
    <t>Abgeschätztes Einsparpotential durch</t>
  </si>
  <si>
    <t>Ersatz Motor</t>
  </si>
  <si>
    <t>Drehzahl-Regulierung</t>
  </si>
  <si>
    <t>Neu-Dimensionierung Anlage</t>
  </si>
  <si>
    <t>Werkstatt</t>
  </si>
  <si>
    <t>Heizzentrale</t>
  </si>
  <si>
    <t>P</t>
  </si>
  <si>
    <t>t</t>
  </si>
  <si>
    <t>offen / geschlossen</t>
  </si>
  <si>
    <t>variabel / kst</t>
  </si>
  <si>
    <t>IE-ID neu</t>
  </si>
  <si>
    <t>[%] Einsparung</t>
  </si>
  <si>
    <t>keine/D/Bp/FU</t>
  </si>
  <si>
    <t>Teil Vol</t>
  </si>
  <si>
    <t>mit Ventilen</t>
  </si>
  <si>
    <t>Serie-Schaltung</t>
  </si>
  <si>
    <t>Netz-Typ</t>
  </si>
  <si>
    <t>Serie</t>
  </si>
  <si>
    <t>Spalte</t>
  </si>
  <si>
    <t>Netztyp</t>
  </si>
  <si>
    <t>--&gt;</t>
  </si>
  <si>
    <t>Netz-Zahl</t>
  </si>
  <si>
    <t>Kreislauf-Zahl</t>
  </si>
  <si>
    <t>Netztyp-ID</t>
  </si>
  <si>
    <t>Netz</t>
  </si>
  <si>
    <t>Bemerkungen zu den Berechnungen:</t>
  </si>
  <si>
    <t>- Das Einsparpotential wird jeweils auf der Basis der Nennleistung x Betriebsstunden berechnet.</t>
  </si>
  <si>
    <t>- Die Wirkungsgrade der Motoren werden für gewissen IE-Klassen / Leistungen noch extrapoliert.</t>
  </si>
  <si>
    <t>U.a. werden die IE5 Motoren noch wie die IE4 behandelt!</t>
  </si>
  <si>
    <t>- Fehlen noch:</t>
  </si>
  <si>
    <t>Ein Blatt "Zusammenfassung"</t>
  </si>
  <si>
    <t>- Der neue Ansatz für den Schritt 1 wird wie folgt berechnet:</t>
  </si>
  <si>
    <t>Punkte = Pkte(Alter) + Faktor_A * Pkte(t) * Pkte(P)</t>
  </si>
  <si>
    <t>wobei:</t>
  </si>
  <si>
    <t>- t = Betriebszeit in h/a</t>
  </si>
  <si>
    <t>- P = Nennleistung in kW</t>
  </si>
  <si>
    <t>- Der Faktor_A sowie die Punkte und die dazugehörigen Kategorien sind im Blatt 'Parameter' definiert.</t>
  </si>
  <si>
    <t>- Ursprünglich wurde im Schritt 1 annähernd eine Paybackzeit berechnet. Neu wird eine "1-2-3-Methode" verwendet (mit Punkten für Alter, Leistung und Betriebszeit).</t>
  </si>
  <si>
    <t>--&gt; Parameter: siehe unten</t>
  </si>
  <si>
    <t>1-2-3-Test</t>
  </si>
  <si>
    <t>Alter [Jahre]</t>
  </si>
  <si>
    <t>Punkte</t>
  </si>
  <si>
    <t>Nennleistung [kW]</t>
  </si>
  <si>
    <t>Laufzeit [h/a]</t>
  </si>
  <si>
    <t>Pkte (P)</t>
  </si>
  <si>
    <t>Betriebszeit t</t>
  </si>
  <si>
    <t>Pkte (t)</t>
  </si>
  <si>
    <t>Pkte (Alter)</t>
  </si>
  <si>
    <t>Pkte total</t>
  </si>
  <si>
    <t>[-]</t>
  </si>
  <si>
    <t>Faktor A</t>
  </si>
  <si>
    <t>Anlage evtl. genauer überprüfen</t>
  </si>
  <si>
    <t>Anlage genauer überprüfen</t>
  </si>
  <si>
    <t>Rang-Pkte</t>
  </si>
  <si>
    <t>- Für die Reihenfolge der Anlagen in Schritt 2 werden folgende Kriterien verwendet (in dieser Reihenfolge):</t>
  </si>
  <si>
    <t>2) Punkte-Zahl (grössere Zahl zuerst).</t>
  </si>
  <si>
    <t>3) grobe Abschätzung der Paybackzeit (kleinere Paybackzeit zuerst).</t>
  </si>
  <si>
    <t>1) Bestimmung, ob die Anlage in Schritt 2 übernommen werden soll (1: ja, 2: evtl., 3: nein), unter Berücksichtigung des eventuellen Zwingens.</t>
  </si>
  <si>
    <t>- Schritt 1 mit "Punkten" berechnet:</t>
  </si>
  <si>
    <t>Aktuell:</t>
  </si>
  <si>
    <t>(Rang-Pkte)</t>
  </si>
  <si>
    <t>Alte Varianten:</t>
  </si>
  <si>
    <t>2) Anlagen-Nummer gemäss Schritt 1.</t>
  </si>
  <si>
    <t>Zellenfarbe:</t>
  </si>
  <si>
    <t>- Version:</t>
  </si>
  <si>
    <t>- Datum:</t>
  </si>
  <si>
    <t>Allgemeine Angaben zum Tool:</t>
  </si>
  <si>
    <t>- Autor:</t>
  </si>
  <si>
    <t>Silvio Borella, Neosys AG</t>
  </si>
  <si>
    <t>--&gt; benutzter Wert:</t>
  </si>
  <si>
    <t>- Dies ist nicht ganz korrekt, denn die aufgenommene Leistung ist auch bei einer Drosselung leicht tiefer als die Nennleistung.</t>
  </si>
  <si>
    <t>- Da es sich hier um eine Grobanalyse handelt, braucht die Abschätzung des Einsparpotentials nicht genauer zu sein.</t>
  </si>
  <si>
    <t>Einsparfaktor</t>
  </si>
  <si>
    <t>- Die andere Variante entspricht einem Netz mit nur EINEM (grossen) Nutzer allenfalls mit variablem Bedarf.</t>
  </si>
  <si>
    <t>- Dieser "parallel-Betrieb" entspricht z.B. einem Heizungsnetz mit verschiedenen Heizkörpern, welche einzeln mit einem Thermostatventil ausgerüstet sind.</t>
  </si>
  <si>
    <t>- Wenn ein Teil der Thermostatventile schliesst wird die Netzkennlinie steiler.</t>
  </si>
  <si>
    <t>- Die Netzkennlinie bleibt auch mit dem Einsatz eines FU steil.</t>
  </si>
  <si>
    <t>- Mit dem FU-Einsatz kann aber der Druckverlust auf den gewünschten Wert (gewünschter Volumenstrom) reduziert werden.</t>
  </si>
  <si>
    <t>- Diese 2. Variante ist bestimmt viel seltener und wird in der vorliegenden Version (noch) nicht berücksichtigt.</t>
  </si>
  <si>
    <t>- Bei dieser Variante erlaubt der Einsatz eines FU den Erhalt der ursprünglichen Netzkennlinie.</t>
  </si>
  <si>
    <t>- Aktuell (Stand 2016-04-12) wird von einem parallel-Betrieb ausgegangen (Schliess-Ventile bleiben, auch bei FU-Varianten).</t>
  </si>
  <si>
    <t>- Aktuell (Stand 2016-04-12) wird die Eingabe zur "Regelungsart" (Drosselung / FU / etc.) sehr vereinfacht bei der Abschätzung des Einsparpotentials berücksichtigt.</t>
  </si>
  <si>
    <t>- Bei der Eingabe "FU" wird das Einsparpotential beim Einbau einer Drehzahlregelung als 0 betrachtet (Drehzahlregelung schon vorhanden.</t>
  </si>
  <si>
    <t>- Bei der Eingabe aller anderen Varianten (keine Eingabe, "keine (Regelung)", "Drosselung", "Bypass") wird das Einsparpotential gemäss 'Matrix_Regelung.Teilvolumenstrom.Einsparpotential.ID' abgeschätzt.</t>
  </si>
  <si>
    <t>- Aktuell (Stand 2016-04-12) wird die Eingabe zum "Bedarf" (variabel / kst) bei der Abschätzung des Einsparpotentials (noch) nicht berücksichtigt.</t>
  </si>
  <si>
    <t>- Im Prinzip ist die Information zum variablen Bedarf schon unter der Eingabe der Betriebsstunden pro Jahr bei den verschiedenen Volumenströmen
(25%, 50%, 75% resp. 100% vom aktuell maximalen Volumenstrom) eingegeben.</t>
  </si>
  <si>
    <t>- gelb: Eingabe erforderlich</t>
  </si>
  <si>
    <t>- hellgelb: Eingabe fakultativ (keine Eingabe --&gt; Standardwert wird verwendet)</t>
  </si>
  <si>
    <t>- hellgrün: Berechnungen, Zwischenschritte --&gt; für Nutzer nicht sichtbar</t>
  </si>
  <si>
    <t>- rosa: Inhalt noch offen (provisorischer Tool-Inhalt: Text, etc.)</t>
  </si>
  <si>
    <t>--&gt; Wert</t>
  </si>
  <si>
    <t>- Aktuell (Stand 2016-04-12) wird das Einsparpotential durch Redimensionierung mit den Pauschalwerten ([%]) gemäss Planair-Dokument abgeschätzt.</t>
  </si>
  <si>
    <t>- Die Verteilung nach Volumenstrombedarf (25%, 50%, 75%, 100%) wird nicht berücksichtigt.</t>
  </si>
  <si>
    <t>Detaillierte Resultate</t>
  </si>
  <si>
    <t>Total</t>
  </si>
  <si>
    <t>Empfehlungen</t>
  </si>
  <si>
    <t>- Für die Empfehlungen zu den einzelnen Pumpenanlagen als Funktion des Einsparpotentials</t>
  </si>
  <si>
    <t>Potential [CHF/a]</t>
  </si>
  <si>
    <t>- Für die Empfehlungen zu den einzelnen Pumpenanlagen als Funktion des Energieverbrauchs</t>
  </si>
  <si>
    <t>Text zu einer BO</t>
  </si>
  <si>
    <t>-</t>
  </si>
  <si>
    <t>Stromkosten [CHF/a]</t>
  </si>
  <si>
    <t>Betriebsoptimierung empfohlen</t>
  </si>
  <si>
    <t>Betriebsoptimierung sehr empfohlen</t>
  </si>
  <si>
    <t>Betrieboptimierung</t>
  </si>
  <si>
    <t>Verbrauch</t>
  </si>
  <si>
    <t>- Veränderungen zur Version 0.1:</t>
  </si>
  <si>
    <t xml:space="preserve">- zusätzliche Spalte (Eingabe Schritt 1) </t>
  </si>
  <si>
    <t>Weitere eigene Bezeichnungen</t>
  </si>
  <si>
    <t>A1</t>
  </si>
  <si>
    <t>A2</t>
  </si>
  <si>
    <t>A3</t>
  </si>
  <si>
    <t>- Alle Angaben zu Polzahl (3 Spalten) in Schritt 2 ausgeblendet</t>
  </si>
  <si>
    <t>- dunkel-grau: ausgeblendete (auszublendende) Spalten (Hilfsgrössen ohne Interesse für den Anwender)</t>
  </si>
  <si>
    <t>- hell-grau: ausgeblendete (allenfalls provisorisch) Spalten (weitere Angaben oder Eingabefelder, welche wahrscheinlich für den Anwender nicht nützlich sind, jedoch in einer späteren Tool-Version noch von Nutzen sein könnte). Solche Spalten wurden in einer früheren Tool-Version eingebaut, dann ziels Vereinfachung wieder "herausgenommen".</t>
  </si>
  <si>
    <t>Feinanalyse</t>
  </si>
  <si>
    <t>Text zu einer Feinanalyse</t>
  </si>
  <si>
    <t>Feinanalyse empfohlen</t>
  </si>
  <si>
    <t>Feinanalyse sehr empfohlen</t>
  </si>
  <si>
    <t>- Spalte "Annahme" zur Motor-Effizienz (provisorisch, für Validierung durch die Pumpenhersteller) ausgeblendet</t>
  </si>
  <si>
    <t>Redimensionierung Anlage</t>
  </si>
  <si>
    <t>Betriebszeit nach Volumenstrom</t>
  </si>
  <si>
    <t>- Die Filterung zwischen Schritt 1 und Schritt 2</t>
  </si>
  <si>
    <t>- Die Reihenfolge der Anzeige in Schritt 2</t>
  </si>
  <si>
    <t>- Ursprünglich wurde mit einer abschätzten Payback-Zeit gerechnet für:</t>
  </si>
  <si>
    <t>--&gt; Die Berechnungen zur Payback-Zeit wurden in den Berechnungsblättern beibehalten. Sie werden aber nicht mehr benutzt.</t>
  </si>
  <si>
    <t>- "Detailanalyse" wurde konsequent durch "Feinanalyse" ersetzt. (Tool = "Grobanalyse", weitere Analyse mit einem Spezialisten = "Feinanalyse")</t>
  </si>
  <si>
    <t>- Ein paar Verbesserungen bei der Formatierung: breite der Resultat-Spalte (für 6 bzw. 5 Stellen); für grössere Zahlen / Texte: automatische Anpassung er Schriftgrösse; …</t>
  </si>
  <si>
    <t>- Erweitern des Eingabebereichs auf max. 300 Zeilen respektive Pumpeneinheiten</t>
  </si>
  <si>
    <t>Im vorliegenden "Schritt 2" werden die im 1. Schritt ausgewählten Pumpenanlagen detaillierter untersucht.</t>
  </si>
  <si>
    <t>- orange: Werte, welche durch den Programmierer bei Veränderungen am File allenfalls angepasst werden müssen.</t>
  </si>
  <si>
    <t>Info zur Programmierung: Die Werte in Zeile 9 (orange) müssen bei Spalten-Einfügen etc. angepasst werden: 1,2,3,…</t>
  </si>
  <si>
    <t>Rang-Pkte 1</t>
  </si>
  <si>
    <t>Rang-Zahl</t>
  </si>
  <si>
    <t>Rang-Pkte 2</t>
  </si>
  <si>
    <t>Rang-Pkte 3</t>
  </si>
  <si>
    <t>Rang-Pkte 4</t>
  </si>
  <si>
    <t>Lastfaktor</t>
  </si>
  <si>
    <t>el. Verbrauch</t>
  </si>
  <si>
    <t>- Der Lastfaktor wird noch als 100% angenommen.</t>
  </si>
  <si>
    <t>- Für die Berechnung des Stromverbrauchs der Anlage</t>
  </si>
  <si>
    <t>= Mittlere Leistung relativ zur el. Nennleistung</t>
  </si>
  <si>
    <t>- Auch für die Berechnung des Einsparpotentials.</t>
  </si>
  <si>
    <t>Rang-Pkte 5</t>
  </si>
  <si>
    <t>Schritt 1 + Nr</t>
  </si>
  <si>
    <t>Schritt 1 + Punkte + Nr</t>
  </si>
  <si>
    <t>Schritt 1 + el. Lstg + Nr</t>
  </si>
  <si>
    <t>Schritt 1 + el. Verbr. + Nr</t>
  </si>
  <si>
    <t>Schritt 1 + Einsparpot. + Nr</t>
  </si>
  <si>
    <t>gewählte Variante</t>
  </si>
  <si>
    <t>Sortieren nach:</t>
  </si>
  <si>
    <t>Nr gemäss Schritt 1</t>
  </si>
  <si>
    <t>Punkte aus Schritt 1</t>
  </si>
  <si>
    <t>Nennleistung</t>
  </si>
  <si>
    <t>Stromverbrauch (P * t)</t>
  </si>
  <si>
    <t>Info zur Programmierung: Die Werte in Zeile 11 (orange) müssen bei Spalten-Einfügen etc. angepasst werden: 1,2,3,…</t>
  </si>
  <si>
    <t>Einsparpotential total Schritt 2</t>
  </si>
  <si>
    <t>Spalten-Nr</t>
  </si>
  <si>
    <t>S2 Sortiervarianten</t>
  </si>
  <si>
    <t>Spalten-Nr (über Gesamtblatt) der Sortiervariante:</t>
  </si>
  <si>
    <t>Rang-Punkte für Sortierung (in Resultate) nach:</t>
  </si>
  <si>
    <t>Rang-Punkte für Sortierung (in Schritt 2) nach:</t>
  </si>
  <si>
    <t>Res Sortiervarianten</t>
  </si>
  <si>
    <t>In den vorliegenden "detaillierten Resultate" werden für jede der im 1. Schritt ausgewählten Pumpenanlagen</t>
  </si>
  <si>
    <t>Rang 1</t>
  </si>
  <si>
    <t>Rang Res</t>
  </si>
  <si>
    <t>Bewertung</t>
  </si>
  <si>
    <t>Feinanalyse Wert</t>
  </si>
  <si>
    <t>=WENN(M16=0;3;M16)*MAX($N$16:$N$315)+$N16</t>
  </si>
  <si>
    <t>=WENN(M16=0;3;M16)*MAX($I$16:$I$315)-I16+$N16/(MAX($N$16:$N$315)+1)</t>
  </si>
  <si>
    <t>=WENN(M16=0;3;M16)*MAX($O$16:$O$315)-O16+$N16/(MAX($N$16:$N$315)+1)</t>
  </si>
  <si>
    <t>=WENN(M16=0;3;M16)*MAX($BH$16:$BH$315)-BH16+$N16/(MAX($N$16:$N$315)+1)</t>
  </si>
  <si>
    <t>- Einbau von Sortierfunktionen</t>
  </si>
  <si>
    <t>- Spalte BO (Blatt 'Resultate') ausgeblendet</t>
  </si>
  <si>
    <t>gelb</t>
  </si>
  <si>
    <t>Eingaben</t>
  </si>
  <si>
    <t>hellgelb</t>
  </si>
  <si>
    <t>Standardwerte vorhanden, können aber überschrieben werden</t>
  </si>
  <si>
    <t>weiss</t>
  </si>
  <si>
    <t>Berechnungen des Tools</t>
  </si>
  <si>
    <t>1.)</t>
  </si>
  <si>
    <t>2.)</t>
  </si>
  <si>
    <t>3.)</t>
  </si>
  <si>
    <r>
      <rPr>
        <b/>
        <sz val="11"/>
        <color theme="1"/>
        <rFont val="Arial"/>
        <family val="2"/>
      </rPr>
      <t>Elektrische Leistung:</t>
    </r>
    <r>
      <rPr>
        <sz val="11"/>
        <color theme="1"/>
        <rFont val="Arial"/>
        <family val="2"/>
      </rPr>
      <t xml:space="preserve"> Gemäss Typenschild oder Dokumenten zur Pumpe</t>
    </r>
  </si>
  <si>
    <t>4.)</t>
  </si>
  <si>
    <t>Folgende Grössen sind pro Pumpe einzugeben:</t>
  </si>
  <si>
    <t>5.)</t>
  </si>
  <si>
    <r>
      <rPr>
        <b/>
        <sz val="11"/>
        <color theme="1"/>
        <rFont val="Arial"/>
        <family val="2"/>
      </rPr>
      <t>Programm Effiziente Pumpen-Anlagen ProEPA</t>
    </r>
  </si>
  <si>
    <r>
      <rPr>
        <b/>
        <sz val="11"/>
        <color theme="1"/>
        <rFont val="Arial"/>
        <family val="2"/>
      </rPr>
      <t>Betriebsstunden:</t>
    </r>
    <r>
      <rPr>
        <sz val="11"/>
        <color theme="1"/>
        <rFont val="Arial"/>
        <family val="2"/>
      </rPr>
      <t xml:space="preserve"> Gesamte Betriebsstunden pro Jahr, inkl. Teillast (keine Umrechnung auf Volllaststunden)</t>
    </r>
  </si>
  <si>
    <t>3. Resultate</t>
  </si>
  <si>
    <t>Grobanalyse-Tool ProEPA - Energieeffiziente Pumpen</t>
  </si>
  <si>
    <t>Im vorliegenden "Schritt 1" werden nur wenige Angaben benötigt. Dieser 1. Schritt dient einer ersten Selektion der Pumpenanlagen im Betrieb.</t>
  </si>
  <si>
    <t>Standort</t>
  </si>
  <si>
    <t>Bei der Empfehlung zur Feinanalyse gibt es drei mögliche Resultate:</t>
  </si>
  <si>
    <t>Einsparpotenzial</t>
  </si>
  <si>
    <t>Firma (Name, Adresse, Verantwortlicher, etc.):</t>
  </si>
  <si>
    <t>- Veränderungen zu den Versionen 0.2 und 0.3:</t>
  </si>
  <si>
    <t>- Möglichkeit - im Blatt 'Resultate' - eingebaut, Spalten zu dimensionieren und auszublenden (trotz Blattschutz)</t>
  </si>
  <si>
    <t>- Veränderungen zur Version 0.4:</t>
  </si>
  <si>
    <t>- Einbau Eingabe Firmenname in Blatt 'Schritt 1'</t>
  </si>
  <si>
    <t>- Kopie von Firmenname in den Blättern 'Schritt 2', 'Resultate', 'Zusammenfassung' und 'eigene Notizen'</t>
  </si>
  <si>
    <t>- Einbau Blatt 'Zusammenfassung' mit Total-Verbrauch und -Potential, Anzahl Pumpen nach Empfehlungskategorien und allgemeine Empfehlungen</t>
  </si>
  <si>
    <t>Muster AG, Pumpenstrasse 1, 9999 Musterdorf</t>
  </si>
  <si>
    <t>--&gt; Beim Blattschützen auswählen: "Gesperrte Zellen auswählen" und "Spalten formatieren"</t>
  </si>
  <si>
    <t>- Damit die Spalten J und K (i.P. ausgeblendet) beim Wieder-Einblenden nicht mit unverständichem Inhalt sichtbar werden --&gt; schmaller mit weisser Schrift</t>
  </si>
  <si>
    <t>Eigene Notizen</t>
  </si>
  <si>
    <t>Im vorliegenden Blatt 'eigene Notizen' kann der Anwender Notizen hineinschreiben. Diese Notizen werden nicht für die</t>
  </si>
  <si>
    <t>Berechnungen benutzt. Es sind nur zusätzliche Infos und Kommentare, welche der Anwender aufnehmen möchte.</t>
  </si>
  <si>
    <t>- Einbau Blatt 'eigene Notizen' für eigene Notizen vom Nutzer. Dieses Blatt ist bis auf den Titel und den Firmennamen nicht geschützt (ungeschützte Grösse: 2 Seiten).</t>
  </si>
  <si>
    <t>Zusamenfassung</t>
  </si>
  <si>
    <t>Anzahl Pumpen</t>
  </si>
  <si>
    <t>Leistung</t>
  </si>
  <si>
    <t>theorethischer Stromverbrauch</t>
  </si>
  <si>
    <t>[#]</t>
  </si>
  <si>
    <t>davon in Schritt 2 übernommen:</t>
  </si>
  <si>
    <t>alle Pumpen mit:</t>
  </si>
  <si>
    <t>Delta zw. den 2 Matrizen:</t>
  </si>
  <si>
    <t>Sortiert nach:</t>
  </si>
  <si>
    <t>- Sortiermöglichkeit im Schritt 2 "ausgeschaltet". Grund: Wenn man Eingaben macht und nachträglich neu sortiert, passen die eingegebenen Angaben nicht mehr zu den neu sortierten Pumpen (die Eingaben werden nicht mit-sortiert).</t>
  </si>
  <si>
    <t>Kontakte:</t>
  </si>
  <si>
    <t>Die Felder im Excel-Dokument sind farblich markiert und haben folgende Bedeutung:</t>
  </si>
  <si>
    <t>Im Feld „Firma (Name, Adresse, Verantwortlicher, etc.)“ können Sie eigene Eingaben machen, damit die Daten später gut zugeordnet werden können (z.B. auf einem Ausdruck). Die Eingabe wird auf jeder Seite wiederholt.</t>
  </si>
  <si>
    <t>Die Reihenfolge der Auflistung der Pumpen entspricht der Reihenfolge, wie sie bei Schritt 1 eingegeben wurde.</t>
  </si>
  <si>
    <t>In Schritt 2 sind folgende Grössen pro Pumpe wichtig. Der Default-Wert gibt dabei den Wert an, der bei fehlender Eingabe angenommen wird.</t>
  </si>
  <si>
    <t>4. Zusammenfassung</t>
  </si>
  <si>
    <t>keine Massnahmen nötig</t>
  </si>
  <si>
    <t>So funktioniert das zweistufige Tool zur Grobanalyse</t>
  </si>
  <si>
    <t>Das Tool ist absichtlich in einer einfachen Excel-Form gehalten. Damit ist es möglich, zum Beispiel Daten aus bereits bestehenden Listen einfach einzufügen.</t>
  </si>
  <si>
    <t>Um die Analyse möglichst effizient durchführen zu können, ist das Tool in zwei Teile gegliedert. Dabei werden in Schritt 1 nur drei wichtige Grössen pro Pumpe erfasst: Leistung, Betriebszeit und Alter.</t>
  </si>
  <si>
    <t>1. Zweck</t>
  </si>
  <si>
    <t>2. Vorgehen</t>
  </si>
  <si>
    <t>2.1 Vorgehen Grobanalyse Schritt 1</t>
  </si>
  <si>
    <t>2.2 Vorgehen Grobanalyse Schritt 2</t>
  </si>
  <si>
    <t>2.3 Ergebnisse in Schritt 2</t>
  </si>
  <si>
    <t>Eine Kombination mehrerer Massnahmen ist möglich, die Gesamteinsparung kann maximal die Summe der Einzelmassnahmen betragen.</t>
  </si>
  <si>
    <t>Im Folgenden sind die Wirkungen der drei Massnahmen erklärt:</t>
  </si>
  <si>
    <t>Drehzahlregulierung</t>
  </si>
  <si>
    <t>Redimensionierung der Anlage</t>
  </si>
  <si>
    <t xml:space="preserve">Die bestehende Pumpe ist zurzeit überdimensioniert. Eine neue, richtig dimensionierte Pumpe würde deshalb die angegebene Einsparung bringen. </t>
  </si>
  <si>
    <r>
      <rPr>
        <b/>
        <sz val="11"/>
        <color theme="1"/>
        <rFont val="Arial"/>
        <family val="2"/>
      </rPr>
      <t>Baujahr:</t>
    </r>
    <r>
      <rPr>
        <sz val="11"/>
        <color theme="1"/>
        <rFont val="Arial"/>
        <family val="2"/>
      </rPr>
      <t xml:space="preserve"> Bezieht sich auf die Pumpe; gemäss Typenschild, Kaufdokumenten oder Angaben/Schätzung durch das Werk</t>
    </r>
  </si>
  <si>
    <t>1.</t>
  </si>
  <si>
    <t>2.</t>
  </si>
  <si>
    <t>3.</t>
  </si>
  <si>
    <t>- Veränderungen zur Version 0.6:</t>
  </si>
  <si>
    <t>- Veränderungen zur Version 0.5:</t>
  </si>
  <si>
    <t>?</t>
  </si>
  <si>
    <t>Lastfakt. 0-Pkt</t>
  </si>
  <si>
    <t>- UND Parameter für Einsparfaktor und Lastfaktor je nach Regulierungsart</t>
  </si>
  <si>
    <t>- Der Lastfaktor (aktuelle Leistungsaufnahme reativ zur Nennleistung) wird zwischen dem 0-Punkt (th. Leistungsaufnahme bei Volumenstrom = 0) und 100% (Leistungsaufnahme bei Volumenstrom = 100% = Nennvolumenstrom) linear interpoliert.</t>
  </si>
  <si>
    <t>Standard-Regulierung</t>
  </si>
  <si>
    <t>Standard-Variante für die Regulierung, welche bei den Berechungen verwendet wird, falls keine Eingabe gemacht wurde.</t>
  </si>
  <si>
    <t>Lastfaktor 0-Pkt</t>
  </si>
  <si>
    <t>Lastfaktor 100%-Pkt</t>
  </si>
  <si>
    <t>Lastfakt. 100%-Pkt</t>
  </si>
  <si>
    <t>- Lastfaktor in Blatt 'Berechnungen 2' eingebaut:</t>
  </si>
  <si>
    <t>- Lineare Interpolation zwischen dem 0-Punkt Lastfaktor (bei Volumenstrom = 0) und dem 100%-Punkt Lastfaktor (bei Volumenstrom = 100% = Nennvolumenstrom).</t>
  </si>
  <si>
    <t>- 0-Punkt und 100%-Punkt werden - in Abhängigkeit der Regelungsart - im Blatt 'Parameter' (Matrix_Regulierungsart.Einsparfaktor) definiert.</t>
  </si>
  <si>
    <t>[%] (aus Alter)</t>
  </si>
  <si>
    <t>[%] (aus höchste P)</t>
  </si>
  <si>
    <t>- Neue Potential-Aufteilung zwischen Redimensionierung und Drehzahlregulierung:</t>
  </si>
  <si>
    <t>- Potential Redimensionierung:</t>
  </si>
  <si>
    <t>- vom Nennvolumenstrom (100%) auf den maximal angegebenen Volumenstrom (100%, 75%, 50% oder 25%)</t>
  </si>
  <si>
    <t>Ang. fehlen 1</t>
  </si>
  <si>
    <t>Text welcher erscheint bei der Beurteilung vom Schritt 1, falls nötige Angaben fehlen.</t>
  </si>
  <si>
    <t>P und/oder t fehlen!</t>
  </si>
  <si>
    <t>Text welcher erscheint bei dem Einsparpotential vom Schritt 2, falls die Summe der angegebenen Betriebsdauern &gt; total Betriebsdauer ist.</t>
  </si>
  <si>
    <t>Ang. Fehler t</t>
  </si>
  <si>
    <t>Fehler bei den Eingaben der Betriebszeiten nach Volumenstrom!</t>
  </si>
  <si>
    <t>St.-Lastfaktor</t>
  </si>
  <si>
    <t>Standard-Wert für den Lastfaktor, falls sonst nicht möglich zu berechnen (z.B. bei Fehler bei der Eingabe der Betriebszeiten)</t>
  </si>
  <si>
    <t>Stromverbrauch (P * t * Lastfaktor)</t>
  </si>
  <si>
    <t>- Falsch-Eingabe bei den Betriebszeiten (25/50/75% des Nennvolumenstroms) neutralisiert:</t>
  </si>
  <si>
    <t>- Wenn die Summe der Betriebszeiten bei 25%, 50% und 75% &gt; totale Betriebszeit (Eingabe in Schritt 1)…</t>
  </si>
  <si>
    <t>- Einsparpotentiale = 0</t>
  </si>
  <si>
    <t>- Einsparpotential total = 0.0001, damit die fehlerhaft eingegebenen Anlagen bei der Sortierung nach Einsparpotential nicht ganz unten (nach den leeren Feldern) erscheinen.</t>
  </si>
  <si>
    <t>Einsparpotential durch FU-Einsatz</t>
  </si>
  <si>
    <t>Einsparpotential durch Redim.</t>
  </si>
  <si>
    <t>Potential</t>
  </si>
  <si>
    <t>- Sortierung für Schritt 2 herausgenommen --&gt; nur noch nach Nr. sortiert!!!</t>
  </si>
  <si>
    <t>Alte Formel in R12: =WENN(Q12=0;3;Q12)*MAX($B$12:$B$311)+$B12</t>
  </si>
  <si>
    <t>(Schritt 1 +) Nr</t>
  </si>
  <si>
    <t>- Die Sortiermöglichkeiten werden im Hintergrund behalten. Die Sortiervariante wird aber auf der Variante "Nr." blockiert.</t>
  </si>
  <si>
    <t>- Grund: Eine Sortierung mit einer anderen Reihenfolge als im Blatt 'Schritt 1' (dh. Nach Nr)  führt zu Verschiebungen bei den Eingaben im Schritt 2, falls nachträglich Eingaben im Schritt 1 verändert werden.</t>
  </si>
  <si>
    <t>- Infos zur Sortierung (D8 und E8 in Blatt 'Schritt 2') versteckt (weisse Schrift).</t>
  </si>
  <si>
    <t>- Farb-Codierung ergänzt mit rot für unvollständige Angaben (in Schritt 1: mindestens eine Eingabe, aber P und/oder t fehlt).</t>
  </si>
  <si>
    <t>- Veränderungen zur Version 0.7:</t>
  </si>
  <si>
    <t>- Die Anlagen, welche im Schritt 1 als "keine Massnahmen nötig" herausgefiltert wurden, erscheinen im Schritt 2 nur noch als leere, grüne Zeile.</t>
  </si>
  <si>
    <t>Angaben können zwar immer noch gemacht werden (Betriebszeiten, Motoren-IE-Klassen, etc.), die Resultate zum Einsparpotential bleiben leer.</t>
  </si>
  <si>
    <t>- Falls es mindestens eine Anlage mit falschen Angaben bei den Betriebszeiten, dh. Summe der Betriebszeiten bei 25%, 50% und 75% &gt; totale Betriebszeit (Eingabe in Schritt 1)…</t>
  </si>
  <si>
    <t>max. Vol.-Strom</t>
  </si>
  <si>
    <t>… --&gt; Meldung auf Blatt 'Schritt 2':</t>
  </si>
  <si>
    <t>In Zeile 10: "Achtung, Sie haben mindestens eine Anlage, bei welcher entweder P oder t fehlt !", rot markiert.</t>
  </si>
  <si>
    <t>Text welcher im Blatt 'Schritt 2' erscheint, falls nötige Angaben im Schritt 1 (P und/oder t) fehlen.</t>
  </si>
  <si>
    <t>- Potential Drehzahlregulierung:</t>
  </si>
  <si>
    <t>- zwischen dem maximal angegebenen Volumenstrom (100%, 75%, 50% oder 25%) und die anderen angegebenen Volumenströmen:</t>
  </si>
  <si>
    <t>- zwischen angegebenem Nennvolumenstrom und angenommenem reellem Bedarf gemäss Planair-Werte (siehe Blatt 'Parameter', "Matrix_Anlage.AlterID.Einsparpotential.und.EnergieAnteil")</t>
  </si>
  <si>
    <t>--&gt; Jeweils Potential [%] (gemäss Planair-Tabelle) mit den entsprechenden Betriebsstunden gewichtet.</t>
  </si>
  <si>
    <t>Sortierungen</t>
  </si>
  <si>
    <t>- Kriterien für die Sortierung der Resultate im Blatt 'Resultate'. Damit zuerst die Anlagen erscheinen, welche im Schritt 1 gefiltert wurde, dann diejenigen mit unvollständigen Angaben im Schritt 1, dann die nicht-gefilterten.</t>
  </si>
  <si>
    <t>Bewertung Schritt 1</t>
  </si>
  <si>
    <t>Multiplikator</t>
  </si>
  <si>
    <t>- Sortierung (Blatt 'Resultate') verfeinert:</t>
  </si>
  <si>
    <t>- Zuerst erscheinen diejenigen Anlagen, welche im Schritt 1 gefiltert wurde, dann diejenigen mit unvollständigen Angaben im Schritt 1, dann die nicht-gefilterten.</t>
  </si>
  <si>
    <t>Schritt 1 nichts</t>
  </si>
  <si>
    <t>Schritt 1 fehlend</t>
  </si>
  <si>
    <t>Wert für Schritt 2' für die Zeilen, wo keine Eingabe im Schritt 1 gemacht wurden.</t>
  </si>
  <si>
    <t>Wert für Schritt 2' für die Zeilen, wo zwar Eingaben im Schritt 1 gemacht wurden, aber benötigten Eingaben fehlen (P und/oder t).</t>
  </si>
  <si>
    <t>0-Potential</t>
  </si>
  <si>
    <t xml:space="preserve">Platzhalter für Einsparpotential = 0 CHF/a (für </t>
  </si>
  <si>
    <t>- Farb-Code im Blatt 'Resultate':</t>
  </si>
  <si>
    <t>- Kursive Schrift herausgenommen für die Fälle "Anlage evtl. genauer überprüfen". (Nur noch gelbe Zellen-Farbe)</t>
  </si>
  <si>
    <t>Empfehlung</t>
  </si>
  <si>
    <t>Warnung</t>
  </si>
  <si>
    <t>Warnung-Wert</t>
  </si>
  <si>
    <t>Warn-Nr</t>
  </si>
  <si>
    <t>Warnungen</t>
  </si>
  <si>
    <t>- Warn-Texte im Blatt 'Resultate' für diejenigen Anlagen mit unvollständigen Angaben im Schritt 1, bzw. mit unkohärenten Angaben zu den Betriebszeiten im Schritt 2.</t>
  </si>
  <si>
    <t>Fehlende Angabe (P und/oder t) in Schritt 1 !</t>
  </si>
  <si>
    <t>Inkohärente Betriebszeiten in Schritt 2 !</t>
  </si>
  <si>
    <t xml:space="preserve"> </t>
  </si>
  <si>
    <t>- Schrift-Code in Blätter 'Schritt 2' und 'Resultate' vereinfacht:</t>
  </si>
  <si>
    <t>- Differenzierte Warnungstexte im Blatt 'Resultate' für die Anlagen mit fehlenden oder inkohärenten Angaben.</t>
  </si>
  <si>
    <t>- Spalte mit Einsparpotential total in [%] in Blatt 'Resultate' eingefügt.</t>
  </si>
  <si>
    <t>Alle eingegebenen Pumpen</t>
  </si>
  <si>
    <t>davon unvollständig</t>
  </si>
  <si>
    <t>inkohärenten Zeitangaben</t>
  </si>
  <si>
    <t>- weiss für diejenigen Anlagen, welche im Schritt 1 als "keine Massnahmen nötig" herausgefiltert wurden.</t>
  </si>
  <si>
    <t>- rote Schrift (bzw. weisse Schrift für die Spalten J bis S) für diejenigen Anlagen, für welche im Schritt 1 die Angaben unvollständig sind (fehlende Angaben zu P und/oder t).</t>
  </si>
  <si>
    <t>- rote Schrift (bzw. weisse Schrift für die Spalten J bis S) für diejenigen Anlagen, für welche im Schritt 2 die Angaben zu den Betriebszeiten falsch sind (Summe t bei 25, 50 und 75% &gt; gesamte in Schritt 1 angegebene Betriebszeit).</t>
  </si>
  <si>
    <t>- Summe des Einsparpotentials im Blatt 'Zusammenfassung' nur für diejenigen Anlagen, für welche eine Feinanalyse empfohlen oder sehr empfohlen wird.</t>
  </si>
  <si>
    <t>- hellrot / hellgelb / hellgrün für diejenigen Anlagen, für welche aus den Angaben vom Schritt 2 eine Feinanalyse sehr empfohlen / empfohlen / nicht empfohlen wird.</t>
  </si>
  <si>
    <t>- Blatt 'Resultate': Spalten J-L nach rechts verschoben (AC-AE)</t>
  </si>
  <si>
    <t>Fehlende / inkohärente Angaben in Schritt 1 UND 2 !</t>
  </si>
  <si>
    <t>Achtung! Mindestens eine Anlage, bei welcher entweder P oder t fehlt (Schritt 1) !</t>
  </si>
  <si>
    <t>Fehler vorhanden</t>
  </si>
  <si>
    <t>Achtung! Mindestens eine fehlende oder inkohärente Angabe in Schritt 1 oder 2 !</t>
  </si>
  <si>
    <t>Text welcher im Blatt 'Resultate' erscheint, falls fehlende / fehlerhafte Angaben vorhanden.</t>
  </si>
  <si>
    <t>- Im Blatt 'Zusammenfassung': neu: Adressen Swissmem, bfe, energo</t>
  </si>
  <si>
    <t>- Im Blatt 'Zusammenfassung': neuer Text zum Thema BO.</t>
  </si>
  <si>
    <t>Die 2. und 3. Massnahme sind voneinander abhängig. Wird eine Pumpe redimensioniert, ist die Einsparung mit einer Drehzahlregulierung entsprechend kleiner. Hingegen wird die Einsparung durch einen Ersatz des Motors unabhängig von den anderen Massnahmen ausgewiesen, da diese Massnahme oft alleine umgesetzt wird.</t>
  </si>
  <si>
    <t xml:space="preserve">Unter "Pumpen mit inkohärenten Zeitangaben" werden Pumpen zusammengefasst, bei welchen die Zeitangaben in Schritt 2 bei Betriebszeit nach Volumenstrom nicht mit der Gesamtbetriebszeit aufgehen. </t>
  </si>
  <si>
    <t>- Veränderungen zur Version 0.8:</t>
  </si>
  <si>
    <t>- Zeile "keine Massnahmen nötig in Blatt 'Zusammenfassung' grün markiert.</t>
  </si>
  <si>
    <t>St.-Sortierung Res</t>
  </si>
  <si>
    <t>Standard-Variante für die Sortierung im Blat 'Resultate' (falls Eingabe = leer).</t>
  </si>
  <si>
    <t>- Sortierung in Blatt 'Zusaammenfassung': leeren Eintrag aus Dropdown-Liste herausgenommen und Fehler bei leeren Eintrag korrigiert (leer = Standard-Sortiervariante = 'Nr gemäss Schritt 1')</t>
  </si>
  <si>
    <t>- Listen für die verschiedenen Eingabe-Zellen im Blatt 'Schritt 2' --&gt; Listen-Eintrag "leer" weggenommen, damit die Datenüberprüfung tatsächlich funktioniert.</t>
  </si>
  <si>
    <t>- Veränderungen zur Version 0.9:</t>
  </si>
  <si>
    <t>Alte Formel: ="Version " &amp; Tool.Info_Version &amp; ", " &amp; TEXT(Tool.Info_Datum;"JJJJ-MM-TT") &amp; ", " &amp; Tool.Info_Autor</t>
  </si>
  <si>
    <t>Neue Formel: ="Version " &amp; Tool.Info_Version &amp; ", " &amp; TEXT(Tool.Info_Datum;"JJJJ-MM-TT")</t>
  </si>
  <si>
    <t>- "Autor" von Kopfzeile (Blatt 'Schritt 1', Zelle I1, oben rechts) weggenommen.</t>
  </si>
  <si>
    <t>- Im Blatt 'Zusammenfassung:</t>
  </si>
  <si>
    <t>info@effiziente-pumpen.ch anstelle von persönliche Adresse von A. Gontarz</t>
  </si>
  <si>
    <t>Nur noch website www.effiziente-pumpen.ch angegeben.</t>
  </si>
  <si>
    <r>
      <t xml:space="preserve">Unabhängig von der vorliegenden Grobanalyse wird </t>
    </r>
    <r>
      <rPr>
        <b/>
        <sz val="11"/>
        <color theme="0"/>
        <rFont val="Arial"/>
        <family val="2"/>
      </rPr>
      <t>ab Energiekosten von CHF 50‘000.- pro Jahr eine Betriebsoptimierung empfohlen</t>
    </r>
    <r>
      <rPr>
        <sz val="11"/>
        <color theme="0"/>
        <rFont val="Arial"/>
        <family val="2"/>
      </rPr>
      <t>.</t>
    </r>
  </si>
  <si>
    <t>Kontakte reduziert auf nur noch "info@effiziente-pumpen.ch" und "www.effiziente-pumpen.ch"</t>
  </si>
  <si>
    <t>Alle Angaben zu Betriebesoptimierung und zu energo weg (z.T. mit weisser Schrift). (Auf Wunsch von Gontarz und Phillips).</t>
  </si>
  <si>
    <t>Sch. 2 erzwingen?</t>
  </si>
  <si>
    <t>- Spaltenbreiten leicht angepasst, damit 'Schritt 1' beim Drucken in der Breite auf 1 Seite passt.</t>
  </si>
  <si>
    <t>- Swissmem- und Energieschweiz-Logos nur noch auf Blatt 'Anleitung'</t>
  </si>
  <si>
    <t>- Druckinfos Blatt 'Schritt 2': zuerst nach links dann nach unten.</t>
  </si>
  <si>
    <t>- Druckinfos Blatt 'Resultate': 60% (statt 41%), damit Blatt-Breite gefüllt wird.</t>
  </si>
  <si>
    <t>In der vorliegenden "Zusammenfassung" werden die Resultate aus den Eingaben und Berechnungen zusammengefasst.</t>
  </si>
  <si>
    <t>- Einführungstext im Blatt 'Zusammenfassung' um Teil " und allgemeine Empfehlungen abgegeben." gekürzt.</t>
  </si>
  <si>
    <t>- Geschützte Version: Arbeitsmappe-Struktur sowie alle sichtbaren Blätter --&gt; geschützt mit dem PWD "proepa137"</t>
  </si>
  <si>
    <t>Das Tool zeigt Ihnen dann die geschätzten Einsparungen (Energie und CHF) auf dem Blatt „Resultate“.</t>
  </si>
  <si>
    <t>Eine Zusammenfassung gibt Ihnen einen Überblick der möglichen Einsparungen aller Pumpen ihres Werks.</t>
  </si>
  <si>
    <t>Bei Schritt 1 sollen möglichst alle Pumpen eingegeben werden. Dabei sind aber nur drei Grössen einzugeben. Falls bereits Listen der Pumpen vorhanden sind, können diese einfach hineinkopiert werden. Dabei haben Sie drei Spalten zur Verfügung, um auch eigene Bezeichnungen einfügen zu können.</t>
  </si>
  <si>
    <r>
      <rPr>
        <b/>
        <sz val="11"/>
        <color theme="1"/>
        <rFont val="Arial"/>
        <family val="2"/>
      </rPr>
      <t xml:space="preserve">Schritt 2: ja/nein: </t>
    </r>
    <r>
      <rPr>
        <sz val="11"/>
        <color theme="1"/>
        <rFont val="Arial"/>
        <family val="2"/>
      </rPr>
      <t>Wählen Sie „ja“, wenn Sie die Pumpe unbedingt im Teil 2 genauer analysieren möchten.</t>
    </r>
  </si>
  <si>
    <t>Der Strompreis ist wichtig für die Abschätzung der Einsparung. Gerechnet wird mit einem Standardwert von 16 Rp/kWh, dieser kann aber individuell eingegeben werden.</t>
  </si>
  <si>
    <r>
      <rPr>
        <b/>
        <sz val="11"/>
        <color theme="1"/>
        <rFont val="Arial"/>
        <family val="2"/>
      </rPr>
      <t xml:space="preserve">Variabler Bedarf: ja/nein: </t>
    </r>
    <r>
      <rPr>
        <sz val="11"/>
        <color theme="1"/>
        <rFont val="Arial"/>
        <family val="2"/>
      </rPr>
      <t>(Default-Wert: ja)
Wählen Sie „ja“, falls vom Prozess her ein variabler Volumenstrom benötigt wird. Falls immer derselbe Volumenstrombedarf vorhanden ist, wählen Sie „nein“. (Achtung: Dies kann auch mit einer Drosselung der Fall sein.)</t>
    </r>
  </si>
  <si>
    <t>Das Total weist die Gesamteinsparung bei Umsetzung der drei Massnahmen aus. Es entspricht nicht der Summe der drei Massnahmen, da alle Massnahmen sich gegenseitig beeinflussen (z.B. bei einer Redimensionierung mit Ersatz durch einen effizienteren Motor). Das Total entspricht der Einsparung, die man erreicht, wenn alle drei Massnahmen umgesetzt werden.</t>
  </si>
  <si>
    <t>- Berechnung für % Ersatz Motor bei Schritt 2 nur wenn Jahr und Leistung vorhanden ist</t>
  </si>
  <si>
    <t>Das Tool rechnet für drei Massnahmen (Ersatz Motor, Drehzahl-Regulierung und Redimensionierung der Anlage) das Sparpotenzial aus.</t>
  </si>
  <si>
    <t>Es muss erwähnt werden, dass diese Berechnungen des Einsparpotenzials Abschätzungen sind, die stark von der Eingabe der Daten abhängen.</t>
  </si>
  <si>
    <t xml:space="preserve">Das Erfassen der Daten beansprucht Zeit. Nur so ist es aber möglich, eine gute Übersicht zu erhalten und die grossen Sparpotenziale zu finden. </t>
  </si>
  <si>
    <t>Das Tool wählt auf dieser Basis jene Pumpen aus, welche ein Einsparpotenzial aufweisen.</t>
  </si>
  <si>
    <t>Dieses Blatt fasst die Einsparpotenziale der wichtigsten Pumpen zusammen und zeigt Ihnen, bei welchen Pumpen eine Feinanalyse Sinn macht.</t>
  </si>
  <si>
    <t xml:space="preserve">Dieses Blatt summiert das Einsparpotenzial der Pumpen in den drei Klassen „keine Massnahmen nötig" „Feinanalyse empfohlen“ und „Feinanalyse sehr empfohlen“. Die Daten dafür werden dabei dem Blatt „Resultate“ entnommen. Angezeigt wird zudem die Anzahl Pumpen pro Kategorie, deren Gesamtleistung und deren theoretischer Stromverbrauch. </t>
  </si>
  <si>
    <t xml:space="preserve">Unabhängig von dieser Analyse empfehlen wir eine Betriebsoptimierung ab Energiekosten von CHF 50‘000.- pro Jahr. Es gibt oft viele weitere Massnahmen, mit denen sich massiv Energie einsparen lässt. Mit einer Analyse des Betriebs finden Sie diese heraus. </t>
  </si>
  <si>
    <t>Weiter finden Sie auf dem Blatt "Zusammenfassung" Kontaktangaben für den nächsten Schritt: die Feinanalyse bei Ihnen im Werk. In der Feinanalyse ergeben sich in der Regel Hinweise auf weitere Optimierungen, mit denen sich massiv Energiekosten sparen lassen, zum Beispiel durch neue Dichtungen.</t>
  </si>
  <si>
    <t>info@proepa.ch</t>
  </si>
  <si>
    <t>- Veränderungen zur Version 1.0 und 1.1:</t>
  </si>
  <si>
    <t>Sprachen</t>
  </si>
  <si>
    <t>Sprachenliste</t>
  </si>
  <si>
    <t>de</t>
  </si>
  <si>
    <t>fr</t>
  </si>
  <si>
    <t>Programme d'optimisation énergétique des installations de pompage (ProEPA)</t>
  </si>
  <si>
    <t xml:space="preserve"> Fonctionnement de l'outil en deux étapes pour l'analyse grossière </t>
  </si>
  <si>
    <t>1. Objet</t>
  </si>
  <si>
    <t xml:space="preserve">Pour pouvoir effectuer l'analyse le plus efficacement possible, l'outil est divisé en deux parties. Seules trois données essentielles par pompe sont enregistrées lors de l'étape 1: puissance, temps de marche et âge. </t>
  </si>
  <si>
    <t xml:space="preserve">L'étape 2 concerne uniquement les pompes pour lesquelles l'étape 1 permet de présumer un important potentiel d'économie. Pour calculer plus précisément ce potentiel, des indications supplémentaires sur le fonctionnement doivent être recueillies. Les données nécessaires sont alors choisies de façon qu'une entreprise puisse les renseigner en y consacrant un temps raisonnable. </t>
  </si>
  <si>
    <t xml:space="preserve">Pour finir, la feuille de résultats indique les pompes ayant le plus gros potentiel d'économie d'énergie, exprimé en kWh et en CHF. Elle indique en outre où une analyse fine sur place est recommandée afin d'évaluer plus précisément ce potentiel. </t>
  </si>
  <si>
    <t>Les récapitulatifs vous indiquent le nombre de pompes et les potentiels d'économie d'énergie cumulés, en kWh et en CHF, pour les trois catégories de fort potentiel, potentiel moyen et faible potentiel.</t>
  </si>
  <si>
    <t>2. Marche à suivre</t>
  </si>
  <si>
    <t xml:space="preserve">Les champs du document Excel sont marqués en couleur et ont la signification suivante: </t>
  </si>
  <si>
    <t>jaune</t>
  </si>
  <si>
    <t xml:space="preserve">Saisies </t>
  </si>
  <si>
    <t>jaune clair</t>
  </si>
  <si>
    <t xml:space="preserve">Valeurs standard disponibles, mais pouvant être écrasées </t>
  </si>
  <si>
    <t>blanc</t>
  </si>
  <si>
    <t>Calculs de l'outil</t>
  </si>
  <si>
    <t xml:space="preserve">Sur cette base, l'outil d'analyse sélectionne les pompes présentant un potentiel d'économie d'énergie. </t>
  </si>
  <si>
    <t>L'outil vous indique alors les économies estimées (énergie et CHF) sur la feuille "Résultats".</t>
  </si>
  <si>
    <t xml:space="preserve">Un récapitulatif vous fournit un aperçu des économies possibles pour l'ensemble des pompes de votre usine. </t>
  </si>
  <si>
    <t>2.1 Marche à suivre pour l'étape 1 de l'analyse grossière</t>
  </si>
  <si>
    <t xml:space="preserve">Vous pouvez effectuer vos propres saisies dans le champ "Entreprise (nom, adresse, responsable, etc.)" afin que les données puissent être correctement classées ultérieurement (par ex. sur un document imprimé). La saisie est reproduite sur chaque page. </t>
  </si>
  <si>
    <t xml:space="preserve">Au cours de l'étape 1, dans la mesure du possible, toutes les pompes doivent être saisies, mais seulement trois de leurs caractéristiques. Si des listes de pompes sont déjà disponibles, celles-ci peuvent facilement être copiées dans l'outil d'analyse. Vous disposez pour cela de trois colonnes qui vous permettent également d'ajouter vos propres désignations. </t>
  </si>
  <si>
    <t xml:space="preserve">Les caractéristiques suivantes doivent être saisies pour chaque pompe: </t>
  </si>
  <si>
    <t>2.2 Marche à suivre pour l'étape 2 de l'analyse grossière</t>
  </si>
  <si>
    <t xml:space="preserve">Pour mieux évaluer le potentiel des pompes sélectionnées, d'autres renseignements sont nécessaires. </t>
  </si>
  <si>
    <t xml:space="preserve">Le prix de l'électricité est important pour l'estimation des économies à réaliser. Ce calcul est effectué avec une valeur standard de 16 ct./kWh, mais celle-ci peut être saisie individuellement. </t>
  </si>
  <si>
    <t xml:space="preserve">L'ordre de la liste des pompes correspond à l'ordre dans lequel elles ont été saisies lors de l'étape 1. </t>
  </si>
  <si>
    <t xml:space="preserve">Pour l'étape 2, les caractéristiques suivantes de chaque pompe sont importantes. La valeur par défaut indique la valeur supposée en l'absence de saisie. </t>
  </si>
  <si>
    <r>
      <rPr>
        <b/>
        <sz val="11"/>
        <rFont val="Arial"/>
        <family val="2"/>
      </rPr>
      <t xml:space="preserve">Besoins variables: oui/non: </t>
    </r>
    <r>
      <rPr>
        <sz val="11"/>
        <rFont val="Arial"/>
        <family val="2"/>
      </rPr>
      <t>(valeur par défaut: oui)
Sélectionnez "oui" si le processus nécessite un débit volumique variable. Si le besoin de débit volumique est toujours le même, sélectionnez "non". (Attention: cela peut également être le cas avec un régulateur de débit.)</t>
    </r>
  </si>
  <si>
    <t>2.3 Résultats de l'étape 2</t>
  </si>
  <si>
    <t xml:space="preserve">L'outil d'analyse calcule le potentiel d'économie pour trois mesures (remplacement du moteur, régulation de la vitesse de rotation et redimensionnement de l'installation). </t>
  </si>
  <si>
    <t xml:space="preserve">Une combinaison de plusieurs mesures est possible, l'économie totale pouvant être au maximum égale à la somme des économies permises par les différentes mesures. </t>
  </si>
  <si>
    <t xml:space="preserve">Il convient de souligner que ces calculs du potentiel d'économie sont des estimations qui dépendent fortement des données saisies. </t>
  </si>
  <si>
    <t>Les effets des trois mesures sont expliqués ci-dessous:</t>
  </si>
  <si>
    <t>Remplacement du moteur</t>
  </si>
  <si>
    <t>Régulation de la vitesse de rotation</t>
  </si>
  <si>
    <t xml:space="preserve">Redimensionnement de l'installation </t>
  </si>
  <si>
    <t xml:space="preserve">La pompe existante est actuellement surdimensionnée. Une nouvelle pompe correctement dimensionnée permettrait par conséquent de réaliser l'économie indiquée. </t>
  </si>
  <si>
    <r>
      <t>La 2</t>
    </r>
    <r>
      <rPr>
        <vertAlign val="superscript"/>
        <sz val="11"/>
        <rFont val="Arial"/>
        <family val="2"/>
      </rPr>
      <t xml:space="preserve">e </t>
    </r>
    <r>
      <rPr>
        <sz val="11"/>
        <rFont val="Arial"/>
        <family val="2"/>
      </rPr>
      <t>et la 3</t>
    </r>
    <r>
      <rPr>
        <vertAlign val="superscript"/>
        <sz val="11"/>
        <rFont val="Arial"/>
        <family val="2"/>
      </rPr>
      <t>e</t>
    </r>
    <r>
      <rPr>
        <sz val="11"/>
        <rFont val="Arial"/>
        <family val="2"/>
      </rPr>
      <t xml:space="preserve"> mesure dépendent l'une de l'autre. Si une pompe est redimensionnée, l'économie réalisée par une régulation de la vitesse de rotation est proportionnellement plus faible. Par contre, l'économie générée par un remplacement du moteur est indiquée indépendamment des autres mesures, car cette opération est souvent effectuée seule.</t>
    </r>
  </si>
  <si>
    <t>3. Résultats</t>
  </si>
  <si>
    <t xml:space="preserve">Cette feuille récapitule les potentiels d'économie des pompes les plus importantes et vous indique quelles sont celles pour lesquelles une analyse fine est judicieuse. </t>
  </si>
  <si>
    <t xml:space="preserve">Le total indique les économies totales permises par l'application des trois mesures. Il ne correspond pas à la somme des trois mesures, car toutes trois s'influencent mutuellement (par ex. en cas de redimensionnement avec remplacement par un moteur plus efficace). Le total correspond aux économies obtenues en appliquant les trois mesures. </t>
  </si>
  <si>
    <t>Analyse fine recommandée: trois résultats sont possibles:</t>
  </si>
  <si>
    <t>4. Résumé</t>
  </si>
  <si>
    <t xml:space="preserve">Sous "Pompes aux indications horaires incohérentes" sont rassemblées les pompes pour lesquelles les indications horaires de l'étape 2 concernant le temps de marche en fonction du débit volumique ne concordent pas avec le temps de marche total. </t>
  </si>
  <si>
    <t>Indépendamment de cette analyse, nous recommandons une optimisation du fonctionnement lorsque les coûts énergétiques dépassent CHF 50'000.- par an. Il existe souvent beaucoup d'autres mesures qui permettent d'économiser une quantité d'énergie considérable. Vous les déterminerez en procédant à une analyse du fonctionnement.</t>
  </si>
  <si>
    <t xml:space="preserve">Dans la feuille "Résumé", vous trouverez en outre des coordonnées de contact pour l'étape suivante: l'analyse fine sur place dans votre usine. Cette analyse indique en général des possibilités d'optimisation supplémentaires permettant de considérablement réduire les coûts énergétiques, par exemple grâce à des joints neufs. </t>
  </si>
  <si>
    <t>Sprache</t>
  </si>
  <si>
    <t>Anleitungblatt</t>
  </si>
  <si>
    <t>Anleitung_de</t>
  </si>
  <si>
    <t>Anleitung_fr</t>
  </si>
  <si>
    <t>Auswahl</t>
  </si>
  <si>
    <t>deutsch</t>
  </si>
  <si>
    <t>französisch</t>
  </si>
  <si>
    <t>italienisch</t>
  </si>
  <si>
    <t>Hilfsformeln</t>
  </si>
  <si>
    <t>Texte</t>
  </si>
  <si>
    <t>Sprache:</t>
  </si>
  <si>
    <t>Blatt</t>
  </si>
  <si>
    <t>Rote Schrift: Übersetzung noch zu überprüfen!</t>
  </si>
  <si>
    <t>Etape 1</t>
  </si>
  <si>
    <t>Entreprise (nom, adresse, responsable, etc.):</t>
  </si>
  <si>
    <r>
      <t xml:space="preserve">Outil d'analyse grossière </t>
    </r>
    <r>
      <rPr>
        <sz val="9"/>
        <color rgb="FFFF0000"/>
        <rFont val="Arial"/>
        <family val="2"/>
      </rPr>
      <t>ProEPA - installations de pompage efficaces (énergie)</t>
    </r>
  </si>
  <si>
    <t>Dans cette "Etape 1", seules quelques informations sont nécessaires. L'Etape 1 sert à une 1ère sélection des installations de pompage.</t>
  </si>
  <si>
    <t>N°</t>
  </si>
  <si>
    <t>Dénomination</t>
  </si>
  <si>
    <t>Autres dénominations personnelles</t>
  </si>
  <si>
    <t>Lieu</t>
  </si>
  <si>
    <t>Année</t>
  </si>
  <si>
    <t>Etape 2</t>
  </si>
  <si>
    <t>Résultat étape 1</t>
  </si>
  <si>
    <t>construction</t>
  </si>
  <si>
    <t>Forcer étape 2 ?</t>
  </si>
  <si>
    <t>Dans cette "Etape 2", les installations sélectionnées à l'étape 1 sont analysées plus en détail.</t>
  </si>
  <si>
    <t>Prix du courant:</t>
  </si>
  <si>
    <t>--&gt; Valeur utilisée:</t>
  </si>
  <si>
    <t>Système</t>
  </si>
  <si>
    <t>Moteur</t>
  </si>
  <si>
    <t>Estimation du potentiel d'économie pour</t>
  </si>
  <si>
    <t>Circuit</t>
  </si>
  <si>
    <t>Besoins</t>
  </si>
  <si>
    <t>Régulation</t>
  </si>
  <si>
    <t>Nombre de poles</t>
  </si>
  <si>
    <t>Catégorie d'efficacité</t>
  </si>
  <si>
    <t>Redimensionnement installation</t>
  </si>
  <si>
    <t>Régulation vitesse de rotation</t>
  </si>
  <si>
    <t>Temps de marche, débit volumique:</t>
  </si>
  <si>
    <t>ouvert / fermé</t>
  </si>
  <si>
    <t>variable / cst</t>
  </si>
  <si>
    <t>Aucune/E/Bp/CF</t>
  </si>
  <si>
    <t>Supposition</t>
  </si>
  <si>
    <t>--&gt; valeur</t>
  </si>
  <si>
    <t>Saisie</t>
  </si>
  <si>
    <t>Resultate</t>
  </si>
  <si>
    <t>installation de pompage sélectionnée dans l'étape 1.</t>
  </si>
  <si>
    <t>Dans la présente feuille de calcul, le potentiel d'économie estimé est indiqué et commenté pour chaque</t>
  </si>
  <si>
    <t>Résultats détaillés</t>
  </si>
  <si>
    <t>Trier selon:</t>
  </si>
  <si>
    <t>Potentiel d'économie</t>
  </si>
  <si>
    <t>Recommandation</t>
  </si>
  <si>
    <t>Mise en garde</t>
  </si>
  <si>
    <t>Analyse fine</t>
  </si>
  <si>
    <t>Zusammenfassung</t>
  </si>
  <si>
    <t>Résumé</t>
  </si>
  <si>
    <t>Dans la présente feuille de calcul, les résultats des calculs sont résumés.</t>
  </si>
  <si>
    <t>Nombre de pompes</t>
  </si>
  <si>
    <t>Puissance</t>
  </si>
  <si>
    <t>Consommation électrique estimée</t>
  </si>
  <si>
    <t>Toutes les pompes listée</t>
  </si>
  <si>
    <t>dont entrées incomplètes:</t>
  </si>
  <si>
    <t>dont reprises dans l'étape 2:</t>
  </si>
  <si>
    <t>toutes les pompes avec:</t>
  </si>
  <si>
    <t>temps de marche incohérents</t>
  </si>
  <si>
    <t>Contacts:</t>
  </si>
  <si>
    <t>eigene Notizen</t>
  </si>
  <si>
    <t>Notes personnelles</t>
  </si>
  <si>
    <t>La présente page 'notes personnelles' permet à l'utilisateur de consigner diverses informations utiles. Ces informations</t>
  </si>
  <si>
    <t>ne sont pas utilisées pour les calculs. Il s'agit simplement d'informations et commentaires que l'utilisateur aimerait conserver.</t>
  </si>
  <si>
    <t>avec vannes</t>
  </si>
  <si>
    <t>fermé</t>
  </si>
  <si>
    <t>en série</t>
  </si>
  <si>
    <t>ouvert</t>
  </si>
  <si>
    <t>aktuell nicht benutzt, auch nicht übersetzt</t>
  </si>
  <si>
    <t>FU konstant</t>
  </si>
  <si>
    <t>CF constant</t>
  </si>
  <si>
    <t>CF</t>
  </si>
  <si>
    <t>variable</t>
  </si>
  <si>
    <t>constant</t>
  </si>
  <si>
    <t>aucune</t>
  </si>
  <si>
    <t>par étranglement, vanne</t>
  </si>
  <si>
    <t>N° selon étape 1</t>
  </si>
  <si>
    <t>Points selon étape 1</t>
  </si>
  <si>
    <t>Puissance nominale</t>
  </si>
  <si>
    <t>Consommation électrique (P * t)</t>
  </si>
  <si>
    <t>Consommation électrique (P * t * facteur de puissance)</t>
  </si>
  <si>
    <t>Potentiel d'économie selon étape 2</t>
  </si>
  <si>
    <t>P et/ou t manquent!</t>
  </si>
  <si>
    <t>Erreur dans les données concernant le temps de marche!</t>
  </si>
  <si>
    <t>Attention! P ou t manque (étape 1) pour au moins une installation !</t>
  </si>
  <si>
    <t>Attention! Au moins une valeur manquante ou incohérente dans l'étape 1 ou 2 !</t>
  </si>
  <si>
    <t>St.-Sortierung Schritt 2</t>
  </si>
  <si>
    <t>Standard-Variante für die Sortierung im Blat 'Schritt 2'. Diese Sortier-Möglichkeit wurde herausgenommen, denn sie führt zu Fehlern. Sie besteht allenfalls für den Programmer.</t>
  </si>
  <si>
    <t>aucune mesure nécessaire</t>
  </si>
  <si>
    <t>analyser évtl. plus en détail</t>
  </si>
  <si>
    <t>analyser plus en détail</t>
  </si>
  <si>
    <t>analyse fine recommandée</t>
  </si>
  <si>
    <t>analyse fine fortement recommandée</t>
  </si>
  <si>
    <t>optimisation recommandée</t>
  </si>
  <si>
    <t>optimisation fortement recommandée</t>
  </si>
  <si>
    <t>Saisie manquante / incohérente aux étapes 1 ET 2 !</t>
  </si>
  <si>
    <t>Temps de marche incohérents à l'étape 2 !</t>
  </si>
  <si>
    <t>Données manquantes (P et/ou t) à l'étape 1 !</t>
  </si>
  <si>
    <t>- fr Übersetzung gemacht:</t>
  </si>
  <si>
    <t>dynamische Übersetzung via Blatt 'Sprachen'</t>
  </si>
  <si>
    <t>dynamische Übersetzung vom Blatt 'Anleitung' via Blätter 'Anleitung_de' und 'Anleitung_fr'</t>
  </si>
  <si>
    <t>- Besonderheit:</t>
  </si>
  <si>
    <t>Falls die Sprache verändert wird, nachdem Eingaben aus Dropdown-Listen gemacht wurden, werden die für weitere Berechnungen benutzten Auswahle automatisch übersetzt via Blatt 'Sprachen', Matrix 'Matrix_Uebersetzung'.</t>
  </si>
  <si>
    <r>
      <t xml:space="preserve">- Fehlt noch: </t>
    </r>
    <r>
      <rPr>
        <sz val="11"/>
        <color rgb="FFFF0000"/>
        <rFont val="Arial"/>
        <family val="2"/>
      </rPr>
      <t>Übersetzung der Zellen-Kommentare !</t>
    </r>
  </si>
  <si>
    <r>
      <t>- Suboptimal gelöst: Dort, wo Teile einer Zelle speziell formattiert wurden (</t>
    </r>
    <r>
      <rPr>
        <b/>
        <sz val="11"/>
        <color theme="1"/>
        <rFont val="Arial"/>
        <family val="2"/>
      </rPr>
      <t>fett</t>
    </r>
    <r>
      <rPr>
        <sz val="11"/>
        <color theme="1"/>
        <rFont val="Arial"/>
        <family val="2"/>
      </rPr>
      <t xml:space="preserve"> oder </t>
    </r>
    <r>
      <rPr>
        <sz val="11"/>
        <color rgb="FFFF0000"/>
        <rFont val="Arial"/>
        <family val="2"/>
      </rPr>
      <t>farbig</t>
    </r>
    <r>
      <rPr>
        <sz val="11"/>
        <color theme="1"/>
        <rFont val="Arial"/>
        <family val="2"/>
      </rPr>
      <t>), wird dies nicht mehr übernommen!</t>
    </r>
  </si>
  <si>
    <t>E</t>
  </si>
  <si>
    <t>F</t>
  </si>
  <si>
    <t>- Veränderungen zur Version 1.2:</t>
  </si>
  <si>
    <t>- Knopf für die Wahl der Sprache ins Blatt 'Infos_Tool-Programmierung' (vorliegendes Blatt) verschoben. Grund: die Wahl der Sprache nur für de Programmierer verfügbar.</t>
  </si>
  <si>
    <t>Interne Nummer, Code, etc.</t>
  </si>
  <si>
    <t>N° interne, code, etc.</t>
  </si>
  <si>
    <t>Kommentare, Schritt 1</t>
  </si>
  <si>
    <t>Arbeitsblätter, Namen</t>
  </si>
  <si>
    <t>Anleitung</t>
  </si>
  <si>
    <t>Introduction</t>
  </si>
  <si>
    <t>Résultats</t>
  </si>
  <si>
    <t>Bereich mit den Texten für die automatischen VBA-Übersetzungen (Blätternamen und Kommentare)</t>
  </si>
  <si>
    <t>Vous pouvez saisir vos propres indications complémentaires sur la feuille "Notes personnelles".</t>
  </si>
  <si>
    <t>Auf dem Blatt „Eigene Notizen“ können Sie ihre eigenen Ergänzungen eingeben.</t>
  </si>
  <si>
    <t>Blatt-Namen</t>
  </si>
  <si>
    <t>Kommentare</t>
  </si>
  <si>
    <t>Blatt-Nr</t>
  </si>
  <si>
    <t>Zeile</t>
  </si>
  <si>
    <t>Elektrische Nennleistung des Elektromotors, in kW.
Kann aus dem Typenschild abgelesen werden.</t>
  </si>
  <si>
    <t>G</t>
  </si>
  <si>
    <t>H</t>
  </si>
  <si>
    <t>I</t>
  </si>
  <si>
    <t>Betriebszeit der Pumpe, in Stunden pro Jahr.</t>
  </si>
  <si>
    <t>Baujahr der Anlage. Angabe auf dem Typenschild der Pumpe.</t>
  </si>
  <si>
    <t>Schritt 2 (detailliertere Analyse) erzwingen.
Z.B. weil Pumpe nicht mehr richtig funktioniert und demnächst muss ersetzt werden…</t>
  </si>
  <si>
    <t>Grobe Abschätzung über die Wahrscheinlichkeit, dass wirtschaftliche Massnahmen vorhanden sind.</t>
  </si>
  <si>
    <t>Puissance nominale du moteur, en kW.
A lire sur la plaque signalétique.</t>
  </si>
  <si>
    <t>Temps de marche de la pompe, en heures par année.</t>
  </si>
  <si>
    <t>Année de construction de l'installation (plaque signalétique de la pompe).</t>
  </si>
  <si>
    <t>Forcer l'étape 2 (analyse détaillée).
Par exp. si la pompe ne fonctionne plus correctement et doit prochainement être remplacée…</t>
  </si>
  <si>
    <t>Estimation grossière de la probabilité qu'il existe des mesures rentables.</t>
  </si>
  <si>
    <t>Falls kein Strompreis eingegeben wird, wird für die Berechnungen ein Standardwert verwendet (s. unten).</t>
  </si>
  <si>
    <t>W</t>
  </si>
  <si>
    <t>Betriebsstunden pro Jahr bei den verschiedenen Volumenströmen
(25%, 50%, 75% resp. 100% vom Nennvolumenstrom).</t>
  </si>
  <si>
    <t>Info ob der Kreislauf offen (z.B. Förderung Flüssigkeit in ein höher gelegenes Reservoir) oder geschlossen (z.B. Heizkreis) ist.</t>
  </si>
  <si>
    <t>Si le prix du courant n'est pas indiqué explicitement, un prix standard est utilisé pour les calculs (cf. ci-dessous).</t>
  </si>
  <si>
    <t>Heures de marches par année pour les différents débits volumiques (25%, 50%, 75% resp. 100% du débit nominal).</t>
  </si>
  <si>
    <t>Circuit ouvert (p.exp. transport d'un liquide dans un réservoir surélevé) ou fermé (p.exp. circuit de chauffage).</t>
  </si>
  <si>
    <t>N</t>
  </si>
  <si>
    <t>O</t>
  </si>
  <si>
    <t>Z</t>
  </si>
  <si>
    <t>V</t>
  </si>
  <si>
    <t>Info ob der Bedarf (Volumenstrom, Druck) variabel (z.B. variable Anzahl Verbraucher) oder konstant ist.</t>
  </si>
  <si>
    <t>Wie wird gegebenenfalls der Volumenstrom reguliert?
Bemerkung: Es kann bei konstantem Bedarf auch sein, dass der Volumenstrom mit einer Drosselung o.a. eingestellt wird.</t>
  </si>
  <si>
    <t>Dieser Wert wird berechnet.
Falls er kleiner als 0 ist, sollen die Eingaben überprüft werden!</t>
  </si>
  <si>
    <t>Für die weiteren Berechnungen benutzter Wert.</t>
  </si>
  <si>
    <t>2 Zeilen?</t>
  </si>
  <si>
    <t>Besoins (débit volumique, pression) variables (p.exp. Nombre variable d'utilisateurs) ou constants?</t>
  </si>
  <si>
    <t>Comment le débit volumique est-il régulé?
Rem.: Il se peut que le débit soit réduit par une vanne ou un étranglement, même si le besoin est constant.</t>
  </si>
  <si>
    <t>Cette valeur est calculée.
Si elle est inférieure à 0, les valeur entrées doivent être vérifiées!</t>
  </si>
  <si>
    <t>Valeur utilisée pour la suite des calculs.</t>
  </si>
  <si>
    <t>- Übersetzung der Blattnamen und der Kommentare via VBA-Funktion (nur für den Administrator).</t>
  </si>
  <si>
    <t>- Schriftgrösse für die Kommentare allg. auf 8 gesetzt.</t>
  </si>
  <si>
    <t>- Grösse der Kommentarfelder angepasst, so dass für fr und de pasend.</t>
  </si>
  <si>
    <t>Geben Sie in Schritt 1 nur die wichtigsten Angaben ihrer Pumpen ein.</t>
  </si>
  <si>
    <t>In Schritt 2 sind weitere Angaben bei den ausgewählten Pumpen nötig.</t>
  </si>
  <si>
    <r>
      <rPr>
        <b/>
        <sz val="11"/>
        <color theme="1"/>
        <rFont val="Arial"/>
        <family val="2"/>
      </rPr>
      <t>Effizienzklasse des Motors:</t>
    </r>
    <r>
      <rPr>
        <sz val="11"/>
        <color theme="1"/>
        <rFont val="Arial"/>
        <family val="2"/>
      </rPr>
      <t xml:space="preserve">
Die Auswahl erfolgt automatisch aufgrund des Alters der Pumpe. Falls Sie aber die IE-Klasse kennen oder der Motor seit der Installation der Pumpe ausgewechselt wurde, kann dieser Wert überschrieben werden.</t>
    </r>
  </si>
  <si>
    <r>
      <rPr>
        <b/>
        <sz val="11"/>
        <color theme="1"/>
        <rFont val="Arial"/>
        <family val="2"/>
      </rPr>
      <t>Regulierung:</t>
    </r>
    <r>
      <rPr>
        <sz val="11"/>
        <color theme="1"/>
        <rFont val="Arial"/>
        <family val="2"/>
      </rPr>
      <t xml:space="preserve"> (Default-Wert: Drosselung)
Wählen Sie die Art der Regulierung des Volumenstroms. Dies soll auch angegeben werden, wenn zwar kein variabler Bedarf vorhanden ist, der Volumenstrom aber mittels Drosselung, FU oder Bypass auf einen konstanten Volumenstrom reduziert wird. Falls die Pumpe mittels FU auf einen konstanten Volumenstrom reduziert wird und zusätzlich mit einer Drosselung reguliert wird, wählen Sie "Drosselung". </t>
    </r>
  </si>
  <si>
    <r>
      <rPr>
        <b/>
        <sz val="11"/>
        <rFont val="Arial"/>
        <family val="2"/>
      </rPr>
      <t>Volumenstrombedarf:</t>
    </r>
    <r>
      <rPr>
        <sz val="11"/>
        <rFont val="Arial"/>
        <family val="2"/>
      </rPr>
      <t xml:space="preserve"> (keine Default-Werte)
Die Angaben sind relativ bezogen auf den Nennvolumenstrom der Pumpe. Den Nennvolumenstrom findet man auf dem Typenschild oder den technischen Angaben der Pumpe. Geben Sie pro Klasse die Jahresstunden an. Diese können auch vom Betrieb geschätzt werden (z. B. durch andere Angaben aus dem Betrieb, wie den Laufzeiten des belieferten Prozesses, etc.). Die letzte Spalte (100%) wird automatisch berechnet aus der Gesamtbetriebszeit und den Eingaben bei 25%, 50% und 75%. Es ist z. B. möglich, dass eine Pumpe nur bei 25% und 50% Betriebsstunden aufweist. Damit hat sie ein Sparpotenzial durch Redimensionierung und Drehzahlregulierung.</t>
    </r>
  </si>
  <si>
    <t>Das Einsparpotenzial wird dabei in % des geschätzten Energieverbrauchs, in kWh pro Jahr und CHF pro Jahr angegeben. Der geschätzte Energieverbrauch wird dabei grob mit den Eingaben Leistung mal Zeit (P * t * Lastfaktor) berechnet.</t>
  </si>
  <si>
    <t>Ein variabler Bedarf ist vorhanden, wird aber im Ist-Zustand nicht mit einem Frequenzumrichter gemacht. Im Vergleich zur bestehenden Regulierung (Bypass oder Drosselung) könnte mit einem FU deshalb dieser ausgewiesene Anteil der Energie eingespart werden. Diese Massnahme ist abhängig von der 3. Massnahme (Redimensionierung).</t>
  </si>
  <si>
    <t xml:space="preserve">Um eine bessere Übersicht zu erhalten oder die wichtigsten Pumpen auswählen zu können, ist hier eine Sortierung möglich. Wählen Sie „Nr. gemäss Schritt 1“, werden die Pumpen gemäss der Eingabe-Reihenfolge in Schritt 1 angezeigt. Wählen Sie "Stromverbrauch (P * t * Lastfaktor), geschieht die Sortierung nach dem abgeschätzten Stromverbrauch. Wählen Sie „Einsparpotenzial gemäss Schritt 2“, um die Pumpen mit den grössten vermuteten Einsparungen zuoberst zu haben. </t>
  </si>
  <si>
    <t>Für eine kompakte Übersicht können die Spalten J bis O ausgeblendet werden. Wählen Sie die Spalten an und wählen Sie mit Rechtsklick „ausblenden“.</t>
  </si>
  <si>
    <t xml:space="preserve">Les indications laissent présumer un fort potentiel d'économie, mais celui-ci est difficile à quantifier. Une analyse effectuée sur place par une entreprise spécialisée peut évaluer ce potentiel. Cela a un prix, mais qui peut être rapidement amorti grâce à des économie pouvant dépasser 25%. Vous trouverez sur www.effiziente-pumpen.ch les coordonnées d'entreprises spécialisées dans ce type de prestations. </t>
  </si>
  <si>
    <t>Analyse fine fortement recommandée:</t>
  </si>
  <si>
    <t>Analyse fine recommandée:</t>
  </si>
  <si>
    <t xml:space="preserve">Le potentiel d'économie est trop faible pour qu'une analyse fine en vaille la peine. Certaines mesures peuvent cependant être payantes (par ex. le remplacement d'un moteur ou un redimensionnement). Cependant, pour cela, l'analyse fine n'est pas nécessaire. Ces résultats sont indiqués dans l'étape 2. </t>
  </si>
  <si>
    <t>Aucune mesure nécessaire:</t>
  </si>
  <si>
    <t>Feinanalyse sehr empfohlen:</t>
  </si>
  <si>
    <t>Feinanalyse empfohlen:</t>
  </si>
  <si>
    <t>Keine Massnahmen nötig:</t>
  </si>
  <si>
    <t>Die Angaben lassen ein grosses Einsparpotenzial vermuten, dieses ist aber schwierig zu quantifizieren. Eine Analyse vor Ort durch eine Fachfirma kann das Potenzial ermitteln. Dies kostet Geld, wird sich aber durch die Einsparung, die über 25% betragen kann,  rasch amortisieren. Auf www.effiziente-pumpen.ch erfahren Sie, wie Sie zu Kontaktangaben von Fachfirmen kommen, die Ihnen diese Aufgabe abnehmen.</t>
  </si>
  <si>
    <t>Die Angaben lassen ein mittleres Einsparpotenzial vermuten, dieses ist aber schwierig zu quantifizieren. Eine Analyse vor Ort durch eine Fachfirma kann das Potenzial ermitteln. Dies kostet Geld, lässt sich aber durch die Einsparung mittelfristig amortisieren. Auf www.effiziente-pumpen.ch erfahren Sie, wie Sie zu Kontaktangaben von Fachfirmen kommen, die Ihnen diese Aufgabe abnehmen.</t>
  </si>
  <si>
    <t xml:space="preserve">Das Einsparpotenzial in CHF ist zu gering, als dass sich eine Feinanalyse lohnt. Trotzdem kann es sein, dass sich einzelne Massnahmen lohnen (z. B. ein Motorenersatz). Diese Ergebnisse sind in Schritt 2 ausgewiesen. </t>
  </si>
  <si>
    <t xml:space="preserve">L'outil a été délibérément conçu sous forme d'un simple tableau Excel. Il est ainsi possible, par exemple, d'y "coller" des données figurant dans des listes déjà existantes. </t>
  </si>
  <si>
    <t>Le relevé des données prend du temps. C'est cependant le seul moyen pour avoir une bonne vue d'ensemble et détecter les potentiels d'économie significatifs.</t>
  </si>
  <si>
    <t>Saisissez uniquement les principales caractéristiques de vos pompes dans l'étape 1.</t>
  </si>
  <si>
    <t xml:space="preserve">Des indications supplémentaires concernant les pompes sélectionnées sont nécessaires dans l'étape 2. </t>
  </si>
  <si>
    <r>
      <rPr>
        <b/>
        <sz val="11"/>
        <rFont val="Arial"/>
        <family val="2"/>
      </rPr>
      <t>Puissance électrique:</t>
    </r>
    <r>
      <rPr>
        <sz val="11"/>
        <rFont val="Arial"/>
        <family val="2"/>
      </rPr>
      <t xml:space="preserve"> telle qu'elle figure sur la plaque signalétique ou dans les documents relatifs à la pompe.</t>
    </r>
  </si>
  <si>
    <r>
      <rPr>
        <b/>
        <sz val="11"/>
        <rFont val="Arial"/>
        <family val="2"/>
      </rPr>
      <t xml:space="preserve">Heures de marche: </t>
    </r>
    <r>
      <rPr>
        <sz val="11"/>
        <rFont val="Arial"/>
        <family val="2"/>
      </rPr>
      <t>nombre total d'heures de marche par an, y compris en charge partielle (pas de conversion en heures de pleine charge).</t>
    </r>
  </si>
  <si>
    <r>
      <rPr>
        <b/>
        <sz val="11"/>
        <rFont val="Arial"/>
        <family val="2"/>
      </rPr>
      <t>Année de construction:</t>
    </r>
    <r>
      <rPr>
        <sz val="11"/>
        <rFont val="Arial"/>
        <family val="2"/>
      </rPr>
      <t xml:space="preserve"> se réfère à la pompe, telle qu'elle figure sur la plaque signalétique ou dans les documents d'achat ou d'après les indications/l'estimation de l'usine.</t>
    </r>
  </si>
  <si>
    <r>
      <rPr>
        <b/>
        <sz val="11"/>
        <rFont val="Calibri"/>
        <family val="2"/>
      </rPr>
      <t>É</t>
    </r>
    <r>
      <rPr>
        <b/>
        <sz val="11"/>
        <rFont val="Arial"/>
        <family val="2"/>
      </rPr>
      <t xml:space="preserve">tape 2: oui/non: </t>
    </r>
    <r>
      <rPr>
        <sz val="11"/>
        <rFont val="Arial"/>
        <family val="2"/>
      </rPr>
      <t>Sélectionnez "oui" si vous souhaitez impérativement analyser la pompe de manière plus précise dans l'étape 2.</t>
    </r>
  </si>
  <si>
    <t xml:space="preserve">Avec les indications fournies, l'outil d'analyse procède à une estimation grossière du potentiel d'économie et ne sélectionne pour l'étape 2 que les pompes présumées avoir un gros potentiel (pompes signalées par la mention "analyser plus en détail"). Les pompes pour lesquelles il existe éventuellement un potentiel ("analyser évtl. plus en détail") sont aussi reprises pour l'étape 2, surlignées en jaune. </t>
  </si>
  <si>
    <r>
      <rPr>
        <b/>
        <sz val="11"/>
        <rFont val="Arial"/>
        <family val="2"/>
      </rPr>
      <t>Offener / geschlossener Kreislauf:</t>
    </r>
    <r>
      <rPr>
        <sz val="11"/>
        <rFont val="Arial"/>
        <family val="2"/>
      </rPr>
      <t xml:space="preserve"> (Default-Wert: geschlossener Kreislauf)
Diese Angabe ist wichtig, da bei einem offenen Kreislauf sich die Förderhöhe in einem erhöhten Förderdruck niederschlägt. Der Ersatz einer Drosselung durch eine Drehzahlregulierung resultiert in eine Energieeinsparung bei einem offenen Kreislauf mit grosser Förderhöhe erheblich kleiner ist.</t>
    </r>
  </si>
  <si>
    <r>
      <rPr>
        <b/>
        <sz val="11"/>
        <rFont val="Arial"/>
        <family val="2"/>
      </rPr>
      <t>Circuit ouvert / fermé:</t>
    </r>
    <r>
      <rPr>
        <sz val="11"/>
        <rFont val="Arial"/>
        <family val="2"/>
      </rPr>
      <t xml:space="preserve"> (valeur par défaut: circuit fermé) 
Cette indication est importante car, avec un circuit ouvert, la hauteur manométrique se traduit par une augmentation de la pression de refoulement. Le remplacement d'une régulation par étranglement ou d'une vanne par un variateur de fréquence permet une économie nettement plus faible dans le cas d'un circuit ouvert avec une forte pression manométrique.</t>
    </r>
  </si>
  <si>
    <r>
      <t>"Life"-Übersetzung</t>
    </r>
    <r>
      <rPr>
        <sz val="12"/>
        <color theme="1"/>
        <rFont val="Arial"/>
        <family val="2"/>
      </rPr>
      <t xml:space="preserve"> (für die richtige Übernahme der gewählten Auswahlwerte)</t>
    </r>
  </si>
  <si>
    <r>
      <rPr>
        <b/>
        <sz val="11"/>
        <rFont val="Arial"/>
        <family val="2"/>
      </rPr>
      <t>Régulation:</t>
    </r>
    <r>
      <rPr>
        <sz val="11"/>
        <rFont val="Arial"/>
        <family val="2"/>
      </rPr>
      <t xml:space="preserve"> (valeur par défaut: régulateur de débit par étranglement)
Sélectionnez le mode de régulation du débit volumique. Cela doit également être indiqué lorsqu'il n'y a pas de besoins variables, mais que le débit volumique est réduit à une valeur constante au moyen d'un régulateur de débit, d'un convertisseur de fréquence (CF) ou d'un by-pass. Si le débit volumique de la pompe est réduit à une valeur constante au moyen d'un CF et si la pompe est de plus équipée d'un régulateur de débit, sélectionnez "par étranglement". </t>
    </r>
  </si>
  <si>
    <r>
      <rPr>
        <b/>
        <sz val="11"/>
        <rFont val="Arial"/>
        <family val="2"/>
      </rPr>
      <t>Catégorie d'efficacité du moteur:</t>
    </r>
    <r>
      <rPr>
        <sz val="11"/>
        <rFont val="Arial"/>
        <family val="2"/>
      </rPr>
      <t xml:space="preserve">
La sélection s'effectue automatiquement en fonction de l'âge de la pompe. Cependant, si vous connaissez la catégorie IE ou si le moteur a été remplacé depuis l'installation de la pompe, vous pouvez remplacer cette valeur. </t>
    </r>
  </si>
  <si>
    <t xml:space="preserve">Besoins en débit volumique: (pas de valeur par défaut)
Les indications sont relatives et se réfèrent au débit volumique nominal de la pompe. Celui-ci figure sur la plaque signalétique ou dans les caractéristiques techniques de la pompe. Indiquez par catégorie les heures annuelles. Celles-ci peuvent également être estimées par l'entreprise (par ex. grâce à d'autres indications de fonctionnement, comme les durées d'exécution du processus fourni, etc.). La dernière colonne (100%) est calculée automatiquement à partir du temps de marche total et des saisies à 25%, 50% et 75% de charge. Il est par exemple possible que les heures de marche d'une pompe ne correspondent qu'à 25% et 50% de charge. Elle présente alors un potentiel d'économie par redimensionnement et régulation de la vitesse de rotation. </t>
  </si>
  <si>
    <t xml:space="preserve">Le potentiel d'économie est alors indiqué en % de la consommation d'énergie estimée, en kWh par an et en CHF par an. Pour cela, la consommation d'énergie estimée est sommairement calculée avec les données de puissance multipliées par le temps (P * t * facteur de charge). </t>
  </si>
  <si>
    <t>Der Ersatz des Motors bringt bereits eine massgebliche Stromeinsparung. Diese Massnahme sind oft einfach umzusetzen. Allerdings kann durch den alleinigen Ersatz des Motors ein suboptimales Gesamtsystem resultieren. Deshalb wird empfohlen, die gesamte Pumpenanlage im Detail anzuschauen. Das Einsparpotenzial wird ohne Beeinflussung der 3. Massnahme (Redimensionierung) ausgewiesen.</t>
  </si>
  <si>
    <t>Le remplacement du moteur permet déjà une économie d'électricité considérable. Cette mesure est souvent facile à réaliser.  Toutefois, du seul remplacement du moteur peut parfois résulter un système complet suboptimal. C'est pourquoi il est conseillé d'examiner en détail l'ensemble de l'installation. Le potentiel d'économie indiqué ne tient pas compte d'une éventuelle influence de la 3e mesure (redimensionnement).</t>
  </si>
  <si>
    <r>
      <t>Des besoins variables existent, mais ne sont pas satisfaits au moyen d'un convertisseur de fréquence dans la situation actuelle. Par rapport à la régulation existante (by-pass ou régulateur de débit par étranglement, vanne), la part d'énergie indiquée pourrait donc être économisée grâce à l'installation d'un convertisseur de fréquence. Cette mesure dépend de la 3</t>
    </r>
    <r>
      <rPr>
        <vertAlign val="superscript"/>
        <sz val="11"/>
        <rFont val="Arial"/>
        <family val="2"/>
      </rPr>
      <t>e</t>
    </r>
    <r>
      <rPr>
        <sz val="11"/>
        <rFont val="Arial"/>
        <family val="2"/>
      </rPr>
      <t xml:space="preserve"> (redimensionnement). </t>
    </r>
  </si>
  <si>
    <t xml:space="preserve">Pour obtenir une meilleure vue d'ensemble ou pour pouvoir sélectionner les pompes les plus importantes, un classement est possible ici. Si vous sélectionnez "N° d'après l'étape 1", les pompes apparaissent dans le même ordre qu'elles ont été saisies dans l'étape 1. Si vous sélectionnez "Consommation d'électricité" (P * t * facteur de charge), le classement s'effectue en fonction de la consommation d'électricité estimée. Sélectionnez "Potentiel d'économie d'après l'étape 2" pour faire apparaître en premier les pompes présumées permettre les économie les plus importantes. </t>
  </si>
  <si>
    <t xml:space="preserve">Pour avoir un aperçu compact, vous pouvez masquer les colonnes J à O. Sélectionnez ces colonnes et cliquez sur "Masquer" avec le bouton droit de la souris. </t>
  </si>
  <si>
    <t xml:space="preserve">Les indications laissent présumer un potentiel d'économie moyen, mais celui-ci est difficile à quantifier. Une analyse effectuée sur place par une entreprise spécialisée peut évaluer ce potentiel. Cela a un prix, mais qui peut être amorti à moyen terme. Vous trouverez sur www.effiziente-pumpen.ch les coordonnées d'entreprises spécialisées dans ce type de prestations. </t>
  </si>
  <si>
    <t xml:space="preserve">Cette feuille résume le potentiel d'économie des pompes dans les trois catégories "aucune mesure nécessaire", "analyse fine recommandée" et "analyse fine fortement recommandée". Les données sont tirées de la feuille "Résultats". De plus, sont indiqués: le nombre de pompes par catégorie, leur puissance totale et leur consommation théorique d'électricité. </t>
  </si>
  <si>
    <t>- Anleitung: Korrekturen auf fr und de.</t>
  </si>
  <si>
    <t>- Veränderungen zur Version 1.3:</t>
  </si>
  <si>
    <t>- Makro für das automatische Ausblenden und Schützen von Blättern bzw. von der Struktur.</t>
  </si>
  <si>
    <t>- Blatt 'offene Punkte' herausgenommen.</t>
  </si>
  <si>
    <t>www.pumpind.ch</t>
  </si>
  <si>
    <t>info@neosys.ch</t>
  </si>
  <si>
    <t>- Ein Satz gemäss Vorgaben von Romeo Regenass in die Einleitung eingefügt.</t>
  </si>
  <si>
    <t>Sind Feinanalysen vorhanden, können Umsetzungen, z.B. der Austausch einer Pumpe, durch unser Partnerprogramm PUMPIND gefördert werden. Die Förderung kann bis zu 40% der Investition betragen. Mehr Informationen und ein Formular zur Eingabe eines Förderantrags finden Sie auf www.pumpind.ch:</t>
  </si>
  <si>
    <t>Si vous disposez d’analyses détaillées, vous pouvez les mettre en œuvre, par exemple au travers d’un soutien financier de notre programme partenaire PUMPIND pour le remplacement d’une pompe. La contribution financière peut s’élever jusqu’à 40% des coûts d’investissement. Vous trouverez plus d’informations, ainsi qu’un formulaire de demande de subvention, sous www.pumpind.ch:</t>
  </si>
  <si>
    <t>- VBA-Code so angepasst, dass beim Schutz bei jedem Blatt und bei der Stuktur ein Passwort gesetzt wird.</t>
  </si>
  <si>
    <t>- Die zwei Zellen im Blatt 'Einleitung' mit Links/e-mail sowie die Zelle im Blatt 'Zusammenfassung' mit e-Mail entsperrt, damit die Links auch beim geschütztem Blatt funktionieren.</t>
  </si>
  <si>
    <t>Informationen zu Feinanalyse, 
Förderung und ProEPA generell: info@proepa.ch</t>
  </si>
  <si>
    <r>
      <t xml:space="preserve">Information concernant l'analyse fine, les subventions et </t>
    </r>
    <r>
      <rPr>
        <sz val="9"/>
        <color rgb="FFFF0000"/>
        <rFont val="Arial"/>
        <family val="2"/>
      </rPr>
      <t>ProEPA</t>
    </r>
    <r>
      <rPr>
        <sz val="9"/>
        <rFont val="Arial"/>
        <family val="2"/>
      </rPr>
      <t xml:space="preserve"> en général: info@proepa.ch</t>
    </r>
  </si>
  <si>
    <t>Pumpe 1</t>
  </si>
  <si>
    <t>Pumpe 2</t>
  </si>
  <si>
    <t>Pumpe 3</t>
  </si>
  <si>
    <t>In Schritt 2 geht es nur noch um jene Pumpen aus Schritt 1, bei denen ein grosses Sparpotenzial vermutet wird. Um das Potenzial genauer zu berechnen, braucht es hier weitere Angaben zum Betrieb. Die benötigten Daten sind dabei so ausgewählt, dass sie von einem Betrieb mit überschaubarem Aufwand ausgefüllt werden können.</t>
  </si>
  <si>
    <t>In den Zusammenfassungen werden Ihnen die Anzahl Pumpen sowie die Summen der Einsparpotenziale in kWh und CHF der drei Kategorien mit hohem, mittlerem und tiefem Potenzial angezeigt.</t>
  </si>
  <si>
    <t xml:space="preserve">Um das Potenzial der ausgewählten Pumpen besser abzuschätzen, braucht es weitere Angaben. </t>
  </si>
  <si>
    <t>Das Resultate-Blatt zeigt schliesslich diejenigen Pumpen mit dem grössten Einsparpotenzial. Dieses wird in kWh und CHF angezeigt. Weiter wird angegeben, wo eine Feinanalyse vor Ort empfohlen wird, um das Potenzial genauer zu ermitteln.</t>
  </si>
  <si>
    <t>Das Tool nimmt mit den Angaben eine grobe Abschätzung des Einsparpotenzials vor und wählt nur jene Pumpen für Schritt 2 aus, bei denen ein grosses Potenzial vermutet wird (Kennzeichnung Pumpe mit „Anlage genauer überprüfen“). Pumpen, bei denen eventuell ein Potenzial vorhanden ist („Anlage evtl. genauer überprüfen“), werden ebenfalls in Schritt 2 übernommen, gelb markiert.</t>
  </si>
  <si>
    <t>- Veränderungen 1.4.02 vgl mit Version 1.4:</t>
  </si>
  <si>
    <t>- Rechtschreibe-Korrekturen auf deutsch: "potenzial" --&gt; "Potenzial"</t>
  </si>
  <si>
    <t>- Im Blatt 'Schritt2': Spalten D, E, G, H, I leicht schmaller gemacht. Header von Spalte E: Grösse 8 statt 9 (damit der fr. Text drin passt).</t>
  </si>
  <si>
    <t>Auf meinem Laptop-Bildschirm sind jetzt alle Eingabe-Spalten gut sichtbar ohne scrollen zu müssen (Sie waren es schon bei den breiteren Spalten, bei Sichtgrösse = 100%!). Die Resultat-Spalten dafür nicht.</t>
  </si>
  <si>
    <t>Auch: Zeilen 3, 5, 8, 9 schmaller (2.50)</t>
  </si>
  <si>
    <t>- Im Blatt 'Résultats': Spalten D, E, G, H, I, J, K, L, M, N, O, Q, R leicht schmaller gemacht. Header von Spalten J bis O: Grösse 7 statt 8 (damit der fr. Text drin passt).</t>
  </si>
  <si>
    <t>Auch: Zeilen 3, 6, 9 schmaller (2.50)</t>
  </si>
  <si>
    <t>Auf meinem Laptop-Bildschirm (klein) sind immer noch nicht alle Spalten sichtbar ohne scrollen zu müssen. Erst bei sichtgrösse 75% machbar.</t>
  </si>
  <si>
    <t>- Satz ergänzt im Blatt 'Einleitung', Zeile 92: falls Sie Details zu den Berechnungsschritten möchten, …</t>
  </si>
  <si>
    <t>- pastel-grün (204,255,204): Resultat --&gt; Anlage gut, keine MN / Untersuchung nötig</t>
  </si>
  <si>
    <t>- hell-orange (255,220,170): Resultat --&gt; Anlage mittelgut, allenfalls MN / Untersuchung nötig</t>
  </si>
  <si>
    <t>- lavendel (hell-rosa) (255,204,255): Resultat --&gt; Anlage schlecht, MN / Untersuchung nötig</t>
  </si>
  <si>
    <t>- Farbe für "Anlage evtl. genauer überprüfen" von gelb auf hell-orange (siehe weiter unten) gewechselt. Grund: Verwirrung zwischen Eingabe-Felder und Resultat-Felder.</t>
  </si>
  <si>
    <t>Oui</t>
  </si>
  <si>
    <t>- Problem Pulldown in blatt 'Schritt 1' gelöst.</t>
  </si>
  <si>
    <t>Auch: Im Blatt 'Sprache': neue Zeile (32) mit Ja/Oui. Und Im Blatt 'Parameter': St.Wert_Hacken (B24) wird aus Blatt 'Sprache', C32 gelesen.</t>
  </si>
  <si>
    <t>Dabei mussten auch die Werte in den Zellen Q15-17 (Blatt 'Sprachen') um 1 erhöht werden (Verschiebung der Zeilen nach unten.</t>
  </si>
  <si>
    <t>- Blatt 'Einleitung': Zellen 88 und 91 "entsperren", damit der Link nicht aktiviert wird beim Klick überall auf der Seite.</t>
  </si>
  <si>
    <t>Das Tool dient dazu, in einem Industriebetrieb oder Werk mit möglichst geringem Aufwand die Pumpen mit dem grössten Energiesparpotenzial zu finden. Das Tool wurde für Trockenläufer entwickelt und eignet sich nur bedingt für die Beurteilung des Energiesparpotenzials von Nassläufern.</t>
  </si>
  <si>
    <t>1.4.03</t>
  </si>
  <si>
    <t>- Veränderungen 1.4.03 vgl mit Version 1.4.02:</t>
  </si>
  <si>
    <t>- In Anleitung (unter "1. Zweck"): zusätzlicher Satz betreffend Nassläufer</t>
  </si>
  <si>
    <t>- Rechtschreibe-Korrekturen auf deutsch: "Potential" --&gt; "Potenzial"</t>
  </si>
  <si>
    <t>Bei Fragen zum Tool oder falls Sie Details zu den Berechnungsschritten (z.B. eine ungeschützte Version vom Tool) möchten, wenden Sie sich an die Neosys AG: Tel. 032 674 45 11, info@neosys.ch:</t>
  </si>
  <si>
    <t>Si vous avez des questions concernant l'outil d'analyse ou si vous désirez avoir des détails sur les méthodes de calcul (p.ex. une version non-protégée), adressez-vous à Neosys SA: Tel. 032 674 45 11, info@neosys.ch:</t>
  </si>
  <si>
    <t>- In Anleitung (unter "4. Zusammenfassung") hinzugefügt: "(z.B. eine ungeschützte Version vom Tool)"</t>
  </si>
  <si>
    <t>Abgeschätztes Einsparpozential durch</t>
  </si>
  <si>
    <t>das abgeschätzte Einsparpotenzial gezeigt und kommentiert.</t>
  </si>
  <si>
    <t>Abgeschätztes Einsparpotenzial durch</t>
  </si>
  <si>
    <t>Einsparpozential</t>
  </si>
  <si>
    <t>Einsparpotenzial gemäss Schritt 2</t>
  </si>
  <si>
    <t>Cet outil d'analyse sert à identifier dans un établissement industriel ou une usine, en y consacrant le moins de temps possible, les pompes ayant le plus gros potentiel d'économie d'énergie. L'outil a été développé pour les pompes à rotor sec et n'est pas particulièrement approprié pour l'estimation du potentiel d'économie d'énergie des circulateurs à rotor noyé.</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</si>
</sst>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64" x14ac:knownFonts="1">
    <font>
      <sz val="11"/>
      <color theme="1"/>
      <name val="Arial"/>
      <family val="2"/>
    </font>
    <font>
      <sz val="11"/>
      <color theme="1"/>
      <name val="Arial"/>
      <family val="2"/>
    </font>
    <font>
      <b/>
      <sz val="14"/>
      <color theme="1"/>
      <name val="Arial"/>
      <family val="2"/>
    </font>
    <font>
      <b/>
      <sz val="12"/>
      <color theme="1"/>
      <name val="Arial"/>
      <family val="2"/>
    </font>
    <font>
      <u/>
      <sz val="11"/>
      <color theme="10"/>
      <name val="Arial"/>
      <family val="2"/>
    </font>
    <font>
      <sz val="11"/>
      <color rgb="FFFF0000"/>
      <name val="Arial"/>
      <family val="2"/>
    </font>
    <font>
      <b/>
      <sz val="11"/>
      <color theme="1"/>
      <name val="Arial"/>
      <family val="2"/>
    </font>
    <font>
      <sz val="9"/>
      <color indexed="81"/>
      <name val="Segoe UI"/>
      <family val="2"/>
    </font>
    <font>
      <b/>
      <sz val="9"/>
      <color indexed="81"/>
      <name val="Segoe UI"/>
      <family val="2"/>
    </font>
    <font>
      <b/>
      <u/>
      <sz val="12"/>
      <color theme="1"/>
      <name val="Arial"/>
      <family val="2"/>
    </font>
    <font>
      <b/>
      <u/>
      <sz val="11"/>
      <color theme="1"/>
      <name val="Arial"/>
      <family val="2"/>
    </font>
    <font>
      <sz val="11"/>
      <color rgb="FF00B050"/>
      <name val="Arial"/>
      <family val="2"/>
    </font>
    <font>
      <sz val="11"/>
      <name val="Arial"/>
      <family val="2"/>
    </font>
    <font>
      <b/>
      <sz val="11"/>
      <name val="Arial"/>
      <family val="2"/>
    </font>
    <font>
      <sz val="11"/>
      <color rgb="FF00B0F0"/>
      <name val="Arial"/>
      <family val="2"/>
    </font>
    <font>
      <sz val="11"/>
      <color theme="0" tint="-0.14999847407452621"/>
      <name val="Arial"/>
      <family val="2"/>
    </font>
    <font>
      <sz val="8"/>
      <name val="Arial"/>
      <family val="2"/>
    </font>
    <font>
      <sz val="10"/>
      <color theme="1"/>
      <name val="Arial"/>
      <family val="2"/>
    </font>
    <font>
      <sz val="7"/>
      <color theme="1"/>
      <name val="Arial"/>
      <family val="2"/>
    </font>
    <font>
      <b/>
      <sz val="10"/>
      <color theme="1"/>
      <name val="Arial"/>
      <family val="2"/>
    </font>
    <font>
      <sz val="10"/>
      <color rgb="FF00B050"/>
      <name val="Arial"/>
      <family val="2"/>
    </font>
    <font>
      <sz val="10"/>
      <color rgb="FF00B0F0"/>
      <name val="Arial"/>
      <family val="2"/>
    </font>
    <font>
      <b/>
      <sz val="11"/>
      <color theme="0"/>
      <name val="Arial"/>
      <family val="2"/>
    </font>
    <font>
      <sz val="11"/>
      <color theme="0"/>
      <name val="Arial"/>
      <family val="2"/>
    </font>
    <font>
      <sz val="8"/>
      <color indexed="81"/>
      <name val="Segoe UI"/>
      <family val="2"/>
    </font>
    <font>
      <i/>
      <sz val="11"/>
      <color theme="1"/>
      <name val="Arial"/>
      <family val="2"/>
    </font>
    <font>
      <i/>
      <sz val="8"/>
      <color theme="1"/>
      <name val="Arial"/>
      <family val="2"/>
    </font>
    <font>
      <b/>
      <sz val="9"/>
      <color theme="1"/>
      <name val="Arial"/>
      <family val="2"/>
    </font>
    <font>
      <sz val="11"/>
      <color theme="0" tint="-0.34998626667073579"/>
      <name val="Arial"/>
      <family val="2"/>
    </font>
    <font>
      <sz val="6"/>
      <color theme="1"/>
      <name val="Arial"/>
      <family val="2"/>
    </font>
    <font>
      <sz val="5"/>
      <color theme="1"/>
      <name val="Arial"/>
      <family val="2"/>
    </font>
    <font>
      <b/>
      <sz val="11"/>
      <color rgb="FF00B050"/>
      <name val="Arial"/>
      <family val="2"/>
    </font>
    <font>
      <u/>
      <sz val="11"/>
      <color theme="11"/>
      <name val="Arial"/>
      <family val="2"/>
    </font>
    <font>
      <sz val="8"/>
      <color theme="1"/>
      <name val="Arial"/>
      <family val="2"/>
    </font>
    <font>
      <sz val="10.5"/>
      <color theme="1"/>
      <name val="Arial"/>
      <family val="2"/>
    </font>
    <font>
      <b/>
      <i/>
      <sz val="11"/>
      <color theme="1"/>
      <name val="Arial"/>
      <family val="2"/>
    </font>
    <font>
      <b/>
      <sz val="9"/>
      <name val="Arial"/>
      <family val="2"/>
    </font>
    <font>
      <sz val="11"/>
      <color rgb="FF92D050"/>
      <name val="Arial"/>
      <family val="2"/>
    </font>
    <font>
      <b/>
      <sz val="7"/>
      <name val="Arial"/>
      <family val="2"/>
    </font>
    <font>
      <sz val="9"/>
      <color theme="1"/>
      <name val="Arial"/>
      <family val="2"/>
    </font>
    <font>
      <sz val="6"/>
      <color theme="0" tint="-0.249977111117893"/>
      <name val="Arial"/>
      <family val="2"/>
    </font>
    <font>
      <sz val="10"/>
      <color theme="0"/>
      <name val="Arial"/>
      <family val="2"/>
    </font>
    <font>
      <b/>
      <sz val="7"/>
      <color theme="1"/>
      <name val="Arial"/>
      <family val="2"/>
    </font>
    <font>
      <sz val="7"/>
      <name val="Arial"/>
      <family val="2"/>
    </font>
    <font>
      <sz val="10"/>
      <name val="Arial"/>
      <family val="2"/>
    </font>
    <font>
      <b/>
      <sz val="10"/>
      <name val="Arial"/>
      <family val="2"/>
    </font>
    <font>
      <sz val="6"/>
      <name val="Arial"/>
      <family val="2"/>
    </font>
    <font>
      <b/>
      <sz val="16"/>
      <name val="Arial"/>
      <family val="2"/>
    </font>
    <font>
      <b/>
      <sz val="14"/>
      <name val="Arial"/>
      <family val="2"/>
    </font>
    <font>
      <b/>
      <sz val="11"/>
      <name val="Calibri"/>
      <family val="2"/>
    </font>
    <font>
      <vertAlign val="superscript"/>
      <sz val="11"/>
      <name val="Arial"/>
      <family val="2"/>
    </font>
    <font>
      <sz val="11"/>
      <name val="Cambria"/>
      <family val="1"/>
    </font>
    <font>
      <sz val="8"/>
      <name val="Cambria"/>
      <family val="1"/>
    </font>
    <font>
      <b/>
      <i/>
      <sz val="9"/>
      <name val="Arial"/>
      <family val="2"/>
    </font>
    <font>
      <sz val="9"/>
      <name val="Arial"/>
      <family val="2"/>
    </font>
    <font>
      <sz val="9"/>
      <color rgb="FFFF0000"/>
      <name val="Arial"/>
      <family val="2"/>
    </font>
    <font>
      <b/>
      <u/>
      <sz val="9"/>
      <color theme="1"/>
      <name val="Arial"/>
      <family val="2"/>
    </font>
    <font>
      <sz val="9"/>
      <color rgb="FF00B0F0"/>
      <name val="Arial"/>
      <family val="2"/>
    </font>
    <font>
      <b/>
      <sz val="8"/>
      <color theme="1"/>
      <name val="Arial"/>
      <family val="2"/>
    </font>
    <font>
      <i/>
      <sz val="11"/>
      <color theme="0" tint="-0.14999847407452621"/>
      <name val="Arial"/>
      <family val="2"/>
    </font>
    <font>
      <sz val="12"/>
      <color theme="1"/>
      <name val="Arial"/>
      <family val="2"/>
    </font>
    <font>
      <b/>
      <u/>
      <sz val="8"/>
      <color theme="1"/>
      <name val="Arial"/>
      <family val="2"/>
    </font>
    <font>
      <b/>
      <sz val="8"/>
      <color indexed="81"/>
      <name val="Arial"/>
      <family val="2"/>
    </font>
    <font>
      <sz val="8"/>
      <color indexed="81"/>
      <name val="Arial"/>
      <family val="2"/>
    </font>
  </fonts>
  <fills count="22">
    <fill>
      <patternFill patternType="none"/>
    </fill>
    <fill>
      <patternFill patternType="gray125"/>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FF"/>
        <bgColor indexed="64"/>
      </patternFill>
    </fill>
    <fill>
      <patternFill patternType="solid">
        <fgColor rgb="FF4BDDFF"/>
        <bgColor indexed="64"/>
      </patternFill>
    </fill>
    <fill>
      <patternFill patternType="solid">
        <fgColor rgb="FFFFFFB3"/>
        <bgColor indexed="64"/>
      </patternFill>
    </fill>
    <fill>
      <patternFill patternType="solid">
        <fgColor rgb="FFFFFF99"/>
        <bgColor indexed="64"/>
      </patternFill>
    </fill>
    <fill>
      <patternFill patternType="solid">
        <fgColor rgb="FFCCFFCC"/>
        <bgColor indexed="64"/>
      </patternFill>
    </fill>
    <fill>
      <patternFill patternType="solid">
        <fgColor rgb="FFFFFFCC"/>
        <bgColor indexed="64"/>
      </patternFill>
    </fill>
    <fill>
      <patternFill patternType="solid">
        <fgColor rgb="FFFF99FF"/>
        <bgColor indexed="64"/>
      </patternFill>
    </fill>
    <fill>
      <patternFill patternType="solid">
        <fgColor theme="0" tint="-0.34998626667073579"/>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DCAA"/>
        <bgColor indexed="64"/>
      </patternFill>
    </fill>
  </fills>
  <borders count="61">
    <border>
      <left/>
      <right/>
      <top/>
      <bottom/>
      <diagonal/>
    </border>
    <border>
      <left style="hair">
        <color auto="1"/>
      </left>
      <right style="hair">
        <color auto="1"/>
      </right>
      <top style="hair">
        <color auto="1"/>
      </top>
      <bottom style="hair">
        <color auto="1"/>
      </bottom>
      <diagonal/>
    </border>
    <border>
      <left/>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bottom/>
      <diagonal/>
    </border>
    <border>
      <left style="hair">
        <color auto="1"/>
      </left>
      <right/>
      <top/>
      <bottom style="hair">
        <color auto="1"/>
      </bottom>
      <diagonal/>
    </border>
    <border>
      <left/>
      <right/>
      <top style="hair">
        <color auto="1"/>
      </top>
      <bottom/>
      <diagonal/>
    </border>
    <border>
      <left style="hair">
        <color auto="1"/>
      </left>
      <right style="hair">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hair">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right/>
      <top style="thin">
        <color auto="1"/>
      </top>
      <bottom/>
      <diagonal/>
    </border>
    <border>
      <left/>
      <right style="thin">
        <color auto="1"/>
      </right>
      <top style="thin">
        <color auto="1"/>
      </top>
      <bottom/>
      <diagonal/>
    </border>
    <border>
      <left/>
      <right style="thin">
        <color auto="1"/>
      </right>
      <top/>
      <bottom style="hair">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top style="hair">
        <color auto="1"/>
      </top>
      <bottom style="thin">
        <color auto="1"/>
      </bottom>
      <diagonal/>
    </border>
    <border>
      <left/>
      <right/>
      <top/>
      <bottom style="dotted">
        <color auto="1"/>
      </bottom>
      <diagonal/>
    </border>
    <border>
      <left style="hair">
        <color auto="1"/>
      </left>
      <right style="thin">
        <color auto="1"/>
      </right>
      <top style="hair">
        <color auto="1"/>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medium">
        <color indexed="64"/>
      </left>
      <right style="thin">
        <color auto="1"/>
      </right>
      <top style="hair">
        <color auto="1"/>
      </top>
      <bottom style="hair">
        <color auto="1"/>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indexed="64"/>
      </left>
      <right style="medium">
        <color indexed="64"/>
      </right>
      <top style="hair">
        <color indexed="64"/>
      </top>
      <bottom/>
      <diagonal/>
    </border>
    <border>
      <left style="hair">
        <color auto="1"/>
      </left>
      <right/>
      <top/>
      <bottom/>
      <diagonal/>
    </border>
    <border>
      <left style="medium">
        <color indexed="64"/>
      </left>
      <right style="hair">
        <color indexed="64"/>
      </right>
      <top style="hair">
        <color indexed="64"/>
      </top>
      <bottom style="hair">
        <color indexed="64"/>
      </bottom>
      <diagonal/>
    </border>
  </borders>
  <cellStyleXfs count="5">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463">
    <xf numFmtId="0" fontId="0" fillId="0" borderId="0" xfId="0"/>
    <xf numFmtId="0" fontId="2" fillId="0" borderId="0" xfId="0" applyFont="1"/>
    <xf numFmtId="0" fontId="0" fillId="0" borderId="0" xfId="0" applyFont="1"/>
    <xf numFmtId="0" fontId="3" fillId="0" borderId="0" xfId="0" applyFont="1"/>
    <xf numFmtId="0" fontId="6" fillId="0" borderId="0" xfId="0" applyFont="1"/>
    <xf numFmtId="0" fontId="0" fillId="3" borderId="0" xfId="0" applyFont="1" applyFill="1"/>
    <xf numFmtId="0" fontId="0" fillId="0" borderId="0" xfId="0" applyAlignment="1">
      <alignment wrapText="1"/>
    </xf>
    <xf numFmtId="0" fontId="9" fillId="0" borderId="0" xfId="0" applyFont="1"/>
    <xf numFmtId="0" fontId="0" fillId="0" borderId="0" xfId="0" quotePrefix="1" applyFont="1"/>
    <xf numFmtId="3" fontId="5" fillId="0" borderId="0" xfId="0" applyNumberFormat="1" applyFont="1" applyFill="1"/>
    <xf numFmtId="0" fontId="4" fillId="0" borderId="0" xfId="2" applyFont="1"/>
    <xf numFmtId="0" fontId="10" fillId="0" borderId="0" xfId="0" applyFont="1" applyAlignment="1">
      <alignment horizontal="center"/>
    </xf>
    <xf numFmtId="3" fontId="5" fillId="0" borderId="0" xfId="1" applyNumberFormat="1" applyFont="1"/>
    <xf numFmtId="3" fontId="5" fillId="0" borderId="0" xfId="0" applyNumberFormat="1" applyFont="1"/>
    <xf numFmtId="0" fontId="9" fillId="0" borderId="0" xfId="0" quotePrefix="1" applyFont="1"/>
    <xf numFmtId="0" fontId="0" fillId="6" borderId="0" xfId="0" applyFont="1" applyFill="1"/>
    <xf numFmtId="0" fontId="0" fillId="0" borderId="0" xfId="0" applyFont="1" applyFill="1"/>
    <xf numFmtId="0" fontId="0" fillId="8" borderId="0" xfId="0" quotePrefix="1" applyFont="1" applyFill="1"/>
    <xf numFmtId="0" fontId="0" fillId="0" borderId="1" xfId="0" applyFill="1" applyBorder="1"/>
    <xf numFmtId="0" fontId="0" fillId="8" borderId="1" xfId="0" applyFill="1" applyBorder="1"/>
    <xf numFmtId="0" fontId="11" fillId="0" borderId="1" xfId="0" applyFont="1" applyFill="1" applyBorder="1"/>
    <xf numFmtId="0" fontId="11" fillId="0" borderId="0" xfId="0" applyFont="1"/>
    <xf numFmtId="0" fontId="6" fillId="0" borderId="1" xfId="0" applyFont="1" applyFill="1" applyBorder="1"/>
    <xf numFmtId="0" fontId="6" fillId="0" borderId="1" xfId="0" quotePrefix="1" applyFont="1" applyFill="1" applyBorder="1"/>
    <xf numFmtId="0" fontId="12" fillId="8" borderId="1" xfId="0" applyFont="1" applyFill="1" applyBorder="1"/>
    <xf numFmtId="0" fontId="13" fillId="0" borderId="1" xfId="0" applyFont="1" applyFill="1" applyBorder="1"/>
    <xf numFmtId="0" fontId="10" fillId="0" borderId="0" xfId="0" quotePrefix="1" applyFont="1"/>
    <xf numFmtId="0" fontId="5" fillId="7" borderId="0" xfId="0" applyFont="1" applyFill="1"/>
    <xf numFmtId="0" fontId="5" fillId="0" borderId="0" xfId="0" applyFont="1" applyFill="1"/>
    <xf numFmtId="0" fontId="0" fillId="9" borderId="0" xfId="0" quotePrefix="1" applyFont="1" applyFill="1"/>
    <xf numFmtId="0" fontId="0" fillId="9" borderId="1" xfId="0" applyFill="1" applyBorder="1"/>
    <xf numFmtId="0" fontId="0" fillId="9" borderId="1" xfId="0" quotePrefix="1" applyFill="1" applyBorder="1"/>
    <xf numFmtId="0" fontId="0" fillId="9" borderId="1" xfId="0" applyFont="1" applyFill="1" applyBorder="1"/>
    <xf numFmtId="0" fontId="12" fillId="9" borderId="1" xfId="0" applyFont="1" applyFill="1" applyBorder="1"/>
    <xf numFmtId="0" fontId="11" fillId="9" borderId="1" xfId="0" applyFont="1" applyFill="1" applyBorder="1"/>
    <xf numFmtId="3" fontId="5" fillId="9" borderId="1" xfId="1" applyNumberFormat="1" applyFont="1" applyFill="1" applyBorder="1"/>
    <xf numFmtId="3" fontId="0" fillId="9" borderId="1" xfId="0" applyNumberFormat="1" applyFont="1" applyFill="1" applyBorder="1"/>
    <xf numFmtId="0" fontId="11" fillId="6" borderId="0" xfId="0" applyFont="1" applyFill="1"/>
    <xf numFmtId="0" fontId="0" fillId="6" borderId="1" xfId="0" applyFont="1" applyFill="1" applyBorder="1"/>
    <xf numFmtId="0" fontId="11" fillId="6" borderId="1" xfId="0" applyFont="1" applyFill="1" applyBorder="1"/>
    <xf numFmtId="0" fontId="12" fillId="6" borderId="1" xfId="0" applyFont="1" applyFill="1" applyBorder="1"/>
    <xf numFmtId="0" fontId="10" fillId="6" borderId="0" xfId="0" quotePrefix="1" applyFont="1" applyFill="1"/>
    <xf numFmtId="0" fontId="0" fillId="6" borderId="0" xfId="0" quotePrefix="1" applyFont="1" applyFill="1"/>
    <xf numFmtId="164" fontId="11" fillId="6" borderId="1" xfId="1" applyNumberFormat="1" applyFont="1" applyFill="1" applyBorder="1"/>
    <xf numFmtId="0" fontId="12" fillId="0" borderId="0" xfId="0" applyFont="1" applyFill="1" applyBorder="1"/>
    <xf numFmtId="0" fontId="5" fillId="0" borderId="0" xfId="0" applyFont="1" applyFill="1" applyBorder="1"/>
    <xf numFmtId="0" fontId="14" fillId="6" borderId="1" xfId="0" applyFont="1" applyFill="1" applyBorder="1"/>
    <xf numFmtId="0" fontId="0" fillId="8" borderId="0" xfId="0" applyFont="1" applyFill="1"/>
    <xf numFmtId="9" fontId="12" fillId="8" borderId="1" xfId="1" applyFont="1" applyFill="1" applyBorder="1"/>
    <xf numFmtId="9" fontId="12" fillId="9" borderId="1" xfId="1" applyFont="1" applyFill="1" applyBorder="1"/>
    <xf numFmtId="3" fontId="5" fillId="8" borderId="0" xfId="0" applyNumberFormat="1" applyFont="1" applyFill="1"/>
    <xf numFmtId="3" fontId="5" fillId="8" borderId="0" xfId="1" applyNumberFormat="1" applyFont="1" applyFill="1"/>
    <xf numFmtId="0" fontId="0" fillId="2" borderId="0" xfId="0" quotePrefix="1" applyFill="1"/>
    <xf numFmtId="0" fontId="0" fillId="5" borderId="0" xfId="0" quotePrefix="1" applyFill="1"/>
    <xf numFmtId="0" fontId="0" fillId="4" borderId="0" xfId="0" quotePrefix="1" applyFill="1"/>
    <xf numFmtId="0" fontId="14" fillId="0" borderId="0" xfId="0" applyFont="1"/>
    <xf numFmtId="0" fontId="11" fillId="8" borderId="1" xfId="0" applyFont="1" applyFill="1" applyBorder="1"/>
    <xf numFmtId="0" fontId="12" fillId="0" borderId="0" xfId="0" quotePrefix="1" applyFont="1"/>
    <xf numFmtId="3" fontId="11" fillId="0" borderId="0" xfId="0" applyNumberFormat="1" applyFont="1"/>
    <xf numFmtId="4" fontId="11" fillId="0" borderId="0" xfId="0" applyNumberFormat="1" applyFont="1"/>
    <xf numFmtId="164" fontId="11" fillId="0" borderId="0" xfId="1" applyNumberFormat="1" applyFont="1"/>
    <xf numFmtId="1" fontId="11" fillId="0" borderId="0" xfId="0" applyNumberFormat="1" applyFont="1"/>
    <xf numFmtId="0" fontId="15" fillId="0" borderId="0" xfId="0" applyFont="1"/>
    <xf numFmtId="0" fontId="6" fillId="0" borderId="1" xfId="0" applyFont="1" applyBorder="1"/>
    <xf numFmtId="0" fontId="6" fillId="6" borderId="1" xfId="0" applyFont="1" applyFill="1" applyBorder="1"/>
    <xf numFmtId="0" fontId="0" fillId="0" borderId="1" xfId="0" applyFont="1" applyBorder="1"/>
    <xf numFmtId="0" fontId="13" fillId="6" borderId="1" xfId="0" applyFont="1" applyFill="1" applyBorder="1"/>
    <xf numFmtId="9" fontId="12" fillId="6" borderId="1" xfId="1" applyFont="1" applyFill="1" applyBorder="1"/>
    <xf numFmtId="0" fontId="0" fillId="0" borderId="0" xfId="0" quotePrefix="1" applyFont="1" applyFill="1"/>
    <xf numFmtId="0" fontId="0" fillId="0" borderId="1" xfId="0" applyFont="1" applyFill="1" applyBorder="1"/>
    <xf numFmtId="0" fontId="15" fillId="0" borderId="0" xfId="0" applyFont="1" applyFill="1" applyBorder="1"/>
    <xf numFmtId="0" fontId="17" fillId="0" borderId="1" xfId="0" applyFont="1" applyBorder="1"/>
    <xf numFmtId="0" fontId="19" fillId="0" borderId="1" xfId="0" applyFont="1" applyBorder="1"/>
    <xf numFmtId="0" fontId="18" fillId="0" borderId="0" xfId="0" applyFont="1"/>
    <xf numFmtId="0" fontId="19" fillId="0" borderId="1" xfId="0" applyFont="1" applyBorder="1" applyAlignment="1">
      <alignment horizontal="center"/>
    </xf>
    <xf numFmtId="0" fontId="18" fillId="0" borderId="1" xfId="0" applyFont="1" applyBorder="1" applyAlignment="1">
      <alignment horizontal="center"/>
    </xf>
    <xf numFmtId="0" fontId="0" fillId="0" borderId="1" xfId="0" applyFont="1" applyBorder="1" applyAlignment="1">
      <alignment shrinkToFit="1"/>
    </xf>
    <xf numFmtId="9" fontId="19" fillId="0" borderId="1" xfId="0" applyNumberFormat="1" applyFont="1" applyFill="1" applyBorder="1" applyAlignment="1">
      <alignment horizontal="center"/>
    </xf>
    <xf numFmtId="9" fontId="19" fillId="0" borderId="3" xfId="0" applyNumberFormat="1" applyFont="1" applyFill="1" applyBorder="1" applyAlignment="1">
      <alignment horizontal="center"/>
    </xf>
    <xf numFmtId="0" fontId="18" fillId="0" borderId="3" xfId="0" applyFont="1" applyBorder="1" applyAlignment="1">
      <alignment horizontal="center"/>
    </xf>
    <xf numFmtId="0" fontId="0" fillId="7" borderId="1" xfId="0" applyFont="1" applyFill="1" applyBorder="1" applyAlignment="1" applyProtection="1">
      <alignment shrinkToFit="1"/>
      <protection locked="0"/>
    </xf>
    <xf numFmtId="0" fontId="0" fillId="7" borderId="1" xfId="0" applyFont="1" applyFill="1" applyBorder="1" applyProtection="1">
      <protection locked="0"/>
    </xf>
    <xf numFmtId="3" fontId="0" fillId="7" borderId="1" xfId="0" applyNumberFormat="1" applyFont="1" applyFill="1" applyBorder="1" applyProtection="1">
      <protection locked="0"/>
    </xf>
    <xf numFmtId="0" fontId="0" fillId="11" borderId="1" xfId="0" applyFont="1" applyFill="1" applyBorder="1" applyAlignment="1" applyProtection="1">
      <alignment horizontal="center"/>
      <protection locked="0"/>
    </xf>
    <xf numFmtId="0" fontId="0" fillId="0" borderId="1" xfId="0" applyFont="1" applyFill="1" applyBorder="1" applyProtection="1">
      <protection locked="0"/>
    </xf>
    <xf numFmtId="0" fontId="0" fillId="10" borderId="0" xfId="0" applyFont="1" applyFill="1" applyProtection="1">
      <protection locked="0"/>
    </xf>
    <xf numFmtId="0" fontId="20" fillId="0" borderId="1" xfId="0" applyFont="1" applyBorder="1"/>
    <xf numFmtId="0" fontId="21" fillId="0" borderId="1" xfId="0" applyFont="1" applyBorder="1"/>
    <xf numFmtId="0" fontId="18" fillId="0" borderId="1" xfId="0" applyFont="1" applyFill="1" applyBorder="1" applyAlignment="1">
      <alignment horizontal="center"/>
    </xf>
    <xf numFmtId="0" fontId="21" fillId="0" borderId="1" xfId="0" applyFont="1" applyFill="1" applyBorder="1"/>
    <xf numFmtId="0" fontId="0" fillId="0" borderId="0" xfId="0" applyFont="1" applyFill="1" applyProtection="1">
      <protection locked="0"/>
    </xf>
    <xf numFmtId="3" fontId="11" fillId="0" borderId="1" xfId="0" applyNumberFormat="1" applyFont="1" applyBorder="1"/>
    <xf numFmtId="164" fontId="11" fillId="0" borderId="1" xfId="1" applyNumberFormat="1" applyFont="1" applyBorder="1"/>
    <xf numFmtId="3" fontId="0" fillId="0" borderId="1" xfId="1" applyNumberFormat="1" applyFont="1" applyBorder="1"/>
    <xf numFmtId="0" fontId="23" fillId="0" borderId="0" xfId="0" applyFont="1"/>
    <xf numFmtId="0" fontId="22" fillId="0" borderId="0" xfId="0" applyFont="1" applyFill="1" applyBorder="1"/>
    <xf numFmtId="0" fontId="23" fillId="0" borderId="0" xfId="0" applyFont="1" applyFill="1" applyBorder="1"/>
    <xf numFmtId="9" fontId="14" fillId="9" borderId="1" xfId="1" applyFont="1" applyFill="1" applyBorder="1"/>
    <xf numFmtId="9" fontId="11" fillId="9" borderId="1" xfId="1" applyFont="1" applyFill="1" applyBorder="1"/>
    <xf numFmtId="164" fontId="12" fillId="9" borderId="1" xfId="1" applyNumberFormat="1" applyFont="1" applyFill="1" applyBorder="1"/>
    <xf numFmtId="0" fontId="10" fillId="0" borderId="10" xfId="0" applyFont="1" applyBorder="1" applyAlignment="1"/>
    <xf numFmtId="0" fontId="10" fillId="0" borderId="1" xfId="0" applyFont="1" applyBorder="1" applyAlignment="1"/>
    <xf numFmtId="0" fontId="10" fillId="0" borderId="1" xfId="0" applyFont="1" applyBorder="1" applyAlignment="1">
      <alignment horizontal="center"/>
    </xf>
    <xf numFmtId="0" fontId="15" fillId="0" borderId="11" xfId="0" applyFont="1" applyFill="1" applyBorder="1"/>
    <xf numFmtId="9" fontId="18" fillId="0" borderId="1" xfId="1" applyFont="1" applyBorder="1" applyAlignment="1">
      <alignment horizontal="center"/>
    </xf>
    <xf numFmtId="3" fontId="14" fillId="0" borderId="0" xfId="0" applyNumberFormat="1" applyFont="1"/>
    <xf numFmtId="0" fontId="0" fillId="0" borderId="0" xfId="0" applyFont="1" applyBorder="1"/>
    <xf numFmtId="164" fontId="12" fillId="8" borderId="1" xfId="1" applyNumberFormat="1" applyFont="1" applyFill="1" applyBorder="1"/>
    <xf numFmtId="3" fontId="0" fillId="0" borderId="1" xfId="0" applyNumberFormat="1" applyFont="1" applyBorder="1" applyProtection="1">
      <protection locked="0"/>
    </xf>
    <xf numFmtId="0" fontId="0" fillId="0" borderId="0" xfId="0" quotePrefix="1"/>
    <xf numFmtId="3" fontId="0" fillId="0" borderId="1" xfId="0" applyNumberFormat="1" applyFont="1" applyBorder="1" applyProtection="1"/>
    <xf numFmtId="0" fontId="0" fillId="0" borderId="0" xfId="0" applyFill="1"/>
    <xf numFmtId="0" fontId="0" fillId="0" borderId="0" xfId="0" quotePrefix="1" applyFill="1"/>
    <xf numFmtId="0" fontId="4" fillId="0" borderId="0" xfId="2" quotePrefix="1"/>
    <xf numFmtId="0" fontId="0" fillId="8" borderId="13" xfId="0" applyFill="1" applyBorder="1"/>
    <xf numFmtId="0" fontId="11" fillId="8" borderId="14" xfId="0" applyFont="1" applyFill="1" applyBorder="1"/>
    <xf numFmtId="0" fontId="0" fillId="8" borderId="14" xfId="0" applyFill="1" applyBorder="1"/>
    <xf numFmtId="0" fontId="0" fillId="9" borderId="15" xfId="0" applyFill="1" applyBorder="1"/>
    <xf numFmtId="0" fontId="0" fillId="8" borderId="16" xfId="0" applyFill="1" applyBorder="1"/>
    <xf numFmtId="0" fontId="0" fillId="9" borderId="17" xfId="0" applyFill="1" applyBorder="1"/>
    <xf numFmtId="0" fontId="0" fillId="8" borderId="18" xfId="0" applyFill="1" applyBorder="1"/>
    <xf numFmtId="0" fontId="11" fillId="8" borderId="19" xfId="0" applyFont="1" applyFill="1" applyBorder="1"/>
    <xf numFmtId="0" fontId="0" fillId="8" borderId="19" xfId="0" applyFill="1" applyBorder="1"/>
    <xf numFmtId="0" fontId="0" fillId="9" borderId="20" xfId="0" applyFill="1" applyBorder="1"/>
    <xf numFmtId="0" fontId="0" fillId="9" borderId="21" xfId="0" applyFill="1" applyBorder="1"/>
    <xf numFmtId="0" fontId="0" fillId="9" borderId="22" xfId="0" applyFill="1" applyBorder="1"/>
    <xf numFmtId="0" fontId="0" fillId="9" borderId="18" xfId="0" applyFill="1" applyBorder="1"/>
    <xf numFmtId="0" fontId="0" fillId="9" borderId="23" xfId="0" applyFill="1" applyBorder="1"/>
    <xf numFmtId="0" fontId="0" fillId="9" borderId="24" xfId="0" applyFill="1" applyBorder="1"/>
    <xf numFmtId="0" fontId="0" fillId="9" borderId="25" xfId="0" applyFill="1" applyBorder="1"/>
    <xf numFmtId="0" fontId="0" fillId="8" borderId="26" xfId="0" applyFill="1" applyBorder="1"/>
    <xf numFmtId="0" fontId="11" fillId="8" borderId="12" xfId="0" applyFont="1" applyFill="1" applyBorder="1"/>
    <xf numFmtId="0" fontId="0" fillId="8" borderId="12" xfId="0" applyFill="1" applyBorder="1"/>
    <xf numFmtId="0" fontId="0" fillId="9" borderId="27" xfId="0" applyFill="1" applyBorder="1"/>
    <xf numFmtId="0" fontId="25" fillId="0" borderId="0" xfId="0" applyFont="1"/>
    <xf numFmtId="0" fontId="11" fillId="8" borderId="16" xfId="0" applyFont="1" applyFill="1" applyBorder="1"/>
    <xf numFmtId="0" fontId="11" fillId="0" borderId="0" xfId="0" applyFont="1" applyFill="1"/>
    <xf numFmtId="0" fontId="0" fillId="0" borderId="0" xfId="0" applyAlignment="1">
      <alignment horizontal="right"/>
    </xf>
    <xf numFmtId="0" fontId="6" fillId="0" borderId="0" xfId="0" quotePrefix="1" applyFont="1"/>
    <xf numFmtId="0" fontId="0" fillId="7" borderId="0" xfId="0" quotePrefix="1" applyFill="1" applyAlignment="1">
      <alignment horizontal="right"/>
    </xf>
    <xf numFmtId="14" fontId="0" fillId="7" borderId="0" xfId="0" applyNumberFormat="1" applyFill="1"/>
    <xf numFmtId="0" fontId="26" fillId="0" borderId="0" xfId="0" applyFont="1" applyAlignment="1">
      <alignment horizontal="right" vertical="top"/>
    </xf>
    <xf numFmtId="0" fontId="19" fillId="0" borderId="1" xfId="0" applyFont="1" applyFill="1" applyBorder="1" applyAlignment="1">
      <alignment horizontal="center"/>
    </xf>
    <xf numFmtId="0" fontId="19" fillId="0" borderId="1" xfId="0" applyFont="1" applyFill="1" applyBorder="1"/>
    <xf numFmtId="0" fontId="0" fillId="11" borderId="1" xfId="0" applyFont="1" applyFill="1" applyBorder="1" applyAlignment="1" applyProtection="1">
      <alignment shrinkToFit="1"/>
      <protection locked="0"/>
    </xf>
    <xf numFmtId="0" fontId="0" fillId="0" borderId="0" xfId="0" applyFont="1" applyFill="1" applyAlignment="1">
      <alignment horizontal="right"/>
    </xf>
    <xf numFmtId="0" fontId="0" fillId="0" borderId="0" xfId="0" quotePrefix="1" applyFont="1" applyFill="1" applyAlignment="1">
      <alignment horizontal="right"/>
    </xf>
    <xf numFmtId="0" fontId="12" fillId="0" borderId="0" xfId="0" applyFont="1"/>
    <xf numFmtId="0" fontId="12" fillId="7" borderId="0" xfId="0" quotePrefix="1" applyFont="1" applyFill="1"/>
    <xf numFmtId="0" fontId="12" fillId="10" borderId="0" xfId="0" quotePrefix="1" applyFont="1" applyFill="1"/>
    <xf numFmtId="0" fontId="12" fillId="14" borderId="0" xfId="0" quotePrefix="1" applyFont="1" applyFill="1"/>
    <xf numFmtId="0" fontId="0" fillId="14" borderId="0" xfId="0" applyFont="1" applyFill="1"/>
    <xf numFmtId="0" fontId="18" fillId="14" borderId="1" xfId="0" applyFont="1" applyFill="1" applyBorder="1" applyAlignment="1">
      <alignment horizontal="center"/>
    </xf>
    <xf numFmtId="0" fontId="0" fillId="14" borderId="0" xfId="0" applyFill="1"/>
    <xf numFmtId="0" fontId="0" fillId="12" borderId="0" xfId="0" quotePrefix="1" applyFill="1"/>
    <xf numFmtId="0" fontId="0" fillId="0" borderId="1" xfId="0" quotePrefix="1" applyFont="1" applyBorder="1" applyAlignment="1">
      <alignment shrinkToFit="1"/>
    </xf>
    <xf numFmtId="3" fontId="0" fillId="0" borderId="1" xfId="0" quotePrefix="1" applyNumberFormat="1" applyFont="1" applyBorder="1" applyAlignment="1">
      <alignment shrinkToFit="1"/>
    </xf>
    <xf numFmtId="0" fontId="0" fillId="14" borderId="0" xfId="0" quotePrefix="1" applyFill="1"/>
    <xf numFmtId="0" fontId="14" fillId="0" borderId="1" xfId="0" applyFont="1" applyBorder="1"/>
    <xf numFmtId="0" fontId="18" fillId="0" borderId="1" xfId="0" quotePrefix="1" applyFont="1" applyFill="1" applyBorder="1" applyAlignment="1">
      <alignment horizontal="center"/>
    </xf>
    <xf numFmtId="0" fontId="12" fillId="9" borderId="3" xfId="0" applyFont="1" applyFill="1" applyBorder="1"/>
    <xf numFmtId="0" fontId="0" fillId="9" borderId="5" xfId="0" quotePrefix="1" applyFill="1" applyBorder="1"/>
    <xf numFmtId="0" fontId="0" fillId="9" borderId="5" xfId="0" applyFill="1" applyBorder="1"/>
    <xf numFmtId="0" fontId="13" fillId="0" borderId="28" xfId="0" applyFont="1" applyFill="1" applyBorder="1"/>
    <xf numFmtId="0" fontId="12" fillId="9" borderId="13" xfId="0" applyFont="1" applyFill="1" applyBorder="1"/>
    <xf numFmtId="0" fontId="12" fillId="8" borderId="15" xfId="0" applyFont="1" applyFill="1" applyBorder="1"/>
    <xf numFmtId="0" fontId="12" fillId="9" borderId="16" xfId="0" applyFont="1" applyFill="1" applyBorder="1"/>
    <xf numFmtId="0" fontId="12" fillId="8" borderId="17" xfId="0" applyFont="1" applyFill="1" applyBorder="1"/>
    <xf numFmtId="0" fontId="12" fillId="9" borderId="18" xfId="0" applyFont="1" applyFill="1" applyBorder="1"/>
    <xf numFmtId="0" fontId="12" fillId="9" borderId="20" xfId="0" applyFont="1" applyFill="1" applyBorder="1"/>
    <xf numFmtId="0" fontId="12" fillId="8" borderId="14" xfId="0" applyFont="1" applyFill="1" applyBorder="1"/>
    <xf numFmtId="0" fontId="12" fillId="9" borderId="21" xfId="0" applyFont="1" applyFill="1" applyBorder="1"/>
    <xf numFmtId="0" fontId="12" fillId="9" borderId="22" xfId="0" applyFont="1" applyFill="1" applyBorder="1"/>
    <xf numFmtId="0" fontId="12" fillId="9" borderId="23" xfId="0" applyFont="1" applyFill="1" applyBorder="1"/>
    <xf numFmtId="0" fontId="12" fillId="9" borderId="24" xfId="0" applyFont="1" applyFill="1" applyBorder="1"/>
    <xf numFmtId="0" fontId="12" fillId="8" borderId="13" xfId="0" applyFont="1" applyFill="1" applyBorder="1"/>
    <xf numFmtId="0" fontId="12" fillId="8" borderId="16" xfId="0" applyFont="1" applyFill="1" applyBorder="1"/>
    <xf numFmtId="0" fontId="12" fillId="8" borderId="18" xfId="0" applyFont="1" applyFill="1" applyBorder="1"/>
    <xf numFmtId="0" fontId="12" fillId="8" borderId="19" xfId="0" applyFont="1" applyFill="1" applyBorder="1"/>
    <xf numFmtId="0" fontId="12" fillId="8" borderId="20" xfId="0" applyFont="1" applyFill="1" applyBorder="1"/>
    <xf numFmtId="0" fontId="12" fillId="8" borderId="14" xfId="0" quotePrefix="1" applyFont="1" applyFill="1" applyBorder="1"/>
    <xf numFmtId="3" fontId="20" fillId="0" borderId="0" xfId="0" applyNumberFormat="1" applyFont="1"/>
    <xf numFmtId="0" fontId="18" fillId="6" borderId="1" xfId="0" applyFont="1" applyFill="1" applyBorder="1" applyAlignment="1">
      <alignment horizontal="center"/>
    </xf>
    <xf numFmtId="0" fontId="18" fillId="6" borderId="1" xfId="0" quotePrefix="1" applyFont="1" applyFill="1" applyBorder="1" applyAlignment="1">
      <alignment horizontal="center"/>
    </xf>
    <xf numFmtId="0" fontId="0" fillId="15" borderId="1" xfId="0" applyFont="1" applyFill="1" applyBorder="1"/>
    <xf numFmtId="0" fontId="0" fillId="15" borderId="0" xfId="0" applyFont="1" applyFill="1"/>
    <xf numFmtId="0" fontId="2" fillId="15" borderId="0" xfId="0" applyFont="1" applyFill="1"/>
    <xf numFmtId="0" fontId="3" fillId="15" borderId="0" xfId="0" applyFont="1" applyFill="1"/>
    <xf numFmtId="0" fontId="23" fillId="15" borderId="0" xfId="0" applyFont="1" applyFill="1"/>
    <xf numFmtId="0" fontId="23" fillId="6" borderId="0" xfId="0" applyFont="1" applyFill="1" applyBorder="1"/>
    <xf numFmtId="0" fontId="0" fillId="6" borderId="0" xfId="0" quotePrefix="1" applyFill="1"/>
    <xf numFmtId="0" fontId="0" fillId="15" borderId="0" xfId="0" quotePrefix="1" applyFill="1"/>
    <xf numFmtId="1" fontId="11" fillId="15" borderId="1" xfId="0" applyNumberFormat="1" applyFont="1" applyFill="1" applyBorder="1"/>
    <xf numFmtId="0" fontId="11" fillId="15" borderId="1" xfId="0" applyFont="1" applyFill="1" applyBorder="1"/>
    <xf numFmtId="0" fontId="6" fillId="15" borderId="1" xfId="0" applyFont="1" applyFill="1" applyBorder="1"/>
    <xf numFmtId="0" fontId="19" fillId="15" borderId="9" xfId="0" applyFont="1" applyFill="1" applyBorder="1"/>
    <xf numFmtId="0" fontId="18" fillId="15" borderId="0" xfId="0" applyFont="1" applyFill="1"/>
    <xf numFmtId="9" fontId="27" fillId="0" borderId="1" xfId="0" applyNumberFormat="1" applyFont="1" applyFill="1" applyBorder="1" applyAlignment="1">
      <alignment horizontal="center"/>
    </xf>
    <xf numFmtId="9" fontId="27" fillId="0" borderId="3" xfId="0" applyNumberFormat="1" applyFont="1" applyFill="1" applyBorder="1" applyAlignment="1">
      <alignment horizontal="center"/>
    </xf>
    <xf numFmtId="164" fontId="0" fillId="0" borderId="1" xfId="1" applyNumberFormat="1" applyFont="1" applyBorder="1" applyAlignment="1">
      <alignment shrinkToFit="1"/>
    </xf>
    <xf numFmtId="3" fontId="0" fillId="0" borderId="1" xfId="1" applyNumberFormat="1" applyFont="1" applyBorder="1" applyAlignment="1">
      <alignment shrinkToFit="1"/>
    </xf>
    <xf numFmtId="0" fontId="17" fillId="0" borderId="1" xfId="0" applyFont="1" applyBorder="1" applyAlignment="1">
      <alignment shrinkToFit="1"/>
    </xf>
    <xf numFmtId="3" fontId="17" fillId="0" borderId="1" xfId="0" applyNumberFormat="1" applyFont="1" applyBorder="1" applyAlignment="1">
      <alignment shrinkToFit="1"/>
    </xf>
    <xf numFmtId="0" fontId="0" fillId="7" borderId="1" xfId="0" applyNumberFormat="1" applyFont="1" applyFill="1" applyBorder="1" applyProtection="1">
      <protection locked="0"/>
    </xf>
    <xf numFmtId="0" fontId="0" fillId="0" borderId="1" xfId="0" quotePrefix="1" applyNumberFormat="1" applyFont="1" applyBorder="1" applyAlignment="1">
      <alignment shrinkToFit="1"/>
    </xf>
    <xf numFmtId="0" fontId="17" fillId="0" borderId="1" xfId="0" applyNumberFormat="1" applyFont="1" applyBorder="1" applyAlignment="1">
      <alignment shrinkToFit="1"/>
    </xf>
    <xf numFmtId="0" fontId="0" fillId="5" borderId="0" xfId="0" applyFont="1" applyFill="1"/>
    <xf numFmtId="0" fontId="28" fillId="5" borderId="0" xfId="0" applyFont="1" applyFill="1"/>
    <xf numFmtId="0" fontId="28" fillId="5" borderId="0" xfId="0" quotePrefix="1" applyFont="1" applyFill="1"/>
    <xf numFmtId="9" fontId="5" fillId="7" borderId="0" xfId="1" applyFont="1" applyFill="1"/>
    <xf numFmtId="0" fontId="6" fillId="7" borderId="0" xfId="0" applyFont="1" applyFill="1"/>
    <xf numFmtId="0" fontId="11" fillId="7" borderId="0" xfId="0" applyFont="1" applyFill="1"/>
    <xf numFmtId="3" fontId="11" fillId="0" borderId="0" xfId="0" applyNumberFormat="1" applyFont="1" applyFill="1"/>
    <xf numFmtId="0" fontId="29" fillId="0" borderId="1" xfId="0" applyFont="1" applyBorder="1" applyAlignment="1">
      <alignment horizontal="center"/>
    </xf>
    <xf numFmtId="0" fontId="30" fillId="0" borderId="1" xfId="0" applyFont="1" applyBorder="1" applyAlignment="1">
      <alignment horizontal="center"/>
    </xf>
    <xf numFmtId="0" fontId="14" fillId="9" borderId="30" xfId="0" applyFont="1" applyFill="1" applyBorder="1"/>
    <xf numFmtId="0" fontId="11" fillId="9" borderId="31" xfId="0" applyFont="1" applyFill="1" applyBorder="1"/>
    <xf numFmtId="0" fontId="12" fillId="9" borderId="32" xfId="0" applyFont="1" applyFill="1" applyBorder="1"/>
    <xf numFmtId="0" fontId="12" fillId="9" borderId="34" xfId="0" applyFont="1" applyFill="1" applyBorder="1"/>
    <xf numFmtId="0" fontId="12" fillId="9" borderId="35" xfId="0" applyFont="1" applyFill="1" applyBorder="1"/>
    <xf numFmtId="0" fontId="17" fillId="10" borderId="0" xfId="0" applyFont="1" applyFill="1" applyProtection="1">
      <protection locked="0"/>
    </xf>
    <xf numFmtId="0" fontId="0" fillId="0" borderId="0" xfId="0" applyFont="1" applyAlignment="1">
      <alignment horizontal="right"/>
    </xf>
    <xf numFmtId="0" fontId="28" fillId="0" borderId="0" xfId="0" applyFont="1" applyFill="1"/>
    <xf numFmtId="0" fontId="31" fillId="0" borderId="0" xfId="0" applyFont="1" applyAlignment="1">
      <alignment horizontal="center"/>
    </xf>
    <xf numFmtId="0" fontId="6" fillId="6" borderId="12" xfId="0" applyFont="1" applyFill="1" applyBorder="1"/>
    <xf numFmtId="0" fontId="15" fillId="0" borderId="0" xfId="0" applyFont="1" applyFill="1"/>
    <xf numFmtId="0" fontId="27" fillId="0" borderId="1" xfId="0" applyFont="1" applyFill="1" applyBorder="1"/>
    <xf numFmtId="3" fontId="16" fillId="0" borderId="0" xfId="0" applyNumberFormat="1" applyFont="1" applyFill="1" applyBorder="1" applyAlignment="1" applyProtection="1">
      <alignment horizontal="center" vertical="center"/>
    </xf>
    <xf numFmtId="0" fontId="6" fillId="0" borderId="0" xfId="0" applyFont="1" applyAlignment="1">
      <alignment horizontal="right"/>
    </xf>
    <xf numFmtId="0" fontId="0" fillId="13" borderId="1" xfId="0" applyFill="1" applyBorder="1" applyProtection="1">
      <protection locked="0"/>
    </xf>
    <xf numFmtId="0" fontId="33" fillId="0" borderId="0" xfId="0" applyFont="1" applyAlignment="1">
      <alignment horizontal="right"/>
    </xf>
    <xf numFmtId="3" fontId="0" fillId="0" borderId="10" xfId="1" applyNumberFormat="1" applyFont="1" applyBorder="1"/>
    <xf numFmtId="3" fontId="0" fillId="0" borderId="36" xfId="1" applyNumberFormat="1" applyFont="1" applyBorder="1"/>
    <xf numFmtId="0" fontId="6" fillId="0" borderId="1" xfId="0" applyFont="1" applyBorder="1" applyAlignment="1">
      <alignment horizontal="center" wrapText="1"/>
    </xf>
    <xf numFmtId="0" fontId="6" fillId="0" borderId="0" xfId="0" applyFont="1" applyAlignment="1"/>
    <xf numFmtId="0" fontId="34" fillId="0" borderId="0" xfId="0" applyFont="1" applyFill="1"/>
    <xf numFmtId="0" fontId="35" fillId="0" borderId="21" xfId="0" applyFont="1" applyBorder="1"/>
    <xf numFmtId="0" fontId="0" fillId="0" borderId="37" xfId="0" applyBorder="1"/>
    <xf numFmtId="0" fontId="0" fillId="0" borderId="38" xfId="0" applyBorder="1"/>
    <xf numFmtId="0" fontId="0" fillId="0" borderId="16" xfId="0" applyFont="1" applyBorder="1" applyAlignment="1">
      <alignment horizontal="right"/>
    </xf>
    <xf numFmtId="3" fontId="0" fillId="0" borderId="39" xfId="1" applyNumberFormat="1" applyFont="1" applyBorder="1"/>
    <xf numFmtId="0" fontId="0" fillId="0" borderId="28" xfId="0" applyBorder="1" applyAlignment="1">
      <alignment horizontal="center"/>
    </xf>
    <xf numFmtId="0" fontId="6" fillId="0" borderId="32" xfId="0" applyFont="1" applyBorder="1" applyAlignment="1">
      <alignment horizontal="right"/>
    </xf>
    <xf numFmtId="3" fontId="6" fillId="0" borderId="23" xfId="1" applyNumberFormat="1" applyFont="1" applyBorder="1"/>
    <xf numFmtId="3" fontId="6" fillId="0" borderId="24" xfId="1" applyNumberFormat="1" applyFont="1" applyBorder="1"/>
    <xf numFmtId="0" fontId="0" fillId="8" borderId="40" xfId="0" applyFont="1" applyFill="1" applyBorder="1" applyAlignment="1">
      <alignment horizontal="right"/>
    </xf>
    <xf numFmtId="3" fontId="0" fillId="8" borderId="41" xfId="1" applyNumberFormat="1" applyFont="1" applyFill="1" applyBorder="1"/>
    <xf numFmtId="3" fontId="0" fillId="8" borderId="42" xfId="1" applyNumberFormat="1" applyFont="1" applyFill="1" applyBorder="1"/>
    <xf numFmtId="0" fontId="35" fillId="0" borderId="0" xfId="0" applyFont="1"/>
    <xf numFmtId="0" fontId="27" fillId="0" borderId="1" xfId="0" applyFont="1" applyBorder="1" applyAlignment="1">
      <alignment horizontal="center"/>
    </xf>
    <xf numFmtId="0" fontId="12" fillId="9" borderId="19" xfId="0" applyFont="1" applyFill="1" applyBorder="1"/>
    <xf numFmtId="0" fontId="36" fillId="0" borderId="28" xfId="0" applyFont="1" applyFill="1" applyBorder="1"/>
    <xf numFmtId="9" fontId="12" fillId="8" borderId="15" xfId="0" applyNumberFormat="1" applyFont="1" applyFill="1" applyBorder="1"/>
    <xf numFmtId="9" fontId="12" fillId="8" borderId="17" xfId="0" applyNumberFormat="1" applyFont="1" applyFill="1" applyBorder="1"/>
    <xf numFmtId="0" fontId="5" fillId="0" borderId="0" xfId="0" quotePrefix="1" applyFont="1" applyFill="1"/>
    <xf numFmtId="0" fontId="37" fillId="5" borderId="0" xfId="0" applyFont="1" applyFill="1"/>
    <xf numFmtId="0" fontId="38" fillId="0" borderId="28" xfId="0" applyFont="1" applyFill="1" applyBorder="1"/>
    <xf numFmtId="9" fontId="12" fillId="8" borderId="14" xfId="0" applyNumberFormat="1" applyFont="1" applyFill="1" applyBorder="1"/>
    <xf numFmtId="9" fontId="12" fillId="8" borderId="1" xfId="0" applyNumberFormat="1" applyFont="1" applyFill="1" applyBorder="1"/>
    <xf numFmtId="9" fontId="20" fillId="0" borderId="1" xfId="1" applyFont="1" applyFill="1" applyBorder="1"/>
    <xf numFmtId="164" fontId="20" fillId="0" borderId="1" xfId="1" applyNumberFormat="1" applyFont="1" applyFill="1" applyBorder="1"/>
    <xf numFmtId="3" fontId="20" fillId="0" borderId="1" xfId="0" applyNumberFormat="1" applyFont="1" applyBorder="1"/>
    <xf numFmtId="0" fontId="11" fillId="0" borderId="0" xfId="0" quotePrefix="1" applyFont="1"/>
    <xf numFmtId="0" fontId="39" fillId="0" borderId="0" xfId="0" applyFont="1"/>
    <xf numFmtId="4" fontId="11" fillId="0" borderId="0" xfId="0" applyNumberFormat="1" applyFont="1" applyFill="1"/>
    <xf numFmtId="9" fontId="5" fillId="0" borderId="0" xfId="0" quotePrefix="1" applyNumberFormat="1" applyFont="1" applyFill="1"/>
    <xf numFmtId="0" fontId="13" fillId="6" borderId="28" xfId="0" applyFont="1" applyFill="1" applyBorder="1"/>
    <xf numFmtId="0" fontId="12" fillId="6" borderId="34" xfId="0" applyFont="1" applyFill="1" applyBorder="1"/>
    <xf numFmtId="0" fontId="12" fillId="6" borderId="35" xfId="0" applyFont="1" applyFill="1" applyBorder="1"/>
    <xf numFmtId="0" fontId="10" fillId="0" borderId="0" xfId="0" applyFont="1" applyBorder="1" applyAlignment="1"/>
    <xf numFmtId="164" fontId="12" fillId="9" borderId="14" xfId="1" applyNumberFormat="1" applyFont="1" applyFill="1" applyBorder="1"/>
    <xf numFmtId="0" fontId="0" fillId="9" borderId="14" xfId="0" applyFont="1" applyFill="1" applyBorder="1"/>
    <xf numFmtId="9" fontId="12" fillId="9" borderId="15" xfId="1" applyFont="1" applyFill="1" applyBorder="1"/>
    <xf numFmtId="9" fontId="12" fillId="9" borderId="17" xfId="1" applyFont="1" applyFill="1" applyBorder="1"/>
    <xf numFmtId="0" fontId="0" fillId="9" borderId="18" xfId="0" applyFont="1" applyFill="1" applyBorder="1"/>
    <xf numFmtId="0" fontId="0" fillId="9" borderId="19" xfId="0" applyFont="1" applyFill="1" applyBorder="1"/>
    <xf numFmtId="0" fontId="0" fillId="9" borderId="21" xfId="0" applyFont="1" applyFill="1" applyBorder="1"/>
    <xf numFmtId="0" fontId="0" fillId="9" borderId="22" xfId="0" applyFont="1" applyFill="1" applyBorder="1"/>
    <xf numFmtId="0" fontId="0" fillId="9" borderId="43" xfId="0" applyFont="1" applyFill="1" applyBorder="1"/>
    <xf numFmtId="164" fontId="12" fillId="8" borderId="14" xfId="1" applyNumberFormat="1" applyFont="1" applyFill="1" applyBorder="1"/>
    <xf numFmtId="0" fontId="19" fillId="0" borderId="4" xfId="0" applyFont="1" applyFill="1" applyBorder="1" applyAlignment="1">
      <alignment horizontal="center"/>
    </xf>
    <xf numFmtId="0" fontId="40" fillId="0" borderId="0" xfId="0" applyFont="1"/>
    <xf numFmtId="0" fontId="29" fillId="0" borderId="1" xfId="0" quotePrefix="1" applyFont="1" applyBorder="1" applyAlignment="1">
      <alignment horizontal="center"/>
    </xf>
    <xf numFmtId="0" fontId="0" fillId="0" borderId="0" xfId="0" quotePrefix="1" applyAlignment="1"/>
    <xf numFmtId="0" fontId="23" fillId="0" borderId="0" xfId="0" quotePrefix="1" applyFont="1" applyFill="1" applyAlignment="1">
      <alignment horizontal="right"/>
    </xf>
    <xf numFmtId="0" fontId="41" fillId="0" borderId="0" xfId="0" applyFont="1" applyFill="1" applyProtection="1"/>
    <xf numFmtId="164" fontId="11" fillId="0" borderId="0" xfId="1" applyNumberFormat="1" applyFont="1" applyFill="1"/>
    <xf numFmtId="9" fontId="42" fillId="0" borderId="3" xfId="0" applyNumberFormat="1" applyFont="1" applyFill="1" applyBorder="1" applyAlignment="1">
      <alignment horizontal="center"/>
    </xf>
    <xf numFmtId="9" fontId="20" fillId="0" borderId="1" xfId="0" applyNumberFormat="1" applyFont="1" applyFill="1" applyBorder="1" applyAlignment="1">
      <alignment horizontal="right"/>
    </xf>
    <xf numFmtId="164" fontId="11" fillId="9" borderId="1" xfId="1" applyNumberFormat="1" applyFont="1" applyFill="1" applyBorder="1"/>
    <xf numFmtId="0" fontId="12" fillId="0" borderId="0" xfId="0" applyFont="1" applyFill="1"/>
    <xf numFmtId="0" fontId="11" fillId="15" borderId="0" xfId="0" applyFont="1" applyFill="1"/>
    <xf numFmtId="0" fontId="12" fillId="0" borderId="0" xfId="0" quotePrefix="1" applyFont="1" applyFill="1"/>
    <xf numFmtId="0" fontId="43" fillId="0" borderId="0" xfId="0" quotePrefix="1" applyFont="1" applyFill="1"/>
    <xf numFmtId="0" fontId="0" fillId="0" borderId="44" xfId="0" quotePrefix="1" applyFill="1" applyBorder="1"/>
    <xf numFmtId="0" fontId="0" fillId="0" borderId="44" xfId="0" applyFill="1" applyBorder="1"/>
    <xf numFmtId="0" fontId="0" fillId="0" borderId="44" xfId="0" applyBorder="1"/>
    <xf numFmtId="0" fontId="6" fillId="0" borderId="0" xfId="0" applyFont="1" applyAlignment="1">
      <alignment horizontal="right" shrinkToFit="1"/>
    </xf>
    <xf numFmtId="0" fontId="19" fillId="0" borderId="4" xfId="0" applyFont="1" applyFill="1" applyBorder="1" applyAlignment="1">
      <alignment horizontal="center"/>
    </xf>
    <xf numFmtId="0" fontId="12" fillId="8" borderId="1" xfId="0" quotePrefix="1" applyFont="1" applyFill="1" applyBorder="1"/>
    <xf numFmtId="0" fontId="14" fillId="8" borderId="16" xfId="0" applyFont="1" applyFill="1" applyBorder="1"/>
    <xf numFmtId="165" fontId="5" fillId="0" borderId="0" xfId="0" applyNumberFormat="1" applyFont="1" applyFill="1"/>
    <xf numFmtId="0" fontId="17" fillId="0" borderId="0" xfId="0" applyFont="1"/>
    <xf numFmtId="0" fontId="23" fillId="6" borderId="0" xfId="0" applyFont="1" applyFill="1"/>
    <xf numFmtId="0" fontId="12" fillId="8" borderId="28" xfId="0" applyFont="1" applyFill="1" applyBorder="1"/>
    <xf numFmtId="0" fontId="12" fillId="8" borderId="45" xfId="0" applyFont="1" applyFill="1" applyBorder="1"/>
    <xf numFmtId="0" fontId="14" fillId="8" borderId="13" xfId="0" applyFont="1" applyFill="1" applyBorder="1"/>
    <xf numFmtId="0" fontId="12" fillId="6" borderId="0" xfId="0" applyFont="1" applyFill="1"/>
    <xf numFmtId="0" fontId="45" fillId="6" borderId="1" xfId="0" applyFont="1" applyFill="1" applyBorder="1" applyAlignment="1"/>
    <xf numFmtId="0" fontId="36" fillId="6" borderId="1" xfId="0" applyFont="1" applyFill="1" applyBorder="1"/>
    <xf numFmtId="0" fontId="44" fillId="6" borderId="1" xfId="0" applyFont="1" applyFill="1" applyBorder="1" applyAlignment="1">
      <alignment shrinkToFit="1"/>
    </xf>
    <xf numFmtId="3" fontId="46" fillId="6" borderId="1" xfId="0" applyNumberFormat="1" applyFont="1" applyFill="1" applyBorder="1"/>
    <xf numFmtId="9" fontId="0" fillId="0" borderId="1" xfId="1" applyFont="1" applyBorder="1"/>
    <xf numFmtId="0" fontId="6" fillId="0" borderId="13" xfId="0" applyFont="1" applyBorder="1" applyAlignment="1">
      <alignment horizontal="right"/>
    </xf>
    <xf numFmtId="3" fontId="0" fillId="0" borderId="14" xfId="1" applyNumberFormat="1" applyFont="1" applyBorder="1"/>
    <xf numFmtId="3" fontId="0" fillId="6" borderId="14" xfId="1" applyNumberFormat="1" applyFont="1" applyFill="1" applyBorder="1"/>
    <xf numFmtId="3" fontId="0" fillId="6" borderId="15" xfId="1" applyNumberFormat="1" applyFont="1" applyFill="1" applyBorder="1"/>
    <xf numFmtId="3" fontId="0" fillId="0" borderId="19" xfId="1" applyNumberFormat="1" applyFont="1" applyBorder="1"/>
    <xf numFmtId="3" fontId="0" fillId="6" borderId="19" xfId="1" applyNumberFormat="1" applyFont="1" applyFill="1" applyBorder="1"/>
    <xf numFmtId="3" fontId="0" fillId="6" borderId="20" xfId="1" applyNumberFormat="1" applyFont="1" applyFill="1" applyBorder="1"/>
    <xf numFmtId="0" fontId="0" fillId="0" borderId="18" xfId="0" applyFont="1" applyBorder="1" applyAlignment="1">
      <alignment horizontal="right"/>
    </xf>
    <xf numFmtId="3" fontId="0" fillId="6" borderId="1" xfId="1" applyNumberFormat="1" applyFont="1" applyFill="1" applyBorder="1"/>
    <xf numFmtId="3" fontId="0" fillId="6" borderId="17" xfId="1" applyNumberFormat="1" applyFont="1" applyFill="1" applyBorder="1"/>
    <xf numFmtId="0" fontId="5" fillId="0" borderId="0" xfId="0" applyFont="1"/>
    <xf numFmtId="0" fontId="4" fillId="0" borderId="0" xfId="2"/>
    <xf numFmtId="0" fontId="4" fillId="0" borderId="0" xfId="2" applyAlignment="1">
      <alignment horizontal="right"/>
    </xf>
    <xf numFmtId="0" fontId="0" fillId="12" borderId="16" xfId="0" applyFont="1" applyFill="1" applyBorder="1" applyAlignment="1">
      <alignment horizontal="right"/>
    </xf>
    <xf numFmtId="3" fontId="0" fillId="12" borderId="1" xfId="1" applyNumberFormat="1" applyFont="1" applyFill="1" applyBorder="1"/>
    <xf numFmtId="0" fontId="14" fillId="9" borderId="33" xfId="0" applyFont="1" applyFill="1" applyBorder="1"/>
    <xf numFmtId="9" fontId="12" fillId="8" borderId="19" xfId="0" applyNumberFormat="1" applyFont="1" applyFill="1" applyBorder="1"/>
    <xf numFmtId="9" fontId="12" fillId="8" borderId="20" xfId="0" applyNumberFormat="1" applyFont="1" applyFill="1" applyBorder="1"/>
    <xf numFmtId="0" fontId="4" fillId="0" borderId="0" xfId="2" quotePrefix="1" applyFill="1"/>
    <xf numFmtId="0" fontId="0" fillId="0" borderId="0" xfId="0" quotePrefix="1" applyFill="1" applyBorder="1"/>
    <xf numFmtId="0" fontId="4" fillId="0" borderId="0" xfId="2" applyAlignment="1">
      <alignment horizontal="left"/>
    </xf>
    <xf numFmtId="0" fontId="29" fillId="0" borderId="1" xfId="0" applyFont="1" applyBorder="1"/>
    <xf numFmtId="0" fontId="4" fillId="0" borderId="0" xfId="2" applyAlignment="1">
      <alignment vertical="center"/>
    </xf>
    <xf numFmtId="0" fontId="13" fillId="0" borderId="0" xfId="0" applyFont="1"/>
    <xf numFmtId="0" fontId="47" fillId="0" borderId="0" xfId="0" applyFont="1"/>
    <xf numFmtId="0" fontId="12" fillId="0" borderId="0" xfId="0" applyFont="1" applyAlignment="1">
      <alignment wrapText="1"/>
    </xf>
    <xf numFmtId="0" fontId="48" fillId="0" borderId="0" xfId="0" applyFont="1"/>
    <xf numFmtId="0" fontId="12" fillId="7" borderId="0" xfId="0" applyFont="1" applyFill="1"/>
    <xf numFmtId="0" fontId="12" fillId="11" borderId="0" xfId="0" applyFont="1" applyFill="1"/>
    <xf numFmtId="0" fontId="12" fillId="0" borderId="0" xfId="0" applyFont="1" applyAlignment="1">
      <alignment horizontal="right" vertical="top"/>
    </xf>
    <xf numFmtId="0" fontId="12" fillId="0" borderId="0" xfId="0" applyFont="1" applyAlignment="1">
      <alignment vertical="top"/>
    </xf>
    <xf numFmtId="49" fontId="12" fillId="0" borderId="0" xfId="0" applyNumberFormat="1" applyFont="1" applyAlignment="1">
      <alignment horizontal="right"/>
    </xf>
    <xf numFmtId="0" fontId="13" fillId="0" borderId="0" xfId="0" applyFont="1" applyAlignment="1">
      <alignment wrapText="1"/>
    </xf>
    <xf numFmtId="0" fontId="51" fillId="0" borderId="0" xfId="0" applyFont="1"/>
    <xf numFmtId="0" fontId="52" fillId="0" borderId="0" xfId="0" applyFont="1" applyAlignment="1">
      <alignment vertical="center"/>
    </xf>
    <xf numFmtId="0" fontId="0" fillId="9" borderId="3" xfId="0" quotePrefix="1" applyFill="1" applyBorder="1"/>
    <xf numFmtId="0" fontId="0" fillId="9" borderId="3" xfId="0" applyFill="1" applyBorder="1"/>
    <xf numFmtId="0" fontId="6" fillId="0" borderId="28" xfId="0" quotePrefix="1" applyFont="1" applyFill="1" applyBorder="1"/>
    <xf numFmtId="0" fontId="0" fillId="9" borderId="33" xfId="0" quotePrefix="1" applyFill="1" applyBorder="1"/>
    <xf numFmtId="0" fontId="0" fillId="9" borderId="35" xfId="0" applyFill="1" applyBorder="1"/>
    <xf numFmtId="0" fontId="27" fillId="0" borderId="1" xfId="0" applyFont="1" applyBorder="1" applyAlignment="1">
      <alignment horizontal="center"/>
    </xf>
    <xf numFmtId="0" fontId="45" fillId="16" borderId="46" xfId="0" applyFont="1" applyFill="1" applyBorder="1" applyAlignment="1">
      <alignment horizontal="left" wrapText="1"/>
    </xf>
    <xf numFmtId="0" fontId="45" fillId="16" borderId="47" xfId="0" applyFont="1" applyFill="1" applyBorder="1" applyAlignment="1">
      <alignment horizontal="left" wrapText="1"/>
    </xf>
    <xf numFmtId="0" fontId="53" fillId="17" borderId="47" xfId="0" applyFont="1" applyFill="1" applyBorder="1" applyAlignment="1">
      <alignment horizontal="left" wrapText="1"/>
    </xf>
    <xf numFmtId="0" fontId="53" fillId="0" borderId="2" xfId="0" applyFont="1" applyBorder="1" applyAlignment="1">
      <alignment horizontal="left" wrapText="1"/>
    </xf>
    <xf numFmtId="0" fontId="53" fillId="18" borderId="47" xfId="0" applyFont="1" applyFill="1" applyBorder="1" applyAlignment="1">
      <alignment horizontal="left" wrapText="1"/>
    </xf>
    <xf numFmtId="0" fontId="45" fillId="16" borderId="34" xfId="0" applyFont="1" applyFill="1" applyBorder="1" applyAlignment="1">
      <alignment horizontal="left" wrapText="1"/>
    </xf>
    <xf numFmtId="0" fontId="54" fillId="17" borderId="46" xfId="0" applyFont="1" applyFill="1" applyBorder="1" applyAlignment="1" applyProtection="1">
      <alignment wrapText="1"/>
      <protection locked="0"/>
    </xf>
    <xf numFmtId="0" fontId="54" fillId="16" borderId="36" xfId="0" applyFont="1" applyFill="1" applyBorder="1" applyAlignment="1" applyProtection="1">
      <alignment horizontal="right" wrapText="1"/>
      <protection locked="0"/>
    </xf>
    <xf numFmtId="0" fontId="54" fillId="18" borderId="46" xfId="0" applyFont="1" applyFill="1" applyBorder="1" applyAlignment="1" applyProtection="1">
      <alignment horizontal="right" wrapText="1"/>
      <protection locked="0"/>
    </xf>
    <xf numFmtId="0" fontId="54" fillId="0" borderId="0" xfId="0" applyFont="1" applyAlignment="1">
      <alignment wrapText="1"/>
    </xf>
    <xf numFmtId="0" fontId="54" fillId="16" borderId="34" xfId="0" applyFont="1" applyFill="1" applyBorder="1" applyAlignment="1">
      <alignment horizontal="center" wrapText="1"/>
    </xf>
    <xf numFmtId="0" fontId="54" fillId="16" borderId="34" xfId="0" applyFont="1" applyFill="1" applyBorder="1" applyAlignment="1" applyProtection="1">
      <alignment wrapText="1"/>
      <protection locked="0"/>
    </xf>
    <xf numFmtId="0" fontId="19" fillId="0" borderId="0" xfId="0" applyFont="1"/>
    <xf numFmtId="0" fontId="54" fillId="16" borderId="22" xfId="0" applyFont="1" applyFill="1" applyBorder="1" applyAlignment="1">
      <alignment wrapText="1"/>
    </xf>
    <xf numFmtId="0" fontId="54" fillId="17" borderId="48" xfId="0" applyFont="1" applyFill="1" applyBorder="1" applyAlignment="1" applyProtection="1">
      <alignment wrapText="1"/>
      <protection locked="0"/>
    </xf>
    <xf numFmtId="0" fontId="54" fillId="17" borderId="50" xfId="0" applyFont="1" applyFill="1" applyBorder="1" applyAlignment="1" applyProtection="1">
      <alignment wrapText="1"/>
      <protection locked="0"/>
    </xf>
    <xf numFmtId="0" fontId="54" fillId="0" borderId="49" xfId="0" applyFont="1" applyFill="1" applyBorder="1" applyAlignment="1" applyProtection="1">
      <alignment wrapText="1"/>
      <protection locked="0"/>
    </xf>
    <xf numFmtId="0" fontId="54" fillId="0" borderId="51" xfId="0" applyFont="1" applyBorder="1" applyAlignment="1">
      <alignment wrapText="1"/>
    </xf>
    <xf numFmtId="0" fontId="54" fillId="0" borderId="52" xfId="0" applyFont="1" applyBorder="1" applyAlignment="1">
      <alignment wrapText="1"/>
    </xf>
    <xf numFmtId="0" fontId="0" fillId="0" borderId="52" xfId="0" applyBorder="1"/>
    <xf numFmtId="0" fontId="0" fillId="0" borderId="53" xfId="0" applyBorder="1"/>
    <xf numFmtId="0" fontId="0" fillId="0" borderId="54" xfId="0" applyBorder="1"/>
    <xf numFmtId="0" fontId="0" fillId="0" borderId="55" xfId="0" applyBorder="1"/>
    <xf numFmtId="0" fontId="56" fillId="0" borderId="0" xfId="0" applyFont="1" applyAlignment="1">
      <alignment vertical="top"/>
    </xf>
    <xf numFmtId="0" fontId="57" fillId="16" borderId="34" xfId="0" applyFont="1" applyFill="1" applyBorder="1" applyAlignment="1" applyProtection="1">
      <alignment wrapText="1"/>
      <protection locked="0"/>
    </xf>
    <xf numFmtId="0" fontId="54" fillId="16" borderId="34" xfId="0" quotePrefix="1" applyFont="1" applyFill="1" applyBorder="1" applyAlignment="1" applyProtection="1">
      <alignment wrapText="1"/>
      <protection locked="0"/>
    </xf>
    <xf numFmtId="0" fontId="54" fillId="17" borderId="56" xfId="0" applyFont="1" applyFill="1" applyBorder="1" applyAlignment="1" applyProtection="1">
      <alignment wrapText="1"/>
      <protection locked="0"/>
    </xf>
    <xf numFmtId="0" fontId="54" fillId="16" borderId="57" xfId="0" applyFont="1" applyFill="1" applyBorder="1" applyAlignment="1" applyProtection="1">
      <alignment wrapText="1"/>
      <protection locked="0"/>
    </xf>
    <xf numFmtId="0" fontId="54" fillId="18" borderId="57" xfId="0" applyFont="1" applyFill="1" applyBorder="1" applyAlignment="1" applyProtection="1">
      <alignment wrapText="1"/>
      <protection locked="0"/>
    </xf>
    <xf numFmtId="0" fontId="0" fillId="0" borderId="58" xfId="0" applyBorder="1"/>
    <xf numFmtId="0" fontId="27" fillId="0" borderId="1" xfId="0" applyFont="1" applyBorder="1"/>
    <xf numFmtId="0" fontId="27" fillId="15" borderId="1" xfId="0" applyFont="1" applyFill="1" applyBorder="1"/>
    <xf numFmtId="0" fontId="54" fillId="16" borderId="57" xfId="0" quotePrefix="1" applyFont="1" applyFill="1" applyBorder="1" applyAlignment="1" applyProtection="1">
      <alignment wrapText="1"/>
      <protection locked="0"/>
    </xf>
    <xf numFmtId="0" fontId="57" fillId="16" borderId="57" xfId="0" applyFont="1" applyFill="1" applyBorder="1" applyAlignment="1" applyProtection="1">
      <alignment wrapText="1"/>
      <protection locked="0"/>
    </xf>
    <xf numFmtId="0" fontId="27" fillId="0" borderId="1" xfId="0" applyFont="1" applyFill="1" applyBorder="1" applyAlignment="1"/>
    <xf numFmtId="0" fontId="14" fillId="6" borderId="33" xfId="0" applyFont="1" applyFill="1" applyBorder="1"/>
    <xf numFmtId="0" fontId="55" fillId="18" borderId="49" xfId="0" applyFont="1" applyFill="1" applyBorder="1" applyAlignment="1" applyProtection="1">
      <alignment wrapText="1"/>
      <protection locked="0"/>
    </xf>
    <xf numFmtId="0" fontId="55" fillId="18" borderId="34" xfId="0" applyFont="1" applyFill="1" applyBorder="1" applyAlignment="1" applyProtection="1">
      <alignment wrapText="1"/>
      <protection locked="0"/>
    </xf>
    <xf numFmtId="0" fontId="59" fillId="0" borderId="0" xfId="0" applyFont="1"/>
    <xf numFmtId="0" fontId="0" fillId="11" borderId="0" xfId="0" applyFill="1" applyProtection="1">
      <protection locked="0"/>
    </xf>
    <xf numFmtId="0" fontId="61" fillId="0" borderId="0" xfId="0" applyFont="1" applyAlignment="1">
      <alignment wrapText="1"/>
    </xf>
    <xf numFmtId="0" fontId="54" fillId="19" borderId="22" xfId="0" applyFont="1" applyFill="1" applyBorder="1" applyAlignment="1">
      <alignment wrapText="1"/>
    </xf>
    <xf numFmtId="0" fontId="54" fillId="20" borderId="22" xfId="0" applyFont="1" applyFill="1" applyBorder="1" applyAlignment="1">
      <alignment wrapText="1"/>
    </xf>
    <xf numFmtId="0" fontId="54" fillId="0" borderId="57" xfId="0" applyFont="1" applyFill="1" applyBorder="1" applyAlignment="1" applyProtection="1">
      <alignment wrapText="1"/>
      <protection locked="0"/>
    </xf>
    <xf numFmtId="0" fontId="57" fillId="17" borderId="56" xfId="0" applyFont="1" applyFill="1" applyBorder="1" applyAlignment="1" applyProtection="1">
      <alignment wrapText="1"/>
      <protection locked="0"/>
    </xf>
    <xf numFmtId="0" fontId="0" fillId="0" borderId="0" xfId="0" applyFill="1" applyAlignment="1">
      <alignment horizontal="center" vertical="center" textRotation="90" wrapText="1"/>
    </xf>
    <xf numFmtId="0" fontId="0" fillId="19" borderId="60" xfId="0" applyFill="1" applyBorder="1"/>
    <xf numFmtId="0" fontId="0" fillId="19" borderId="1" xfId="0" applyFill="1" applyBorder="1"/>
    <xf numFmtId="0" fontId="0" fillId="19" borderId="17" xfId="0" applyFill="1" applyBorder="1"/>
    <xf numFmtId="0" fontId="12" fillId="0" borderId="0" xfId="0" applyFont="1" applyAlignment="1">
      <alignment vertical="top" wrapText="1"/>
    </xf>
    <xf numFmtId="0" fontId="0" fillId="0" borderId="0" xfId="0" applyFont="1" applyAlignment="1">
      <alignment vertical="top" wrapText="1"/>
    </xf>
    <xf numFmtId="0" fontId="13" fillId="0" borderId="0" xfId="0" applyFont="1" applyAlignment="1">
      <alignment vertical="top" wrapText="1"/>
    </xf>
    <xf numFmtId="0" fontId="4" fillId="0" borderId="0" xfId="2" applyAlignment="1" applyProtection="1">
      <alignment vertical="center"/>
      <protection locked="0"/>
    </xf>
    <xf numFmtId="0" fontId="4" fillId="0" borderId="0" xfId="2" applyProtection="1">
      <protection locked="0"/>
    </xf>
    <xf numFmtId="0" fontId="58" fillId="0" borderId="1" xfId="0" applyFont="1" applyBorder="1"/>
    <xf numFmtId="0" fontId="0" fillId="8" borderId="0" xfId="0" quotePrefix="1" applyFill="1"/>
    <xf numFmtId="0" fontId="0" fillId="21" borderId="0" xfId="0" quotePrefix="1" applyFill="1"/>
    <xf numFmtId="0" fontId="0" fillId="21" borderId="16" xfId="0" applyFont="1" applyFill="1" applyBorder="1" applyAlignment="1">
      <alignment horizontal="right"/>
    </xf>
    <xf numFmtId="3" fontId="0" fillId="21" borderId="1" xfId="1" applyNumberFormat="1" applyFont="1" applyFill="1" applyBorder="1"/>
    <xf numFmtId="3" fontId="0" fillId="21" borderId="17" xfId="1" applyNumberFormat="1" applyFont="1" applyFill="1" applyBorder="1"/>
    <xf numFmtId="0" fontId="59" fillId="5" borderId="0" xfId="0" applyFont="1" applyFill="1"/>
    <xf numFmtId="0" fontId="14" fillId="0" borderId="0" xfId="0" applyFont="1" applyAlignment="1">
      <alignment horizontal="right"/>
    </xf>
    <xf numFmtId="0" fontId="0" fillId="0" borderId="0" xfId="0" applyFill="1" applyBorder="1"/>
    <xf numFmtId="0" fontId="0" fillId="0" borderId="0" xfId="0" applyBorder="1"/>
    <xf numFmtId="0" fontId="52" fillId="0" borderId="0" xfId="0" applyFont="1" applyAlignment="1" applyProtection="1">
      <alignment vertical="center"/>
      <protection locked="0"/>
    </xf>
    <xf numFmtId="0" fontId="0" fillId="0" borderId="0" xfId="0" applyAlignment="1">
      <alignment horizontal="center"/>
    </xf>
    <xf numFmtId="0" fontId="12" fillId="0" borderId="0" xfId="0" applyFont="1" applyAlignment="1">
      <alignment horizontal="left" wrapText="1"/>
    </xf>
    <xf numFmtId="0" fontId="0" fillId="13" borderId="0" xfId="0" applyFont="1" applyFill="1" applyAlignment="1" applyProtection="1">
      <alignment horizontal="left" shrinkToFit="1"/>
      <protection locked="0"/>
    </xf>
    <xf numFmtId="0" fontId="6" fillId="0" borderId="0" xfId="0" applyFont="1" applyAlignment="1">
      <alignment horizontal="right" shrinkToFit="1"/>
    </xf>
    <xf numFmtId="0" fontId="19" fillId="0" borderId="3" xfId="0" applyFont="1" applyFill="1" applyBorder="1" applyAlignment="1">
      <alignment horizontal="center"/>
    </xf>
    <xf numFmtId="0" fontId="19" fillId="0" borderId="4" xfId="0" applyFont="1" applyFill="1" applyBorder="1" applyAlignment="1">
      <alignment horizontal="center"/>
    </xf>
    <xf numFmtId="0" fontId="27" fillId="0" borderId="3" xfId="0" applyFont="1" applyFill="1" applyBorder="1" applyAlignment="1">
      <alignment horizontal="center"/>
    </xf>
    <xf numFmtId="0" fontId="27" fillId="0" borderId="4" xfId="0" applyFont="1" applyFill="1" applyBorder="1" applyAlignment="1">
      <alignment horizontal="center"/>
    </xf>
    <xf numFmtId="0" fontId="58" fillId="0" borderId="1" xfId="0" applyFont="1" applyBorder="1" applyAlignment="1">
      <alignment horizontal="center"/>
    </xf>
    <xf numFmtId="0" fontId="27" fillId="0" borderId="1" xfId="0" applyFont="1" applyBorder="1" applyAlignment="1">
      <alignment horizontal="center"/>
    </xf>
    <xf numFmtId="0" fontId="27" fillId="6" borderId="3" xfId="0" applyFont="1" applyFill="1" applyBorder="1" applyAlignment="1">
      <alignment horizontal="center"/>
    </xf>
    <xf numFmtId="0" fontId="27" fillId="6" borderId="4" xfId="0" applyFont="1" applyFill="1" applyBorder="1" applyAlignment="1">
      <alignment horizontal="center"/>
    </xf>
    <xf numFmtId="0" fontId="27" fillId="6" borderId="5" xfId="0" applyFont="1" applyFill="1" applyBorder="1" applyAlignment="1">
      <alignment horizontal="center"/>
    </xf>
    <xf numFmtId="0" fontId="19" fillId="0" borderId="5" xfId="0" applyFont="1" applyFill="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27" fillId="0" borderId="5" xfId="0" applyFont="1" applyBorder="1" applyAlignment="1">
      <alignment horizontal="center"/>
    </xf>
    <xf numFmtId="0" fontId="42" fillId="0" borderId="1" xfId="0" applyFont="1" applyBorder="1" applyAlignment="1">
      <alignment horizontal="center"/>
    </xf>
    <xf numFmtId="0" fontId="6" fillId="0" borderId="3" xfId="0" applyFont="1" applyBorder="1" applyAlignment="1">
      <alignment horizontal="center" wrapText="1"/>
    </xf>
    <xf numFmtId="0" fontId="6" fillId="0" borderId="5" xfId="0" applyFont="1" applyBorder="1" applyAlignment="1">
      <alignment horizontal="center" wrapText="1"/>
    </xf>
    <xf numFmtId="0" fontId="0" fillId="0" borderId="1" xfId="0" applyFont="1" applyBorder="1" applyAlignment="1">
      <alignment horizontal="center"/>
    </xf>
    <xf numFmtId="0" fontId="6" fillId="0" borderId="0" xfId="0" applyFont="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29" xfId="0" applyFont="1" applyBorder="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19" fillId="0" borderId="1" xfId="0" applyFont="1" applyFill="1" applyBorder="1" applyAlignment="1">
      <alignment horizontal="center"/>
    </xf>
    <xf numFmtId="0" fontId="0" fillId="0" borderId="59" xfId="0" applyFont="1" applyBorder="1" applyAlignment="1">
      <alignment horizontal="center" vertical="center" textRotation="90" wrapText="1"/>
    </xf>
    <xf numFmtId="0" fontId="10" fillId="0" borderId="3" xfId="0" applyFont="1" applyBorder="1" applyAlignment="1">
      <alignment horizontal="center"/>
    </xf>
    <xf numFmtId="0" fontId="10" fillId="0" borderId="4" xfId="0" applyFont="1" applyBorder="1" applyAlignment="1">
      <alignment horizontal="center"/>
    </xf>
    <xf numFmtId="0" fontId="0" fillId="6" borderId="1" xfId="0" applyFont="1" applyFill="1" applyBorder="1" applyAlignment="1">
      <alignment horizontal="center"/>
    </xf>
    <xf numFmtId="0" fontId="10" fillId="0" borderId="5" xfId="0" applyFont="1" applyBorder="1" applyAlignment="1">
      <alignment horizontal="center"/>
    </xf>
    <xf numFmtId="0" fontId="10" fillId="0" borderId="1" xfId="0" applyFont="1" applyBorder="1" applyAlignment="1">
      <alignment horizontal="center"/>
    </xf>
    <xf numFmtId="0" fontId="0" fillId="19" borderId="29" xfId="0" applyFill="1" applyBorder="1" applyAlignment="1">
      <alignment horizontal="center" vertical="center" textRotation="90" wrapText="1"/>
    </xf>
    <xf numFmtId="0" fontId="0" fillId="20" borderId="29" xfId="0" applyFill="1" applyBorder="1" applyAlignment="1">
      <alignment horizontal="center" vertical="center" textRotation="90" wrapText="1"/>
    </xf>
  </cellXfs>
  <cellStyles count="5">
    <cellStyle name="Besuchter Hyperlink" xfId="3" builtinId="9" hidden="1"/>
    <cellStyle name="Besuchter Hyperlink" xfId="4" builtinId="9" hidden="1"/>
    <cellStyle name="Link" xfId="2" builtinId="8"/>
    <cellStyle name="Prozent" xfId="1" builtinId="5"/>
    <cellStyle name="Standard" xfId="0" builtinId="0"/>
  </cellStyles>
  <dxfs count="29">
    <dxf>
      <fill>
        <patternFill>
          <bgColor rgb="FF92D050"/>
        </patternFill>
      </fill>
    </dxf>
    <dxf>
      <fill>
        <patternFill>
          <bgColor rgb="FFFFC000"/>
        </patternFill>
      </fill>
    </dxf>
    <dxf>
      <fill>
        <patternFill>
          <bgColor rgb="FFFF0000"/>
        </patternFill>
      </fill>
    </dxf>
    <dxf>
      <font>
        <color rgb="FFFF0000"/>
      </font>
    </dxf>
    <dxf>
      <font>
        <color rgb="FFFF0000"/>
      </font>
    </dxf>
    <dxf>
      <font>
        <color theme="0"/>
      </font>
    </dxf>
    <dxf>
      <font>
        <color theme="0"/>
      </font>
    </dxf>
    <dxf>
      <fill>
        <patternFill>
          <bgColor rgb="FFFFCCFF"/>
        </patternFill>
      </fill>
    </dxf>
    <dxf>
      <fill>
        <patternFill>
          <bgColor rgb="FFFFDCAA"/>
        </patternFill>
      </fill>
    </dxf>
    <dxf>
      <fill>
        <patternFill>
          <bgColor rgb="FFCCFFCC"/>
        </patternFill>
      </fill>
    </dxf>
    <dxf>
      <font>
        <color rgb="FFFF0000"/>
      </font>
      <fill>
        <patternFill patternType="solid">
          <bgColor theme="0"/>
        </patternFill>
      </fill>
    </dxf>
    <dxf>
      <fill>
        <patternFill patternType="solid">
          <bgColor theme="0"/>
        </patternFill>
      </fill>
    </dxf>
    <dxf>
      <font>
        <color rgb="FFFF0000"/>
      </font>
      <fill>
        <patternFill patternType="solid">
          <bgColor theme="0"/>
        </patternFill>
      </fill>
    </dxf>
    <dxf>
      <font>
        <color theme="0"/>
      </font>
    </dxf>
    <dxf>
      <font>
        <color rgb="FFCCFFCC"/>
      </font>
    </dxf>
    <dxf>
      <font>
        <b val="0"/>
        <i val="0"/>
        <color rgb="FFFF0000"/>
      </font>
      <fill>
        <patternFill patternType="none">
          <bgColor auto="1"/>
        </patternFill>
      </fill>
    </dxf>
    <dxf>
      <font>
        <color auto="1"/>
      </font>
      <fill>
        <patternFill>
          <bgColor rgb="FFCCFFCC"/>
        </patternFill>
      </fill>
    </dxf>
    <dxf>
      <fill>
        <patternFill>
          <bgColor rgb="FFFFFF99"/>
        </patternFill>
      </fill>
    </dxf>
    <dxf>
      <fill>
        <patternFill>
          <bgColor rgb="FFFFFF99"/>
        </patternFill>
      </fill>
    </dxf>
    <dxf>
      <fill>
        <patternFill>
          <bgColor rgb="FFFFFF00"/>
        </patternFill>
      </fill>
    </dxf>
    <dxf>
      <fill>
        <patternFill>
          <bgColor rgb="FFFFCCFF"/>
        </patternFill>
      </fill>
    </dxf>
    <dxf>
      <fill>
        <patternFill>
          <bgColor rgb="FFFFDCAA"/>
        </patternFill>
      </fill>
    </dxf>
    <dxf>
      <font>
        <color rgb="FFFF0000"/>
      </font>
      <fill>
        <patternFill patternType="none">
          <bgColor auto="1"/>
        </patternFill>
      </fill>
    </dxf>
    <dxf>
      <fill>
        <patternFill>
          <bgColor indexed="13"/>
        </patternFill>
      </fill>
    </dxf>
    <dxf>
      <fill>
        <patternFill>
          <bgColor indexed="9"/>
        </patternFill>
      </fill>
    </dxf>
    <dxf>
      <fill>
        <patternFill>
          <bgColor rgb="FFFFCCFF"/>
        </patternFill>
      </fill>
    </dxf>
    <dxf>
      <fill>
        <patternFill>
          <bgColor rgb="FFFFDCAA"/>
        </patternFill>
      </fill>
    </dxf>
    <dxf>
      <fill>
        <patternFill>
          <bgColor rgb="FFCCFFCC"/>
        </patternFill>
      </fill>
    </dxf>
    <dxf>
      <font>
        <b/>
        <i val="0"/>
        <color rgb="FFFF0000"/>
      </font>
    </dxf>
  </dxfs>
  <tableStyles count="0" defaultTableStyle="TableStyleMedium2" defaultPivotStyle="PivotStyleLight16"/>
  <colors>
    <mruColors>
      <color rgb="FFFFDCAA"/>
      <color rgb="FFFFCCFF"/>
      <color rgb="FFFFCC99"/>
      <color rgb="FF4BDDFF"/>
      <color rgb="FFFFFF99"/>
      <color rgb="FFCCFFCC"/>
      <color rgb="FFFFFFCC"/>
      <color rgb="FFFF99FF"/>
      <color rgb="FFFFCCCC"/>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Elektromotoren, Wirkungsgrad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tx>
            <c:strRef>
              <c:f>Parameter!$Q$74</c:f>
              <c:strCache>
                <c:ptCount val="1"/>
                <c:pt idx="0">
                  <c:v>IE0 (Eff3)</c:v>
                </c:pt>
              </c:strCache>
            </c:strRef>
          </c:tx>
          <c:spPr>
            <a:ln w="19050" cap="rnd">
              <a:solidFill>
                <a:schemeClr val="accent1"/>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Parameter!$Q$75:$Q$102</c:f>
              <c:numCache>
                <c:formatCode>0.0%</c:formatCode>
                <c:ptCount val="28"/>
                <c:pt idx="0">
                  <c:v>0.4015088</c:v>
                </c:pt>
                <c:pt idx="1">
                  <c:v>0.45581034786236285</c:v>
                </c:pt>
                <c:pt idx="2">
                  <c:v>0.50605727637931108</c:v>
                </c:pt>
                <c:pt idx="3">
                  <c:v>0.55242423015104558</c:v>
                </c:pt>
                <c:pt idx="4">
                  <c:v>0.59508585377776735</c:v>
                </c:pt>
                <c:pt idx="5">
                  <c:v>0.63421679185967728</c:v>
                </c:pt>
                <c:pt idx="6">
                  <c:v>0.66999168917900331</c:v>
                </c:pt>
                <c:pt idx="7">
                  <c:v>0.70258518975905859</c:v>
                </c:pt>
                <c:pt idx="8">
                  <c:v>0.73217193713761486</c:v>
                </c:pt>
                <c:pt idx="9">
                  <c:v>0.75892657182301482</c:v>
                </c:pt>
                <c:pt idx="10">
                  <c:v>0.78302373432360117</c:v>
                </c:pt>
                <c:pt idx="11">
                  <c:v>0.80463806514771663</c:v>
                </c:pt>
                <c:pt idx="12">
                  <c:v>0.82394420480370401</c:v>
                </c:pt>
                <c:pt idx="13">
                  <c:v>0.84111679379990589</c:v>
                </c:pt>
                <c:pt idx="14">
                  <c:v>0.85633047264466511</c:v>
                </c:pt>
                <c:pt idx="15">
                  <c:v>0.86975988184632447</c:v>
                </c:pt>
                <c:pt idx="16">
                  <c:v>0.88157966191322645</c:v>
                </c:pt>
                <c:pt idx="17">
                  <c:v>0.89196445335371388</c:v>
                </c:pt>
                <c:pt idx="18">
                  <c:v>0.90108889667612968</c:v>
                </c:pt>
                <c:pt idx="19">
                  <c:v>0.90912763238881633</c:v>
                </c:pt>
                <c:pt idx="20">
                  <c:v>0.91625530100011654</c:v>
                </c:pt>
                <c:pt idx="21">
                  <c:v>0.92264654301837323</c:v>
                </c:pt>
                <c:pt idx="22">
                  <c:v>0.92809140342000607</c:v>
                </c:pt>
                <c:pt idx="23">
                  <c:v>0.92809140342000607</c:v>
                </c:pt>
                <c:pt idx="24">
                  <c:v>0.92809140342000607</c:v>
                </c:pt>
                <c:pt idx="25">
                  <c:v>0.92809140342000607</c:v>
                </c:pt>
                <c:pt idx="26">
                  <c:v>0.92809140342000607</c:v>
                </c:pt>
                <c:pt idx="27">
                  <c:v>0.92809140342000607</c:v>
                </c:pt>
              </c:numCache>
            </c:numRef>
          </c:yVal>
          <c:smooth val="1"/>
        </c:ser>
        <c:ser>
          <c:idx val="1"/>
          <c:order val="1"/>
          <c:tx>
            <c:strRef>
              <c:f>Parameter!$R$74</c:f>
              <c:strCache>
                <c:ptCount val="1"/>
                <c:pt idx="0">
                  <c:v>IE1 (Eff2)</c:v>
                </c:pt>
              </c:strCache>
            </c:strRef>
          </c:tx>
          <c:spPr>
            <a:ln w="19050" cap="rnd">
              <a:solidFill>
                <a:schemeClr val="accent2"/>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Parameter!$R$75:$R$102</c:f>
              <c:numCache>
                <c:formatCode>0.0%</c:formatCode>
                <c:ptCount val="28"/>
                <c:pt idx="0">
                  <c:v>0.46213500000000013</c:v>
                </c:pt>
                <c:pt idx="1">
                  <c:v>0.53052991468545696</c:v>
                </c:pt>
                <c:pt idx="2">
                  <c:v>0.58537063699160186</c:v>
                </c:pt>
                <c:pt idx="3">
                  <c:v>0.63007941299048187</c:v>
                </c:pt>
                <c:pt idx="4">
                  <c:v>0.66807848875414433</c:v>
                </c:pt>
                <c:pt idx="5">
                  <c:v>0.70279011035463668</c:v>
                </c:pt>
                <c:pt idx="6">
                  <c:v>0.72581218637131273</c:v>
                </c:pt>
                <c:pt idx="7">
                  <c:v>0.75236361387501549</c:v>
                </c:pt>
                <c:pt idx="8">
                  <c:v>0.77666509274503992</c:v>
                </c:pt>
                <c:pt idx="9">
                  <c:v>0.79882370691070514</c:v>
                </c:pt>
                <c:pt idx="10">
                  <c:v>0.81894654030133007</c:v>
                </c:pt>
                <c:pt idx="11">
                  <c:v>0.83714067684623361</c:v>
                </c:pt>
                <c:pt idx="12">
                  <c:v>0.85351320047473422</c:v>
                </c:pt>
                <c:pt idx="13">
                  <c:v>0.86817119511615104</c:v>
                </c:pt>
                <c:pt idx="14">
                  <c:v>0.88122174469980308</c:v>
                </c:pt>
                <c:pt idx="15">
                  <c:v>0.89277193315500891</c:v>
                </c:pt>
                <c:pt idx="16">
                  <c:v>0.90292884441108756</c:v>
                </c:pt>
                <c:pt idx="17">
                  <c:v>0.91179956239735782</c:v>
                </c:pt>
                <c:pt idx="18">
                  <c:v>0.9194911710431386</c:v>
                </c:pt>
                <c:pt idx="19">
                  <c:v>0.9261107542777488</c:v>
                </c:pt>
                <c:pt idx="20">
                  <c:v>0.93176539603050712</c:v>
                </c:pt>
                <c:pt idx="21">
                  <c:v>0.93656218023073246</c:v>
                </c:pt>
                <c:pt idx="22">
                  <c:v>0.94035304926266194</c:v>
                </c:pt>
                <c:pt idx="23">
                  <c:v>0.94035304926266194</c:v>
                </c:pt>
                <c:pt idx="24">
                  <c:v>0.94035304926266194</c:v>
                </c:pt>
                <c:pt idx="25">
                  <c:v>0.94035304926266194</c:v>
                </c:pt>
                <c:pt idx="26">
                  <c:v>0.94035304926266194</c:v>
                </c:pt>
                <c:pt idx="27">
                  <c:v>0.94035304926266194</c:v>
                </c:pt>
              </c:numCache>
            </c:numRef>
          </c:yVal>
          <c:smooth val="1"/>
        </c:ser>
        <c:ser>
          <c:idx val="2"/>
          <c:order val="2"/>
          <c:tx>
            <c:strRef>
              <c:f>Parameter!$S$74</c:f>
              <c:strCache>
                <c:ptCount val="1"/>
                <c:pt idx="0">
                  <c:v>IE2 (Eff1)</c:v>
                </c:pt>
              </c:strCache>
            </c:strRef>
          </c:tx>
          <c:spPr>
            <a:ln w="19050" cap="rnd">
              <a:solidFill>
                <a:schemeClr val="accent3"/>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Parameter!$S$75:$S$102</c:f>
              <c:numCache>
                <c:formatCode>0.0%</c:formatCode>
                <c:ptCount val="28"/>
                <c:pt idx="0">
                  <c:v>0.56114199999999992</c:v>
                </c:pt>
                <c:pt idx="1">
                  <c:v>0.61480274461275497</c:v>
                </c:pt>
                <c:pt idx="2">
                  <c:v>0.65938037170295261</c:v>
                </c:pt>
                <c:pt idx="3">
                  <c:v>0.69840924425755591</c:v>
                </c:pt>
                <c:pt idx="4">
                  <c:v>0.73542372526352717</c:v>
                </c:pt>
                <c:pt idx="5">
                  <c:v>0.77395817770782971</c:v>
                </c:pt>
                <c:pt idx="6">
                  <c:v>0.7994630669996059</c:v>
                </c:pt>
                <c:pt idx="7">
                  <c:v>0.81530182906536419</c:v>
                </c:pt>
                <c:pt idx="8">
                  <c:v>0.83027054425673685</c:v>
                </c:pt>
                <c:pt idx="9">
                  <c:v>0.84437490025663364</c:v>
                </c:pt>
                <c:pt idx="10">
                  <c:v>0.85762058474796476</c:v>
                </c:pt>
                <c:pt idx="11">
                  <c:v>0.87001328541363987</c:v>
                </c:pt>
                <c:pt idx="12">
                  <c:v>0.88155868993656927</c:v>
                </c:pt>
                <c:pt idx="13">
                  <c:v>0.89226248599966251</c:v>
                </c:pt>
                <c:pt idx="14">
                  <c:v>0.9021303612858298</c:v>
                </c:pt>
                <c:pt idx="15">
                  <c:v>0.91116800347798099</c:v>
                </c:pt>
                <c:pt idx="16">
                  <c:v>0.9193811002590262</c:v>
                </c:pt>
                <c:pt idx="17">
                  <c:v>0.92677533931187495</c:v>
                </c:pt>
                <c:pt idx="18">
                  <c:v>0.93335640831943767</c:v>
                </c:pt>
                <c:pt idx="19">
                  <c:v>0.9391299949646239</c:v>
                </c:pt>
                <c:pt idx="20">
                  <c:v>0.94410178693034397</c:v>
                </c:pt>
                <c:pt idx="21">
                  <c:v>0.9482774718995074</c:v>
                </c:pt>
                <c:pt idx="22">
                  <c:v>0.95145615630824065</c:v>
                </c:pt>
                <c:pt idx="23">
                  <c:v>0.95145615630824065</c:v>
                </c:pt>
                <c:pt idx="24">
                  <c:v>0.95145615630824065</c:v>
                </c:pt>
                <c:pt idx="25">
                  <c:v>0.95145615630824065</c:v>
                </c:pt>
                <c:pt idx="26">
                  <c:v>0.95145615630824065</c:v>
                </c:pt>
                <c:pt idx="27">
                  <c:v>0.95145615630824065</c:v>
                </c:pt>
              </c:numCache>
            </c:numRef>
          </c:yVal>
          <c:smooth val="1"/>
        </c:ser>
        <c:ser>
          <c:idx val="3"/>
          <c:order val="3"/>
          <c:tx>
            <c:strRef>
              <c:f>Parameter!$T$74</c:f>
              <c:strCache>
                <c:ptCount val="1"/>
                <c:pt idx="0">
                  <c:v>IE3</c:v>
                </c:pt>
              </c:strCache>
            </c:strRef>
          </c:tx>
          <c:spPr>
            <a:ln w="19050" cap="rnd">
              <a:solidFill>
                <a:schemeClr val="accent4"/>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Parameter!$T$75:$T$102</c:f>
              <c:numCache>
                <c:formatCode>0.0%</c:formatCode>
                <c:ptCount val="28"/>
                <c:pt idx="0">
                  <c:v>0.62197500000000006</c:v>
                </c:pt>
                <c:pt idx="1">
                  <c:v>0.66984040979095394</c:v>
                </c:pt>
                <c:pt idx="2">
                  <c:v>0.71107459643448478</c:v>
                </c:pt>
                <c:pt idx="3">
                  <c:v>0.74723974955746886</c:v>
                </c:pt>
                <c:pt idx="4">
                  <c:v>0.77989805878678264</c:v>
                </c:pt>
                <c:pt idx="5">
                  <c:v>0.81061171374930252</c:v>
                </c:pt>
                <c:pt idx="6">
                  <c:v>0.82783523654005475</c:v>
                </c:pt>
                <c:pt idx="7">
                  <c:v>0.84195506938452369</c:v>
                </c:pt>
                <c:pt idx="8">
                  <c:v>0.85522187376791781</c:v>
                </c:pt>
                <c:pt idx="9">
                  <c:v>0.86765146472221322</c:v>
                </c:pt>
                <c:pt idx="10">
                  <c:v>0.87925965727938615</c:v>
                </c:pt>
                <c:pt idx="11">
                  <c:v>0.89006226647141273</c:v>
                </c:pt>
                <c:pt idx="12">
                  <c:v>0.9000751073302693</c:v>
                </c:pt>
                <c:pt idx="13">
                  <c:v>0.90931399488793219</c:v>
                </c:pt>
                <c:pt idx="14">
                  <c:v>0.91779474417637719</c:v>
                </c:pt>
                <c:pt idx="15">
                  <c:v>0.92553317022758075</c:v>
                </c:pt>
                <c:pt idx="16">
                  <c:v>0.93254508807351921</c:v>
                </c:pt>
                <c:pt idx="17">
                  <c:v>0.9388463127461687</c:v>
                </c:pt>
                <c:pt idx="18">
                  <c:v>0.94445265927750521</c:v>
                </c:pt>
                <c:pt idx="19">
                  <c:v>0.94937994269950521</c:v>
                </c:pt>
                <c:pt idx="20">
                  <c:v>0.9536439780441448</c:v>
                </c:pt>
                <c:pt idx="21">
                  <c:v>0.95726058034340022</c:v>
                </c:pt>
                <c:pt idx="22">
                  <c:v>0.96006110569329095</c:v>
                </c:pt>
                <c:pt idx="23">
                  <c:v>0.96006110569329095</c:v>
                </c:pt>
                <c:pt idx="24">
                  <c:v>0.96006110569329095</c:v>
                </c:pt>
                <c:pt idx="25">
                  <c:v>0.96006110569329095</c:v>
                </c:pt>
                <c:pt idx="26">
                  <c:v>0.96006110569329095</c:v>
                </c:pt>
                <c:pt idx="27">
                  <c:v>0.96006110569329095</c:v>
                </c:pt>
              </c:numCache>
            </c:numRef>
          </c:yVal>
          <c:smooth val="1"/>
        </c:ser>
        <c:ser>
          <c:idx val="4"/>
          <c:order val="4"/>
          <c:tx>
            <c:strRef>
              <c:f>Parameter!$U$74</c:f>
              <c:strCache>
                <c:ptCount val="1"/>
                <c:pt idx="0">
                  <c:v>IE4</c:v>
                </c:pt>
              </c:strCache>
            </c:strRef>
          </c:tx>
          <c:spPr>
            <a:ln w="19050" cap="rnd">
              <a:solidFill>
                <a:schemeClr val="accent5"/>
              </a:solidFill>
              <a:round/>
            </a:ln>
            <a:effectLst/>
          </c:spPr>
          <c:marker>
            <c:symbol val="none"/>
          </c:marker>
          <c:xVal>
            <c:numRef>
              <c:f>Parameter!$N$75:$N$102</c:f>
              <c:numCache>
                <c:formatCode>General</c:formatCode>
                <c:ptCount val="28"/>
                <c:pt idx="0">
                  <c:v>0.1</c:v>
                </c:pt>
                <c:pt idx="1">
                  <c:v>0.14142135623730953</c:v>
                </c:pt>
                <c:pt idx="2">
                  <c:v>0.20000000000000004</c:v>
                </c:pt>
                <c:pt idx="3">
                  <c:v>0.28284271247461906</c:v>
                </c:pt>
                <c:pt idx="4">
                  <c:v>0.40000000000000008</c:v>
                </c:pt>
                <c:pt idx="5">
                  <c:v>0.56568542494923812</c:v>
                </c:pt>
                <c:pt idx="6">
                  <c:v>0.80000000000000016</c:v>
                </c:pt>
                <c:pt idx="7">
                  <c:v>1.1313708498984762</c:v>
                </c:pt>
                <c:pt idx="8">
                  <c:v>1.6000000000000003</c:v>
                </c:pt>
                <c:pt idx="9">
                  <c:v>2.2627416997969525</c:v>
                </c:pt>
                <c:pt idx="10">
                  <c:v>3.2000000000000006</c:v>
                </c:pt>
                <c:pt idx="11">
                  <c:v>4.525483399593905</c:v>
                </c:pt>
                <c:pt idx="12">
                  <c:v>6.4000000000000012</c:v>
                </c:pt>
                <c:pt idx="13">
                  <c:v>9.05096679918781</c:v>
                </c:pt>
                <c:pt idx="14">
                  <c:v>12.800000000000002</c:v>
                </c:pt>
                <c:pt idx="15">
                  <c:v>18.10193359837562</c:v>
                </c:pt>
                <c:pt idx="16">
                  <c:v>25.600000000000005</c:v>
                </c:pt>
                <c:pt idx="17">
                  <c:v>36.20386719675124</c:v>
                </c:pt>
                <c:pt idx="18">
                  <c:v>51.20000000000001</c:v>
                </c:pt>
                <c:pt idx="19">
                  <c:v>72.40773439350248</c:v>
                </c:pt>
                <c:pt idx="20">
                  <c:v>102.40000000000002</c:v>
                </c:pt>
                <c:pt idx="21">
                  <c:v>144.81546878700496</c:v>
                </c:pt>
                <c:pt idx="22">
                  <c:v>204.80000000000004</c:v>
                </c:pt>
                <c:pt idx="23">
                  <c:v>289.63093757400992</c:v>
                </c:pt>
                <c:pt idx="24">
                  <c:v>409.60000000000008</c:v>
                </c:pt>
                <c:pt idx="25">
                  <c:v>579.26187514801984</c:v>
                </c:pt>
                <c:pt idx="26">
                  <c:v>819.20000000000016</c:v>
                </c:pt>
                <c:pt idx="27">
                  <c:v>1158.5237502960397</c:v>
                </c:pt>
              </c:numCache>
            </c:numRef>
          </c:xVal>
          <c:yVal>
            <c:numRef>
              <c:f>Parameter!$U$75:$U$102</c:f>
              <c:numCache>
                <c:formatCode>0.0%</c:formatCode>
                <c:ptCount val="28"/>
                <c:pt idx="0">
                  <c:v>0.67248500000000011</c:v>
                </c:pt>
                <c:pt idx="1">
                  <c:v>0.71964180385151311</c:v>
                </c:pt>
                <c:pt idx="2">
                  <c:v>0.75828051925096185</c:v>
                </c:pt>
                <c:pt idx="3">
                  <c:v>0.7901262736190886</c:v>
                </c:pt>
                <c:pt idx="4">
                  <c:v>0.81690419437663597</c:v>
                </c:pt>
                <c:pt idx="5">
                  <c:v>0.84033940894434633</c:v>
                </c:pt>
                <c:pt idx="6">
                  <c:v>0.85991206932794739</c:v>
                </c:pt>
                <c:pt idx="7">
                  <c:v>0.87278101109158213</c:v>
                </c:pt>
                <c:pt idx="8">
                  <c:v>0.88459786040824639</c:v>
                </c:pt>
                <c:pt idx="9">
                  <c:v>0.89541196508793564</c:v>
                </c:pt>
                <c:pt idx="10">
                  <c:v>0.9052726729406454</c:v>
                </c:pt>
                <c:pt idx="11">
                  <c:v>0.91422933177637167</c:v>
                </c:pt>
                <c:pt idx="12">
                  <c:v>0.92233128940510956</c:v>
                </c:pt>
                <c:pt idx="13">
                  <c:v>0.92962789363685505</c:v>
                </c:pt>
                <c:pt idx="14">
                  <c:v>0.93616849228160348</c:v>
                </c:pt>
                <c:pt idx="15">
                  <c:v>0.94200243314935084</c:v>
                </c:pt>
                <c:pt idx="16">
                  <c:v>0.94717906405009245</c:v>
                </c:pt>
                <c:pt idx="17">
                  <c:v>0.95174773279382407</c:v>
                </c:pt>
                <c:pt idx="18">
                  <c:v>0.95575778719054139</c:v>
                </c:pt>
                <c:pt idx="19">
                  <c:v>0.95925857505023981</c:v>
                </c:pt>
                <c:pt idx="20">
                  <c:v>0.96229944418291524</c:v>
                </c:pt>
                <c:pt idx="21">
                  <c:v>0.964929742398563</c:v>
                </c:pt>
                <c:pt idx="22">
                  <c:v>0.96705404244119875</c:v>
                </c:pt>
                <c:pt idx="23">
                  <c:v>0.96705404244119875</c:v>
                </c:pt>
                <c:pt idx="24">
                  <c:v>0.96705404244119875</c:v>
                </c:pt>
                <c:pt idx="25">
                  <c:v>0.96705404244119875</c:v>
                </c:pt>
                <c:pt idx="26">
                  <c:v>0.96705404244119875</c:v>
                </c:pt>
                <c:pt idx="27">
                  <c:v>0.96705404244119875</c:v>
                </c:pt>
              </c:numCache>
            </c:numRef>
          </c:yVal>
          <c:smooth val="1"/>
        </c:ser>
        <c:dLbls>
          <c:showLegendKey val="0"/>
          <c:showVal val="0"/>
          <c:showCatName val="0"/>
          <c:showSerName val="0"/>
          <c:showPercent val="0"/>
          <c:showBubbleSize val="0"/>
        </c:dLbls>
        <c:axId val="416105432"/>
        <c:axId val="416102688"/>
      </c:scatterChart>
      <c:valAx>
        <c:axId val="416105432"/>
        <c:scaling>
          <c:logBase val="10"/>
          <c:orientation val="minMax"/>
          <c:max val="10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16102688"/>
        <c:crosses val="autoZero"/>
        <c:crossBetween val="midCat"/>
      </c:valAx>
      <c:valAx>
        <c:axId val="416102688"/>
        <c:scaling>
          <c:orientation val="minMax"/>
          <c:max val="1"/>
          <c:min val="0.4"/>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16105432"/>
        <c:crossesAt val="0.1"/>
        <c:crossBetween val="midCat"/>
        <c:majorUnit val="0.1"/>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1049528</xdr:colOff>
      <xdr:row>2</xdr:row>
      <xdr:rowOff>72136</xdr:rowOff>
    </xdr:to>
    <xdr:pic>
      <xdr:nvPicPr>
        <xdr:cNvPr id="2" name="Bild 1" descr="Kopfzeile_Excel.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98218" cy="434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xdr:colOff>
      <xdr:row>103</xdr:row>
      <xdr:rowOff>28575</xdr:rowOff>
    </xdr:from>
    <xdr:to>
      <xdr:col>24</xdr:col>
      <xdr:colOff>809625</xdr:colOff>
      <xdr:row>129</xdr:row>
      <xdr:rowOff>66675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1044448</xdr:colOff>
      <xdr:row>2</xdr:row>
      <xdr:rowOff>72136</xdr:rowOff>
    </xdr:to>
    <xdr:pic>
      <xdr:nvPicPr>
        <xdr:cNvPr id="2" name="Bild 1" descr="Kopfzeile_Excel.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8218" cy="434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1049528</xdr:colOff>
      <xdr:row>2</xdr:row>
      <xdr:rowOff>72136</xdr:rowOff>
    </xdr:to>
    <xdr:pic>
      <xdr:nvPicPr>
        <xdr:cNvPr id="2" name="Bild 1" descr="Kopfzeile_Excel.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02028" cy="4340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xdr:colOff>
      <xdr:row>1</xdr:row>
      <xdr:rowOff>38100</xdr:rowOff>
    </xdr:from>
    <xdr:to>
      <xdr:col>5</xdr:col>
      <xdr:colOff>381000</xdr:colOff>
      <xdr:row>2</xdr:row>
      <xdr:rowOff>158750</xdr:rowOff>
    </xdr:to>
    <xdr:sp macro="[0]!Tool_schuetzen_etc" textlink="">
      <xdr:nvSpPr>
        <xdr:cNvPr id="2" name="Abgerundetes Rechteck 1"/>
        <xdr:cNvSpPr/>
      </xdr:nvSpPr>
      <xdr:spPr>
        <a:xfrm>
          <a:off x="2565400" y="266700"/>
          <a:ext cx="1949450" cy="298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a:t>Ausblenden, schützen, etc.</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neosys.ch?subject=ProEPA-Tool" TargetMode="External"/><Relationship Id="rId1" Type="http://schemas.openxmlformats.org/officeDocument/2006/relationships/hyperlink" Target="http://www.pumpind.ch/"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info@neosys.ch" TargetMode="External"/><Relationship Id="rId1" Type="http://schemas.openxmlformats.org/officeDocument/2006/relationships/hyperlink" Target="http://www.pumpind.ch/" TargetMode="External"/><Relationship Id="rId4"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info@neosys.ch" TargetMode="External"/><Relationship Id="rId1" Type="http://schemas.openxmlformats.org/officeDocument/2006/relationships/hyperlink" Target="http://www.pumpind.ch/" TargetMode="External"/><Relationship Id="rId4"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mailto:info@effiziente-pumpen.ch%20anstelle%20von%20pers%C3%B6nliche%20Adresse%20von%20A.%20Gontarz"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info@proepa.ch?subject=Kontakt%20via%20ProEPA-Tool"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hyperlink" Target="https://www.strompreis.elcom.admin.ch/" TargetMode="Externa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203"/>
  <sheetViews>
    <sheetView tabSelected="1" topLeftCell="A73" zoomScaleNormal="100" zoomScalePageLayoutView="125" workbookViewId="0">
      <selection activeCell="B88" sqref="B88"/>
    </sheetView>
  </sheetViews>
  <sheetFormatPr baseColWidth="10" defaultRowHeight="14.25" x14ac:dyDescent="0.2"/>
  <cols>
    <col min="1" max="1" width="12.5" customWidth="1"/>
    <col min="2" max="2" width="91.125" customWidth="1"/>
  </cols>
  <sheetData>
    <row r="1" spans="1:7" x14ac:dyDescent="0.2">
      <c r="A1" s="419"/>
      <c r="B1" s="419"/>
      <c r="C1" s="94"/>
      <c r="D1" s="94" t="s">
        <v>74</v>
      </c>
      <c r="E1" s="94" t="s">
        <v>75</v>
      </c>
      <c r="F1" s="94" t="s">
        <v>76</v>
      </c>
      <c r="G1" s="94" t="s">
        <v>77</v>
      </c>
    </row>
    <row r="2" spans="1:7" x14ac:dyDescent="0.2">
      <c r="A2" s="419"/>
      <c r="B2" s="419"/>
      <c r="C2" s="94"/>
      <c r="D2" s="94"/>
      <c r="E2" s="94"/>
      <c r="F2" s="94"/>
      <c r="G2" s="94"/>
    </row>
    <row r="3" spans="1:7" x14ac:dyDescent="0.2">
      <c r="A3" s="419"/>
      <c r="B3" s="419"/>
      <c r="C3" s="94"/>
      <c r="D3" s="94"/>
      <c r="E3" s="94"/>
      <c r="F3" s="94"/>
      <c r="G3" s="94"/>
    </row>
    <row r="4" spans="1:7" x14ac:dyDescent="0.2">
      <c r="A4" s="147"/>
      <c r="C4" s="94"/>
      <c r="D4" s="94"/>
      <c r="E4" s="94"/>
      <c r="F4" s="94"/>
      <c r="G4" s="94"/>
    </row>
    <row r="5" spans="1:7" x14ac:dyDescent="0.2">
      <c r="A5" s="147"/>
      <c r="B5" s="147"/>
      <c r="C5" s="94"/>
      <c r="D5" s="94"/>
      <c r="E5" s="94"/>
      <c r="F5" s="94"/>
      <c r="G5" s="94"/>
    </row>
    <row r="6" spans="1:7" ht="15" x14ac:dyDescent="0.25">
      <c r="A6" s="336" t="str">
        <f ca="1">INDIRECT(CONCATENATE(VLOOKUP(Parameter_Sprache,Matrix_Sprache.ID.Anleitungsblatt,3,FALSE),"!",D$1,$C6))</f>
        <v>Programme d'optimisation énergétique des installations de pompage (ProEPA)</v>
      </c>
      <c r="B6" s="147"/>
      <c r="C6" s="94">
        <v>6</v>
      </c>
      <c r="D6" s="94"/>
      <c r="E6" s="94"/>
      <c r="F6" s="94"/>
      <c r="G6" s="94"/>
    </row>
    <row r="7" spans="1:7" ht="20.25" x14ac:dyDescent="0.3">
      <c r="A7" s="337" t="str">
        <f ca="1">INDIRECT(CONCATENATE(VLOOKUP(Parameter_Sprache,Matrix_Sprache.ID.Anleitungsblatt,3,FALSE),"!",D$1,$C7))</f>
        <v xml:space="preserve"> Fonctionnement de l'outil en deux étapes pour l'analyse grossière </v>
      </c>
      <c r="B7" s="147"/>
      <c r="C7" s="94">
        <f>C6+1</f>
        <v>7</v>
      </c>
    </row>
    <row r="8" spans="1:7" ht="20.25" x14ac:dyDescent="0.3">
      <c r="A8" s="337" t="str">
        <f ca="1">INDIRECT(CONCATENATE(VLOOKUP(Parameter_Sprache,Matrix_Sprache.ID.Anleitungsblatt,3,FALSE),"!",D$1,$C8))</f>
        <v>1. Objet</v>
      </c>
      <c r="B8" s="147"/>
      <c r="C8" s="94">
        <f t="shared" ref="C8:C71" si="0">C7+1</f>
        <v>8</v>
      </c>
    </row>
    <row r="9" spans="1:7" ht="57.75" customHeight="1" x14ac:dyDescent="0.2">
      <c r="A9" s="147"/>
      <c r="B9" s="338" t="str">
        <f t="shared" ref="B9:B15" ca="1" si="1">INDIRECT(CONCATENATE(VLOOKUP(Parameter_Sprache,Matrix_Sprache.ID.Anleitungsblatt,3,FALSE),"!",E$1,$C9))</f>
        <v>Cet outil d'analyse sert à identifier dans un établissement industriel ou une usine, en y consacrant le moins de temps possible, les pompes ayant le plus gros potentiel d'économie d'énergie. L'outil a été développé pour les pompes à rotor sec et n'est pas particulièrement approprié pour l'estimation du potentiel d'économie d'énergie des circulateurs à rotor noyé.</v>
      </c>
      <c r="C9" s="94">
        <f t="shared" si="0"/>
        <v>9</v>
      </c>
    </row>
    <row r="10" spans="1:7" ht="28.5" x14ac:dyDescent="0.2">
      <c r="A10" s="147"/>
      <c r="B10" s="338" t="str">
        <f t="shared" ca="1" si="1"/>
        <v xml:space="preserve">L'outil a été délibérément conçu sous forme d'un simple tableau Excel. Il est ainsi possible, par exemple, d'y "coller" des données figurant dans des listes déjà existantes. </v>
      </c>
      <c r="C10" s="94">
        <f t="shared" si="0"/>
        <v>10</v>
      </c>
    </row>
    <row r="11" spans="1:7" ht="28.5" x14ac:dyDescent="0.2">
      <c r="A11" s="147"/>
      <c r="B11" s="338" t="str">
        <f t="shared" ca="1" si="1"/>
        <v xml:space="preserve">Pour pouvoir effectuer l'analyse le plus efficacement possible, l'outil est divisé en deux parties. Seules trois données essentielles par pompe sont enregistrées lors de l'étape 1: puissance, temps de marche et âge. </v>
      </c>
      <c r="C11" s="94">
        <f t="shared" si="0"/>
        <v>11</v>
      </c>
    </row>
    <row r="12" spans="1:7" ht="28.5" x14ac:dyDescent="0.2">
      <c r="A12" s="147"/>
      <c r="B12" s="338" t="str">
        <f t="shared" ca="1" si="1"/>
        <v>Le relevé des données prend du temps. C'est cependant le seul moyen pour avoir une bonne vue d'ensemble et détecter les potentiels d'économie significatifs.</v>
      </c>
      <c r="C12" s="94">
        <f t="shared" si="0"/>
        <v>12</v>
      </c>
    </row>
    <row r="13" spans="1:7" ht="56.1" customHeight="1" x14ac:dyDescent="0.2">
      <c r="A13" s="147"/>
      <c r="B13" s="338" t="str">
        <f t="shared" ca="1" si="1"/>
        <v xml:space="preserve">L'étape 2 concerne uniquement les pompes pour lesquelles l'étape 1 permet de présumer un important potentiel d'économie. Pour calculer plus précisément ce potentiel, des indications supplémentaires sur le fonctionnement doivent être recueillies. Les données nécessaires sont alors choisies de façon qu'une entreprise puisse les renseigner en y consacrant un temps raisonnable. </v>
      </c>
      <c r="C13" s="94">
        <f t="shared" si="0"/>
        <v>13</v>
      </c>
    </row>
    <row r="14" spans="1:7" ht="42.75" x14ac:dyDescent="0.2">
      <c r="A14" s="147"/>
      <c r="B14" s="338" t="str">
        <f t="shared" ca="1" si="1"/>
        <v xml:space="preserve">Pour finir, la feuille de résultats indique les pompes ayant le plus gros potentiel d'économie d'énergie, exprimé en kWh et en CHF. Elle indique en outre où une analyse fine sur place est recommandée afin d'évaluer plus précisément ce potentiel. </v>
      </c>
      <c r="C14" s="94">
        <f t="shared" si="0"/>
        <v>14</v>
      </c>
    </row>
    <row r="15" spans="1:7" ht="28.5" x14ac:dyDescent="0.2">
      <c r="A15" s="147"/>
      <c r="B15" s="338" t="str">
        <f t="shared" ca="1" si="1"/>
        <v>Les récapitulatifs vous indiquent le nombre de pompes et les potentiels d'économie d'énergie cumulés, en kWh et en CHF, pour les trois catégories de fort potentiel, potentiel moyen et faible potentiel.</v>
      </c>
      <c r="C15" s="94">
        <f t="shared" si="0"/>
        <v>15</v>
      </c>
    </row>
    <row r="16" spans="1:7" x14ac:dyDescent="0.2">
      <c r="A16" s="147"/>
      <c r="B16" s="147"/>
      <c r="C16" s="94">
        <f t="shared" si="0"/>
        <v>16</v>
      </c>
    </row>
    <row r="17" spans="1:3" ht="18" x14ac:dyDescent="0.25">
      <c r="A17" s="339" t="str">
        <f ca="1">INDIRECT(CONCATENATE(VLOOKUP(Parameter_Sprache,Matrix_Sprache.ID.Anleitungsblatt,3,FALSE),"!",D$1,$C17))</f>
        <v>2. Marche à suivre</v>
      </c>
      <c r="B17" s="147"/>
      <c r="C17" s="94">
        <f t="shared" si="0"/>
        <v>17</v>
      </c>
    </row>
    <row r="18" spans="1:3" ht="15" x14ac:dyDescent="0.25">
      <c r="A18" s="336" t="str">
        <f ca="1">INDIRECT(CONCATENATE(VLOOKUP(Parameter_Sprache,Matrix_Sprache.ID.Anleitungsblatt,3,FALSE),"!",D$1,$C18))</f>
        <v xml:space="preserve">Les champs du document Excel sont marqués en couleur et ont la signification suivante: </v>
      </c>
      <c r="B18" s="147"/>
      <c r="C18" s="94">
        <f t="shared" si="0"/>
        <v>18</v>
      </c>
    </row>
    <row r="19" spans="1:3" x14ac:dyDescent="0.2">
      <c r="A19" s="340" t="str">
        <f ca="1">INDIRECT(CONCATENATE(VLOOKUP(Parameter_Sprache,Matrix_Sprache.ID.Anleitungsblatt,3,FALSE),"!",D$1,$C19))</f>
        <v>jaune</v>
      </c>
      <c r="B19" s="147" t="str">
        <f ca="1">INDIRECT(CONCATENATE(VLOOKUP(Parameter_Sprache,Matrix_Sprache.ID.Anleitungsblatt,3,FALSE),"!",E$1,$C19))</f>
        <v xml:space="preserve">Saisies </v>
      </c>
      <c r="C19" s="94">
        <f t="shared" si="0"/>
        <v>19</v>
      </c>
    </row>
    <row r="20" spans="1:3" x14ac:dyDescent="0.2">
      <c r="A20" s="341" t="str">
        <f ca="1">INDIRECT(CONCATENATE(VLOOKUP(Parameter_Sprache,Matrix_Sprache.ID.Anleitungsblatt,3,FALSE),"!",D$1,$C20))</f>
        <v>jaune clair</v>
      </c>
      <c r="B20" s="147" t="str">
        <f ca="1">INDIRECT(CONCATENATE(VLOOKUP(Parameter_Sprache,Matrix_Sprache.ID.Anleitungsblatt,3,FALSE),"!",E$1,$C20))</f>
        <v xml:space="preserve">Valeurs standard disponibles, mais pouvant être écrasées </v>
      </c>
      <c r="C20" s="94">
        <f t="shared" si="0"/>
        <v>20</v>
      </c>
    </row>
    <row r="21" spans="1:3" x14ac:dyDescent="0.2">
      <c r="A21" s="147" t="str">
        <f ca="1">INDIRECT(CONCATENATE(VLOOKUP(Parameter_Sprache,Matrix_Sprache.ID.Anleitungsblatt,3,FALSE),"!",D$1,$C21))</f>
        <v>blanc</v>
      </c>
      <c r="B21" s="147" t="str">
        <f ca="1">INDIRECT(CONCATENATE(VLOOKUP(Parameter_Sprache,Matrix_Sprache.ID.Anleitungsblatt,3,FALSE),"!",E$1,$C21))</f>
        <v>Calculs de l'outil</v>
      </c>
      <c r="C21" s="94">
        <f t="shared" si="0"/>
        <v>21</v>
      </c>
    </row>
    <row r="22" spans="1:3" x14ac:dyDescent="0.2">
      <c r="A22" s="147"/>
      <c r="B22" s="147"/>
      <c r="C22" s="94">
        <f t="shared" si="0"/>
        <v>22</v>
      </c>
    </row>
    <row r="23" spans="1:3" x14ac:dyDescent="0.2">
      <c r="A23" s="147"/>
      <c r="B23" s="147" t="str">
        <f t="shared" ref="B23:B28" ca="1" si="2">INDIRECT(CONCATENATE(VLOOKUP(Parameter_Sprache,Matrix_Sprache.ID.Anleitungsblatt,3,FALSE),"!",E$1,$C23))</f>
        <v>Saisissez uniquement les principales caractéristiques de vos pompes dans l'étape 1.</v>
      </c>
      <c r="C23" s="94">
        <f t="shared" si="0"/>
        <v>23</v>
      </c>
    </row>
    <row r="24" spans="1:3" x14ac:dyDescent="0.2">
      <c r="A24" s="147"/>
      <c r="B24" s="147" t="str">
        <f t="shared" ca="1" si="2"/>
        <v xml:space="preserve">Sur cette base, l'outil d'analyse sélectionne les pompes présentant un potentiel d'économie d'énergie. </v>
      </c>
      <c r="C24" s="94">
        <f t="shared" si="0"/>
        <v>24</v>
      </c>
    </row>
    <row r="25" spans="1:3" x14ac:dyDescent="0.2">
      <c r="A25" s="147"/>
      <c r="B25" s="147" t="str">
        <f t="shared" ca="1" si="2"/>
        <v xml:space="preserve">Des indications supplémentaires concernant les pompes sélectionnées sont nécessaires dans l'étape 2. </v>
      </c>
      <c r="C25" s="94">
        <f t="shared" si="0"/>
        <v>25</v>
      </c>
    </row>
    <row r="26" spans="1:3" x14ac:dyDescent="0.2">
      <c r="A26" s="147"/>
      <c r="B26" s="338" t="str">
        <f t="shared" ca="1" si="2"/>
        <v>L'outil vous indique alors les économies estimées (énergie et CHF) sur la feuille "Résultats".</v>
      </c>
      <c r="C26" s="94">
        <f t="shared" si="0"/>
        <v>26</v>
      </c>
    </row>
    <row r="27" spans="1:3" x14ac:dyDescent="0.2">
      <c r="A27" s="147"/>
      <c r="B27" s="338" t="str">
        <f t="shared" ca="1" si="2"/>
        <v xml:space="preserve">Un récapitulatif vous fournit un aperçu des économies possibles pour l'ensemble des pompes de votre usine. </v>
      </c>
      <c r="C27" s="94">
        <f t="shared" si="0"/>
        <v>27</v>
      </c>
    </row>
    <row r="28" spans="1:3" x14ac:dyDescent="0.2">
      <c r="A28" s="147"/>
      <c r="B28" s="147" t="str">
        <f t="shared" ca="1" si="2"/>
        <v>Vous pouvez saisir vos propres indications complémentaires sur la feuille "Notes personnelles".</v>
      </c>
      <c r="C28" s="94">
        <f t="shared" si="0"/>
        <v>28</v>
      </c>
    </row>
    <row r="29" spans="1:3" x14ac:dyDescent="0.2">
      <c r="A29" s="147"/>
      <c r="B29" s="147"/>
      <c r="C29" s="94">
        <f t="shared" si="0"/>
        <v>29</v>
      </c>
    </row>
    <row r="30" spans="1:3" ht="15" x14ac:dyDescent="0.25">
      <c r="A30" s="336" t="str">
        <f ca="1">INDIRECT(CONCATENATE(VLOOKUP(Parameter_Sprache,Matrix_Sprache.ID.Anleitungsblatt,3,FALSE),"!",D$1,$C30))</f>
        <v>2.1 Marche à suivre pour l'étape 1 de l'analyse grossière</v>
      </c>
      <c r="B30" s="338"/>
      <c r="C30" s="94">
        <f t="shared" si="0"/>
        <v>30</v>
      </c>
    </row>
    <row r="31" spans="1:3" ht="43.5" customHeight="1" x14ac:dyDescent="0.2">
      <c r="A31" s="147"/>
      <c r="B31" s="403" t="str">
        <f ca="1">INDIRECT(CONCATENATE(VLOOKUP(Parameter_Sprache,Matrix_Sprache.ID.Anleitungsblatt,3,FALSE),"!",E$1,$C31))</f>
        <v xml:space="preserve">Vous pouvez effectuer vos propres saisies dans le champ "Entreprise (nom, adresse, responsable, etc.)" afin que les données puissent être correctement classées ultérieurement (par ex. sur un document imprimé). La saisie est reproduite sur chaque page. </v>
      </c>
      <c r="C31" s="94">
        <f t="shared" si="0"/>
        <v>31</v>
      </c>
    </row>
    <row r="32" spans="1:3" ht="56.45" customHeight="1" x14ac:dyDescent="0.2">
      <c r="A32" s="147"/>
      <c r="B32" s="403" t="str">
        <f ca="1">INDIRECT(CONCATENATE(VLOOKUP(Parameter_Sprache,Matrix_Sprache.ID.Anleitungsblatt,3,FALSE),"!",E$1,$C32))</f>
        <v xml:space="preserve">Au cours de l'étape 1, dans la mesure du possible, toutes les pompes doivent être saisies, mais seulement trois de leurs caractéristiques. Si des listes de pompes sont déjà disponibles, celles-ci peuvent facilement être copiées dans l'outil d'analyse. Vous disposez pour cela de trois colonnes qui vous permettent également d'ajouter vos propres désignations. </v>
      </c>
      <c r="C32" s="94">
        <f t="shared" si="0"/>
        <v>32</v>
      </c>
    </row>
    <row r="33" spans="1:3" x14ac:dyDescent="0.2">
      <c r="A33" s="147" t="str">
        <f ca="1">INDIRECT(CONCATENATE(VLOOKUP(Parameter_Sprache,Matrix_Sprache.ID.Anleitungsblatt,3,FALSE),"!",D$1,$C33))</f>
        <v xml:space="preserve">Les caractéristiques suivantes doivent être saisies pour chaque pompe: </v>
      </c>
      <c r="B33" s="338"/>
      <c r="C33" s="94">
        <f t="shared" si="0"/>
        <v>33</v>
      </c>
    </row>
    <row r="34" spans="1:3" x14ac:dyDescent="0.2">
      <c r="A34" s="342" t="str">
        <f ca="1">INDIRECT(CONCATENATE(VLOOKUP(Parameter_Sprache,Matrix_Sprache.ID.Anleitungsblatt,3,FALSE),"!",D$1,$C34))</f>
        <v>1.)</v>
      </c>
      <c r="B34" s="343" t="str">
        <f ca="1">INDIRECT(CONCATENATE(VLOOKUP(Parameter_Sprache,Matrix_Sprache.ID.Anleitungsblatt,3,FALSE),"!",E$1,$C34))</f>
        <v>Puissance électrique: telle qu'elle figure sur la plaque signalétique ou dans les documents relatifs à la pompe.</v>
      </c>
      <c r="C34" s="94">
        <f t="shared" si="0"/>
        <v>34</v>
      </c>
    </row>
    <row r="35" spans="1:3" ht="30" customHeight="1" x14ac:dyDescent="0.2">
      <c r="A35" s="342" t="str">
        <f ca="1">INDIRECT(CONCATENATE(VLOOKUP(Parameter_Sprache,Matrix_Sprache.ID.Anleitungsblatt,3,FALSE),"!",D$1,$C35))</f>
        <v>2.)</v>
      </c>
      <c r="B35" s="403" t="str">
        <f ca="1">INDIRECT(CONCATENATE(VLOOKUP(Parameter_Sprache,Matrix_Sprache.ID.Anleitungsblatt,3,FALSE),"!",E$1,$C35))</f>
        <v>Heures de marche: nombre total d'heures de marche par an, y compris en charge partielle (pas de conversion en heures de pleine charge).</v>
      </c>
      <c r="C35" s="94">
        <f t="shared" si="0"/>
        <v>35</v>
      </c>
    </row>
    <row r="36" spans="1:3" ht="28.5" x14ac:dyDescent="0.2">
      <c r="A36" s="342" t="str">
        <f ca="1">INDIRECT(CONCATENATE(VLOOKUP(Parameter_Sprache,Matrix_Sprache.ID.Anleitungsblatt,3,FALSE),"!",D$1,$C36))</f>
        <v>3.)</v>
      </c>
      <c r="B36" s="403" t="str">
        <f ca="1">INDIRECT(CONCATENATE(VLOOKUP(Parameter_Sprache,Matrix_Sprache.ID.Anleitungsblatt,3,FALSE),"!",E$1,$C36))</f>
        <v>Année de construction: se réfère à la pompe, telle qu'elle figure sur la plaque signalétique ou dans les documents d'achat ou d'après les indications/l'estimation de l'usine.</v>
      </c>
      <c r="C36" s="94">
        <f t="shared" si="0"/>
        <v>36</v>
      </c>
    </row>
    <row r="37" spans="1:3" ht="30.6" customHeight="1" x14ac:dyDescent="0.2">
      <c r="A37" s="342" t="str">
        <f ca="1">INDIRECT(CONCATENATE(VLOOKUP(Parameter_Sprache,Matrix_Sprache.ID.Anleitungsblatt,3,FALSE),"!",D$1,$C37))</f>
        <v>4.)</v>
      </c>
      <c r="B37" s="403" t="str">
        <f ca="1">INDIRECT(CONCATENATE(VLOOKUP(Parameter_Sprache,Matrix_Sprache.ID.Anleitungsblatt,3,FALSE),"!",E$1,$C37))</f>
        <v>Étape 2: oui/non: Sélectionnez "oui" si vous souhaitez impérativement analyser la pompe de manière plus précise dans l'étape 2.</v>
      </c>
      <c r="C37" s="94">
        <f t="shared" si="0"/>
        <v>37</v>
      </c>
    </row>
    <row r="38" spans="1:3" x14ac:dyDescent="0.2">
      <c r="A38" s="147"/>
      <c r="B38" s="343"/>
      <c r="C38" s="94">
        <f t="shared" si="0"/>
        <v>38</v>
      </c>
    </row>
    <row r="39" spans="1:3" ht="58.5" customHeight="1" x14ac:dyDescent="0.2">
      <c r="A39" s="147"/>
      <c r="B39" s="403" t="str">
        <f ca="1">INDIRECT(CONCATENATE(VLOOKUP(Parameter_Sprache,Matrix_Sprache.ID.Anleitungsblatt,3,FALSE),"!",E$1,$C39))</f>
        <v xml:space="preserve">Avec les indications fournies, l'outil d'analyse procède à une estimation grossière du potentiel d'économie et ne sélectionne pour l'étape 2 que les pompes présumées avoir un gros potentiel (pompes signalées par la mention "analyser plus en détail"). Les pompes pour lesquelles il existe éventuellement un potentiel ("analyser évtl. plus en détail") sont aussi reprises pour l'étape 2, surlignées en jaune. </v>
      </c>
      <c r="C39" s="94">
        <f t="shared" si="0"/>
        <v>39</v>
      </c>
    </row>
    <row r="40" spans="1:3" x14ac:dyDescent="0.2">
      <c r="A40" s="147"/>
      <c r="B40" s="147"/>
      <c r="C40" s="94">
        <f t="shared" si="0"/>
        <v>40</v>
      </c>
    </row>
    <row r="41" spans="1:3" ht="15" x14ac:dyDescent="0.25">
      <c r="A41" s="336" t="str">
        <f ca="1">INDIRECT(CONCATENATE(VLOOKUP(Parameter_Sprache,Matrix_Sprache.ID.Anleitungsblatt,3,FALSE),"!",D$1,$C41))</f>
        <v>2.2 Marche à suivre pour l'étape 2 de l'analyse grossière</v>
      </c>
      <c r="B41" s="147"/>
      <c r="C41" s="94">
        <f t="shared" si="0"/>
        <v>41</v>
      </c>
    </row>
    <row r="42" spans="1:3" x14ac:dyDescent="0.2">
      <c r="A42" s="147"/>
      <c r="B42" s="403" t="str">
        <f ca="1">INDIRECT(CONCATENATE(VLOOKUP(Parameter_Sprache,Matrix_Sprache.ID.Anleitungsblatt,3,FALSE),"!",E$1,$C42))</f>
        <v xml:space="preserve">Pour mieux évaluer le potentiel des pompes sélectionnées, d'autres renseignements sont nécessaires. </v>
      </c>
      <c r="C42" s="94">
        <f t="shared" si="0"/>
        <v>42</v>
      </c>
    </row>
    <row r="43" spans="1:3" ht="28.5" x14ac:dyDescent="0.2">
      <c r="A43" s="147"/>
      <c r="B43" s="403" t="str">
        <f ca="1">INDIRECT(CONCATENATE(VLOOKUP(Parameter_Sprache,Matrix_Sprache.ID.Anleitungsblatt,3,FALSE),"!",E$1,$C43))</f>
        <v xml:space="preserve">Le prix de l'électricité est important pour l'estimation des économies à réaliser. Ce calcul est effectué avec une valeur standard de 16 ct./kWh, mais celle-ci peut être saisie individuellement. </v>
      </c>
      <c r="C43" s="94">
        <f t="shared" si="0"/>
        <v>43</v>
      </c>
    </row>
    <row r="44" spans="1:3" ht="27.95" customHeight="1" x14ac:dyDescent="0.2">
      <c r="A44" s="147"/>
      <c r="B44" s="403" t="str">
        <f ca="1">INDIRECT(CONCATENATE(VLOOKUP(Parameter_Sprache,Matrix_Sprache.ID.Anleitungsblatt,3,FALSE),"!",E$1,$C44))</f>
        <v xml:space="preserve">L'ordre de la liste des pompes correspond à l'ordre dans lequel elles ont été saisies lors de l'étape 1. </v>
      </c>
      <c r="C44" s="94">
        <f t="shared" si="0"/>
        <v>44</v>
      </c>
    </row>
    <row r="45" spans="1:3" x14ac:dyDescent="0.2">
      <c r="A45" s="147"/>
      <c r="B45" s="147"/>
      <c r="C45" s="94">
        <f t="shared" si="0"/>
        <v>45</v>
      </c>
    </row>
    <row r="46" spans="1:3" ht="28.5" customHeight="1" x14ac:dyDescent="0.2">
      <c r="A46" s="420" t="str">
        <f t="shared" ref="A46:A51" ca="1" si="3">INDIRECT(CONCATENATE(VLOOKUP(Parameter_Sprache,Matrix_Sprache.ID.Anleitungsblatt,3,FALSE),"!",D$1,$C46))</f>
        <v xml:space="preserve">Pour l'étape 2, les caractéristiques suivantes de chaque pompe sont importantes. La valeur par défaut indique la valeur supposée en l'absence de saisie. </v>
      </c>
      <c r="B46" s="420"/>
      <c r="C46" s="94">
        <f t="shared" si="0"/>
        <v>46</v>
      </c>
    </row>
    <row r="47" spans="1:3" ht="72.599999999999994" customHeight="1" x14ac:dyDescent="0.2">
      <c r="A47" s="342" t="str">
        <f t="shared" ca="1" si="3"/>
        <v>1.)</v>
      </c>
      <c r="B47" s="403" t="str">
        <f ca="1">INDIRECT(CONCATENATE(VLOOKUP(Parameter_Sprache,Matrix_Sprache.ID.Anleitungsblatt,3,FALSE),"!",E$1,$C47))</f>
        <v>Circuit ouvert / fermé: (valeur par défaut: circuit fermé) 
Cette indication est importante car, avec un circuit ouvert, la hauteur manométrique se traduit par une augmentation de la pression de refoulement. Le remplacement d'une régulation par étranglement ou d'une vanne par un variateur de fréquence permet une économie nettement plus faible dans le cas d'un circuit ouvert avec une forte pression manométrique.</v>
      </c>
      <c r="C47" s="94">
        <f t="shared" si="0"/>
        <v>47</v>
      </c>
    </row>
    <row r="48" spans="1:3" ht="57" customHeight="1" x14ac:dyDescent="0.2">
      <c r="A48" s="342" t="str">
        <f t="shared" ca="1" si="3"/>
        <v>2.)</v>
      </c>
      <c r="B48" s="403" t="str">
        <f ca="1">INDIRECT(CONCATENATE(VLOOKUP(Parameter_Sprache,Matrix_Sprache.ID.Anleitungsblatt,3,FALSE),"!",E$1,$C48))</f>
        <v>Besoins variables: oui/non: (valeur par défaut: oui)
Sélectionnez "oui" si le processus nécessite un débit volumique variable. Si le besoin de débit volumique est toujours le même, sélectionnez "non". (Attention: cela peut également être le cas avec un régulateur de débit.)</v>
      </c>
      <c r="C48" s="94">
        <f t="shared" si="0"/>
        <v>48</v>
      </c>
    </row>
    <row r="49" spans="1:3" ht="84.6" customHeight="1" x14ac:dyDescent="0.2">
      <c r="A49" s="342" t="str">
        <f t="shared" ca="1" si="3"/>
        <v>3.)</v>
      </c>
      <c r="B49" s="403" t="str">
        <f ca="1">INDIRECT(CONCATENATE(VLOOKUP(Parameter_Sprache,Matrix_Sprache.ID.Anleitungsblatt,3,FALSE),"!",E$1,$C49))</f>
        <v xml:space="preserve">Régulation: (valeur par défaut: régulateur de débit par étranglement)
Sélectionnez le mode de régulation du débit volumique. Cela doit également être indiqué lorsqu'il n'y a pas de besoins variables, mais que le débit volumique est réduit à une valeur constante au moyen d'un régulateur de débit, d'un convertisseur de fréquence (CF) ou d'un by-pass. Si le débit volumique de la pompe est réduit à une valeur constante au moyen d'un CF et si la pompe est de plus équipée d'un régulateur de débit, sélectionnez "par étranglement". </v>
      </c>
      <c r="C49" s="94">
        <f t="shared" si="0"/>
        <v>49</v>
      </c>
    </row>
    <row r="50" spans="1:3" ht="56.45" customHeight="1" x14ac:dyDescent="0.2">
      <c r="A50" s="342" t="str">
        <f t="shared" ca="1" si="3"/>
        <v>4.)</v>
      </c>
      <c r="B50" s="403" t="str">
        <f ca="1">INDIRECT(CONCATENATE(VLOOKUP(Parameter_Sprache,Matrix_Sprache.ID.Anleitungsblatt,3,FALSE),"!",E$1,$C50))</f>
        <v xml:space="preserve">Catégorie d'efficacité du moteur:
La sélection s'effectue automatiquement en fonction de l'âge de la pompe. Cependant, si vous connaissez la catégorie IE ou si le moteur a été remplacé depuis l'installation de la pompe, vous pouvez remplacer cette valeur. </v>
      </c>
      <c r="C50" s="94">
        <f t="shared" si="0"/>
        <v>50</v>
      </c>
    </row>
    <row r="51" spans="1:3" ht="129.6" customHeight="1" x14ac:dyDescent="0.2">
      <c r="A51" s="342" t="str">
        <f t="shared" ca="1" si="3"/>
        <v>5.)</v>
      </c>
      <c r="B51" s="403" t="str">
        <f ca="1">INDIRECT(CONCATENATE(VLOOKUP(Parameter_Sprache,Matrix_Sprache.ID.Anleitungsblatt,3,FALSE),"!",E$1,$C51))</f>
        <v xml:space="preserve">Besoins en débit volumique: (pas de valeur par défaut)
Les indications sont relatives et se réfèrent au débit volumique nominal de la pompe. Celui-ci figure sur la plaque signalétique ou dans les caractéristiques techniques de la pompe. Indiquez par catégorie les heures annuelles. Celles-ci peuvent également être estimées par l'entreprise (par ex. grâce à d'autres indications de fonctionnement, comme les durées d'exécution du processus fourni, etc.). La dernière colonne (100%) est calculée automatiquement à partir du temps de marche total et des saisies à 25%, 50% et 75% de charge. Il est par exemple possible que les heures de marche d'une pompe ne correspondent qu'à 25% et 50% de charge. Elle présente alors un potentiel d'économie par redimensionnement et régulation de la vitesse de rotation. </v>
      </c>
      <c r="C51" s="94">
        <f t="shared" si="0"/>
        <v>51</v>
      </c>
    </row>
    <row r="52" spans="1:3" x14ac:dyDescent="0.2">
      <c r="A52" s="342"/>
      <c r="B52" s="338"/>
      <c r="C52" s="94">
        <f t="shared" si="0"/>
        <v>52</v>
      </c>
    </row>
    <row r="53" spans="1:3" ht="15" x14ac:dyDescent="0.25">
      <c r="A53" s="336" t="str">
        <f ca="1">INDIRECT(CONCATENATE(VLOOKUP(Parameter_Sprache,Matrix_Sprache.ID.Anleitungsblatt,3,FALSE),"!",D$1,$C53))</f>
        <v>2.3 Résultats de l'étape 2</v>
      </c>
      <c r="B53" s="338"/>
      <c r="C53" s="94">
        <f t="shared" si="0"/>
        <v>53</v>
      </c>
    </row>
    <row r="54" spans="1:3" ht="28.5" x14ac:dyDescent="0.2">
      <c r="A54" s="147"/>
      <c r="B54" s="403" t="str">
        <f ca="1">INDIRECT(CONCATENATE(VLOOKUP(Parameter_Sprache,Matrix_Sprache.ID.Anleitungsblatt,3,FALSE),"!",E$1,$C54))</f>
        <v xml:space="preserve">L'outil d'analyse calcule le potentiel d'économie pour trois mesures (remplacement du moteur, régulation de la vitesse de rotation et redimensionnement de l'installation). </v>
      </c>
      <c r="C54" s="94">
        <f t="shared" si="0"/>
        <v>54</v>
      </c>
    </row>
    <row r="55" spans="1:3" ht="42.75" x14ac:dyDescent="0.2">
      <c r="A55" s="147"/>
      <c r="B55" s="403" t="str">
        <f ca="1">INDIRECT(CONCATENATE(VLOOKUP(Parameter_Sprache,Matrix_Sprache.ID.Anleitungsblatt,3,FALSE),"!",E$1,$C55))</f>
        <v xml:space="preserve">Le potentiel d'économie est alors indiqué en % de la consommation d'énergie estimée, en kWh par an et en CHF par an. Pour cela, la consommation d'énergie estimée est sommairement calculée avec les données de puissance multipliées par le temps (P * t * facteur de charge). </v>
      </c>
      <c r="C55" s="94">
        <f t="shared" si="0"/>
        <v>55</v>
      </c>
    </row>
    <row r="56" spans="1:3" ht="28.5" x14ac:dyDescent="0.2">
      <c r="A56" s="147"/>
      <c r="B56" s="403" t="str">
        <f ca="1">INDIRECT(CONCATENATE(VLOOKUP(Parameter_Sprache,Matrix_Sprache.ID.Anleitungsblatt,3,FALSE),"!",E$1,$C56))</f>
        <v xml:space="preserve">Une combinaison de plusieurs mesures est possible, l'économie totale pouvant être au maximum égale à la somme des économies permises par les différentes mesures. </v>
      </c>
      <c r="C56" s="94">
        <f t="shared" si="0"/>
        <v>56</v>
      </c>
    </row>
    <row r="57" spans="1:3" ht="28.5" x14ac:dyDescent="0.2">
      <c r="A57" s="147"/>
      <c r="B57" s="403" t="str">
        <f ca="1">INDIRECT(CONCATENATE(VLOOKUP(Parameter_Sprache,Matrix_Sprache.ID.Anleitungsblatt,3,FALSE),"!",E$1,$C57))</f>
        <v xml:space="preserve">Il convient de souligner que ces calculs du potentiel d'économie sont des estimations qui dépendent fortement des données saisies. </v>
      </c>
      <c r="C57" s="94">
        <f t="shared" si="0"/>
        <v>57</v>
      </c>
    </row>
    <row r="58" spans="1:3" x14ac:dyDescent="0.2">
      <c r="A58" s="147"/>
      <c r="B58" s="338"/>
      <c r="C58" s="94">
        <f t="shared" si="0"/>
        <v>58</v>
      </c>
    </row>
    <row r="59" spans="1:3" x14ac:dyDescent="0.2">
      <c r="A59" s="147"/>
      <c r="B59" s="338" t="str">
        <f t="shared" ref="B59:B65" ca="1" si="4">INDIRECT(CONCATENATE(VLOOKUP(Parameter_Sprache,Matrix_Sprache.ID.Anleitungsblatt,3,FALSE),"!",E$1,$C59))</f>
        <v>Les effets des trois mesures sont expliqués ci-dessous:</v>
      </c>
      <c r="C59" s="94">
        <f t="shared" si="0"/>
        <v>59</v>
      </c>
    </row>
    <row r="60" spans="1:3" ht="15" x14ac:dyDescent="0.25">
      <c r="A60" s="344" t="str">
        <f ca="1">INDIRECT(CONCATENATE(VLOOKUP(Parameter_Sprache,Matrix_Sprache.ID.Anleitungsblatt,3,FALSE),"!",D$1,$C60))</f>
        <v>1.</v>
      </c>
      <c r="B60" s="345" t="str">
        <f t="shared" ca="1" si="4"/>
        <v>Remplacement du moteur</v>
      </c>
      <c r="C60" s="94">
        <f t="shared" si="0"/>
        <v>60</v>
      </c>
    </row>
    <row r="61" spans="1:3" ht="57.95" customHeight="1" x14ac:dyDescent="0.2">
      <c r="A61" s="344"/>
      <c r="B61" s="403" t="str">
        <f t="shared" ca="1" si="4"/>
        <v>Le remplacement du moteur permet déjà une économie d'électricité considérable. Cette mesure est souvent facile à réaliser.  Toutefois, du seul remplacement du moteur peut parfois résulter un système complet suboptimal. C'est pourquoi il est conseillé d'examiner en détail l'ensemble de l'installation. Le potentiel d'économie indiqué ne tient pas compte d'une éventuelle influence de la 3e mesure (redimensionnement).</v>
      </c>
      <c r="C61" s="94">
        <f t="shared" si="0"/>
        <v>61</v>
      </c>
    </row>
    <row r="62" spans="1:3" ht="15" x14ac:dyDescent="0.25">
      <c r="A62" s="344" t="str">
        <f ca="1">INDIRECT(CONCATENATE(VLOOKUP(Parameter_Sprache,Matrix_Sprache.ID.Anleitungsblatt,3,FALSE),"!",D$1,$C62))</f>
        <v>2.</v>
      </c>
      <c r="B62" s="345" t="str">
        <f t="shared" ca="1" si="4"/>
        <v>Régulation de la vitesse de rotation</v>
      </c>
      <c r="C62" s="94">
        <f t="shared" si="0"/>
        <v>62</v>
      </c>
    </row>
    <row r="63" spans="1:3" ht="57" customHeight="1" x14ac:dyDescent="0.2">
      <c r="A63" s="344"/>
      <c r="B63" s="403" t="str">
        <f t="shared" ca="1" si="4"/>
        <v xml:space="preserve">Des besoins variables existent, mais ne sont pas satisfaits au moyen d'un convertisseur de fréquence dans la situation actuelle. Par rapport à la régulation existante (by-pass ou régulateur de débit par étranglement, vanne), la part d'énergie indiquée pourrait donc être économisée grâce à l'installation d'un convertisseur de fréquence. Cette mesure dépend de la 3e (redimensionnement). </v>
      </c>
      <c r="C63" s="94">
        <f t="shared" si="0"/>
        <v>63</v>
      </c>
    </row>
    <row r="64" spans="1:3" ht="15" x14ac:dyDescent="0.25">
      <c r="A64" s="344" t="str">
        <f ca="1">INDIRECT(CONCATENATE(VLOOKUP(Parameter_Sprache,Matrix_Sprache.ID.Anleitungsblatt,3,FALSE),"!",D$1,$C64))</f>
        <v>3.</v>
      </c>
      <c r="B64" s="345" t="str">
        <f t="shared" ca="1" si="4"/>
        <v xml:space="preserve">Redimensionnement de l'installation </v>
      </c>
      <c r="C64" s="94">
        <f t="shared" si="0"/>
        <v>64</v>
      </c>
    </row>
    <row r="65" spans="1:3" ht="28.5" x14ac:dyDescent="0.2">
      <c r="A65" s="147"/>
      <c r="B65" s="403" t="str">
        <f t="shared" ca="1" si="4"/>
        <v xml:space="preserve">La pompe existante est actuellement surdimensionnée. Une nouvelle pompe correctement dimensionnée permettrait par conséquent de réaliser l'économie indiquée. </v>
      </c>
      <c r="C65" s="94">
        <f t="shared" si="0"/>
        <v>65</v>
      </c>
    </row>
    <row r="66" spans="1:3" x14ac:dyDescent="0.2">
      <c r="A66" s="147"/>
      <c r="B66" s="403"/>
      <c r="C66" s="94">
        <f t="shared" si="0"/>
        <v>66</v>
      </c>
    </row>
    <row r="67" spans="1:3" ht="56.1" customHeight="1" x14ac:dyDescent="0.2">
      <c r="A67" s="147"/>
      <c r="B67" s="403" t="str">
        <f ca="1">INDIRECT(CONCATENATE(VLOOKUP(Parameter_Sprache,Matrix_Sprache.ID.Anleitungsblatt,3,FALSE),"!",E$1,$C67))</f>
        <v>La 2e et la 3e mesure dépendent l'une de l'autre. Si une pompe est redimensionnée, l'économie réalisée par une régulation de la vitesse de rotation est proportionnellement plus faible. Par contre, l'économie générée par un remplacement du moteur est indiquée indépendamment des autres mesures, car cette opération est souvent effectuée seule.</v>
      </c>
      <c r="C67" s="94">
        <f t="shared" si="0"/>
        <v>67</v>
      </c>
    </row>
    <row r="68" spans="1:3" x14ac:dyDescent="0.2">
      <c r="A68" s="147"/>
      <c r="B68" s="346"/>
      <c r="C68" s="94">
        <f t="shared" si="0"/>
        <v>68</v>
      </c>
    </row>
    <row r="69" spans="1:3" ht="18" x14ac:dyDescent="0.25">
      <c r="A69" s="339" t="str">
        <f ca="1">INDIRECT(CONCATENATE(VLOOKUP(Parameter_Sprache,Matrix_Sprache.ID.Anleitungsblatt,3,FALSE),"!",D$1,$C69))</f>
        <v>3. Résultats</v>
      </c>
      <c r="B69" s="147"/>
      <c r="C69" s="94">
        <f t="shared" si="0"/>
        <v>69</v>
      </c>
    </row>
    <row r="70" spans="1:3" ht="28.5" x14ac:dyDescent="0.2">
      <c r="A70" s="147"/>
      <c r="B70" s="403" t="str">
        <f ca="1">INDIRECT(CONCATENATE(VLOOKUP(Parameter_Sprache,Matrix_Sprache.ID.Anleitungsblatt,3,FALSE),"!",E$1,$C70))</f>
        <v xml:space="preserve">Cette feuille récapitule les potentiels d'économie des pompes les plus importantes et vous indique quelles sont celles pour lesquelles une analyse fine est judicieuse. </v>
      </c>
      <c r="C70" s="94">
        <f t="shared" si="0"/>
        <v>70</v>
      </c>
    </row>
    <row r="71" spans="1:3" ht="84.6" customHeight="1" x14ac:dyDescent="0.2">
      <c r="A71" s="147"/>
      <c r="B71" s="403" t="str">
        <f ca="1">INDIRECT(CONCATENATE(VLOOKUP(Parameter_Sprache,Matrix_Sprache.ID.Anleitungsblatt,3,FALSE),"!",E$1,$C71))</f>
        <v xml:space="preserve">Pour obtenir une meilleure vue d'ensemble ou pour pouvoir sélectionner les pompes les plus importantes, un classement est possible ici. Si vous sélectionnez "N° d'après l'étape 1", les pompes apparaissent dans le même ordre qu'elles ont été saisies dans l'étape 1. Si vous sélectionnez "Consommation d'électricité" (P * t * facteur de charge), le classement s'effectue en fonction de la consommation d'électricité estimée. Sélectionnez "Potentiel d'économie d'après l'étape 2" pour faire apparaître en premier les pompes présumées permettre les économie les plus importantes. </v>
      </c>
      <c r="C71" s="94">
        <f t="shared" si="0"/>
        <v>71</v>
      </c>
    </row>
    <row r="72" spans="1:3" ht="28.5" x14ac:dyDescent="0.2">
      <c r="A72" s="147"/>
      <c r="B72" s="403" t="str">
        <f ca="1">INDIRECT(CONCATENATE(VLOOKUP(Parameter_Sprache,Matrix_Sprache.ID.Anleitungsblatt,3,FALSE),"!",E$1,$C72))</f>
        <v xml:space="preserve">Pour avoir un aperçu compact, vous pouvez masquer les colonnes J à O. Sélectionnez ces colonnes et cliquez sur "Masquer" avec le bouton droit de la souris. </v>
      </c>
      <c r="C72" s="94">
        <f t="shared" ref="C72:C138" si="5">C71+1</f>
        <v>72</v>
      </c>
    </row>
    <row r="73" spans="1:3" ht="57" x14ac:dyDescent="0.2">
      <c r="A73" s="147"/>
      <c r="B73" s="403" t="str">
        <f ca="1">INDIRECT(CONCATENATE(VLOOKUP(Parameter_Sprache,Matrix_Sprache.ID.Anleitungsblatt,3,FALSE),"!",E$1,$C73))</f>
        <v xml:space="preserve">Le total indique les économies totales permises par l'application des trois mesures. Il ne correspond pas à la somme des trois mesures, car toutes trois s'influencent mutuellement (par ex. en cas de redimensionnement avec remplacement par un moteur plus efficace). Le total correspond aux économies obtenues en appliquant les trois mesures. </v>
      </c>
      <c r="C73" s="94">
        <f t="shared" si="5"/>
        <v>73</v>
      </c>
    </row>
    <row r="74" spans="1:3" x14ac:dyDescent="0.2">
      <c r="A74" s="147"/>
      <c r="B74" s="147"/>
      <c r="C74" s="94">
        <f t="shared" si="5"/>
        <v>74</v>
      </c>
    </row>
    <row r="75" spans="1:3" x14ac:dyDescent="0.2">
      <c r="A75" s="147"/>
      <c r="B75" s="403" t="str">
        <f t="shared" ref="B75:B81" ca="1" si="6">INDIRECT(CONCATENATE(VLOOKUP(Parameter_Sprache,Matrix_Sprache.ID.Anleitungsblatt,3,FALSE),"!",E$1,$C75))</f>
        <v>Analyse fine recommandée: trois résultats sont possibles:</v>
      </c>
      <c r="C75" s="94">
        <f t="shared" si="5"/>
        <v>75</v>
      </c>
    </row>
    <row r="76" spans="1:3" ht="15" x14ac:dyDescent="0.2">
      <c r="A76" s="147"/>
      <c r="B76" s="405" t="str">
        <f t="shared" ca="1" si="6"/>
        <v>Analyse fine fortement recommandée:</v>
      </c>
      <c r="C76" s="94">
        <f t="shared" si="5"/>
        <v>76</v>
      </c>
    </row>
    <row r="77" spans="1:3" ht="57" x14ac:dyDescent="0.2">
      <c r="A77" s="147"/>
      <c r="B77" s="403" t="str">
        <f t="shared" ca="1" si="6"/>
        <v xml:space="preserve">Les indications laissent présumer un fort potentiel d'économie, mais celui-ci est difficile à quantifier. Une analyse effectuée sur place par une entreprise spécialisée peut évaluer ce potentiel. Cela a un prix, mais qui peut être rapidement amorti grâce à des économie pouvant dépasser 25%. Vous trouverez sur www.effiziente-pumpen.ch les coordonnées d'entreprises spécialisées dans ce type de prestations. </v>
      </c>
      <c r="C77" s="94">
        <f t="shared" si="5"/>
        <v>77</v>
      </c>
    </row>
    <row r="78" spans="1:3" ht="15" x14ac:dyDescent="0.2">
      <c r="A78" s="147"/>
      <c r="B78" s="405" t="str">
        <f t="shared" ca="1" si="6"/>
        <v>Analyse fine recommandée:</v>
      </c>
      <c r="C78" s="94">
        <f t="shared" si="5"/>
        <v>78</v>
      </c>
    </row>
    <row r="79" spans="1:3" ht="57" x14ac:dyDescent="0.2">
      <c r="A79" s="147"/>
      <c r="B79" s="403" t="str">
        <f t="shared" ca="1" si="6"/>
        <v xml:space="preserve">Les indications laissent présumer un potentiel d'économie moyen, mais celui-ci est difficile à quantifier. Une analyse effectuée sur place par une entreprise spécialisée peut évaluer ce potentiel. Cela a un prix, mais qui peut être amorti à moyen terme. Vous trouverez sur www.effiziente-pumpen.ch les coordonnées d'entreprises spécialisées dans ce type de prestations. </v>
      </c>
      <c r="C79" s="94">
        <f t="shared" si="5"/>
        <v>79</v>
      </c>
    </row>
    <row r="80" spans="1:3" ht="15" x14ac:dyDescent="0.2">
      <c r="A80" s="147"/>
      <c r="B80" s="405" t="str">
        <f t="shared" ca="1" si="6"/>
        <v>Aucune mesure nécessaire:</v>
      </c>
      <c r="C80" s="94">
        <f t="shared" si="5"/>
        <v>80</v>
      </c>
    </row>
    <row r="81" spans="1:3" ht="42.75" x14ac:dyDescent="0.2">
      <c r="A81" s="147"/>
      <c r="B81" s="403" t="str">
        <f t="shared" ca="1" si="6"/>
        <v xml:space="preserve">Le potentiel d'économie est trop faible pour qu'une analyse fine en vaille la peine. Certaines mesures peuvent cependant être payantes (par ex. le remplacement d'un moteur ou un redimensionnement). Cependant, pour cela, l'analyse fine n'est pas nécessaire. Ces résultats sont indiqués dans l'étape 2. </v>
      </c>
      <c r="C81" s="94">
        <f t="shared" si="5"/>
        <v>81</v>
      </c>
    </row>
    <row r="82" spans="1:3" x14ac:dyDescent="0.2">
      <c r="A82" s="147"/>
      <c r="B82" s="147"/>
      <c r="C82" s="94">
        <f t="shared" si="5"/>
        <v>82</v>
      </c>
    </row>
    <row r="83" spans="1:3" ht="18" x14ac:dyDescent="0.25">
      <c r="A83" s="339" t="str">
        <f ca="1">INDIRECT(CONCATENATE(VLOOKUP(Parameter_Sprache,Matrix_Sprache.ID.Anleitungsblatt,3,FALSE),"!",D$1,$C83))</f>
        <v>4. Résumé</v>
      </c>
      <c r="B83" s="338"/>
      <c r="C83" s="94">
        <f t="shared" si="5"/>
        <v>83</v>
      </c>
    </row>
    <row r="84" spans="1:3" ht="57" x14ac:dyDescent="0.2">
      <c r="A84" s="147"/>
      <c r="B84" s="403" t="str">
        <f ca="1">INDIRECT(CONCATENATE(VLOOKUP(Parameter_Sprache,Matrix_Sprache.ID.Anleitungsblatt,3,FALSE),"!",E$1,$C84))</f>
        <v xml:space="preserve">Cette feuille résume le potentiel d'économie des pompes dans les trois catégories "aucune mesure nécessaire", "analyse fine recommandée" et "analyse fine fortement recommandée". Les données sont tirées de la feuille "Résultats". De plus, sont indiqués: le nombre de pompes par catégorie, leur puissance totale et leur consommation théorique d'électricité. </v>
      </c>
      <c r="C84" s="94">
        <f t="shared" si="5"/>
        <v>84</v>
      </c>
    </row>
    <row r="85" spans="1:3" ht="42" customHeight="1" x14ac:dyDescent="0.2">
      <c r="A85" s="147"/>
      <c r="B85" s="403" t="str">
        <f ca="1">INDIRECT(CONCATENATE(VLOOKUP(Parameter_Sprache,Matrix_Sprache.ID.Anleitungsblatt,3,FALSE),"!",E$1,$C85))</f>
        <v xml:space="preserve">Sous "Pompes aux indications horaires incohérentes" sont rassemblées les pompes pour lesquelles les indications horaires de l'étape 2 concernant le temps de marche en fonction du débit volumique ne concordent pas avec le temps de marche total. </v>
      </c>
      <c r="C85" s="94">
        <f t="shared" si="5"/>
        <v>85</v>
      </c>
    </row>
    <row r="86" spans="1:3" ht="57.6" customHeight="1" x14ac:dyDescent="0.2">
      <c r="A86" s="147"/>
      <c r="B86" s="403" t="str">
        <f ca="1">INDIRECT(CONCATENATE(VLOOKUP(Parameter_Sprache,Matrix_Sprache.ID.Anleitungsblatt,3,FALSE),"!",E$1,$C86))</f>
        <v>Indépendamment de cette analyse, nous recommandons une optimisation du fonctionnement lorsque les coûts énergétiques dépassent CHF 50'000.- par an. Il existe souvent beaucoup d'autres mesures qui permettent d'économiser une quantité d'énergie considérable. Vous les déterminerez en procédant à une analyse du fonctionnement.</v>
      </c>
      <c r="C86" s="94">
        <f t="shared" si="5"/>
        <v>86</v>
      </c>
    </row>
    <row r="87" spans="1:3" ht="57.6" customHeight="1" x14ac:dyDescent="0.2">
      <c r="A87" s="147"/>
      <c r="B87" s="403" t="str">
        <f ca="1">INDIRECT(CONCATENATE(VLOOKUP(Parameter_Sprache,Matrix_Sprache.ID.Anleitungsblatt,3,FALSE),"!",E$1,$C87))</f>
        <v xml:space="preserve">Dans la feuille "Résumé", vous trouverez en outre des coordonnées de contact pour l'étape suivante: l'analyse fine sur place dans votre usine. Cette analyse indique en général des possibilités d'optimisation supplémentaires permettant de considérablement réduire les coûts énergétiques, par exemple grâce à des joints neufs. </v>
      </c>
      <c r="C87" s="94">
        <f t="shared" si="5"/>
        <v>87</v>
      </c>
    </row>
    <row r="88" spans="1:3" x14ac:dyDescent="0.2">
      <c r="A88" s="147"/>
      <c r="B88" s="418"/>
      <c r="C88" s="94">
        <f t="shared" si="5"/>
        <v>88</v>
      </c>
    </row>
    <row r="89" spans="1:3" ht="42.75" x14ac:dyDescent="0.2">
      <c r="A89" s="147"/>
      <c r="B89" s="403" t="str">
        <f ca="1">INDIRECT(CONCATENATE(VLOOKUP(Parameter_Sprache,Matrix_Sprache.ID.Anleitungsblatt,3,FALSE),"!",E$1,$C89))</f>
        <v>Si vous disposez d’analyses détaillées, vous pouvez les mettre en œuvre, par exemple au travers d’un soutien financier de notre programme partenaire PUMPIND pour le remplacement d’une pompe. La contribution financière peut s’élever jusqu’à 40% des coûts d’investissement. Vous trouverez plus d’informations, ainsi qu’un formulaire de demande de subvention, sous www.pumpind.ch:</v>
      </c>
      <c r="C89" s="94">
        <f t="shared" si="5"/>
        <v>89</v>
      </c>
    </row>
    <row r="90" spans="1:3" x14ac:dyDescent="0.2">
      <c r="B90" s="406" t="str">
        <f ca="1">INDIRECT(CONCATENATE(VLOOKUP(Parameter_Sprache,Matrix_Sprache.ID.Anleitungsblatt,3,FALSE),"!",E$1,$C90))</f>
        <v>www.pumpind.ch</v>
      </c>
      <c r="C90" s="94">
        <f t="shared" si="5"/>
        <v>90</v>
      </c>
    </row>
    <row r="91" spans="1:3" x14ac:dyDescent="0.2">
      <c r="B91" s="418"/>
      <c r="C91" s="94">
        <f t="shared" si="5"/>
        <v>91</v>
      </c>
    </row>
    <row r="92" spans="1:3" ht="28.5" customHeight="1" x14ac:dyDescent="0.2">
      <c r="B92" s="403" t="str">
        <f ca="1">INDIRECT(CONCATENATE(VLOOKUP(Parameter_Sprache,Matrix_Sprache.ID.Anleitungsblatt,3,FALSE),"!",E$1,$C92))</f>
        <v>Si vous avez des questions concernant l'outil d'analyse ou si vous désirez avoir des détails sur les méthodes de calcul (p.ex. une version non-protégée), adressez-vous à Neosys SA: Tel. 032 674 45 11, info@neosys.ch:</v>
      </c>
      <c r="C92" s="94">
        <f t="shared" si="5"/>
        <v>92</v>
      </c>
    </row>
    <row r="93" spans="1:3" x14ac:dyDescent="0.2">
      <c r="B93" s="407" t="str">
        <f ca="1">INDIRECT(CONCATENATE(VLOOKUP(Parameter_Sprache,Matrix_Sprache.ID.Anleitungsblatt,3,FALSE),"!",E$1,$C93))</f>
        <v>info@neosys.ch</v>
      </c>
      <c r="C93" s="94">
        <f t="shared" si="5"/>
        <v>93</v>
      </c>
    </row>
    <row r="94" spans="1:3" x14ac:dyDescent="0.2">
      <c r="C94" s="94">
        <f t="shared" si="5"/>
        <v>94</v>
      </c>
    </row>
    <row r="95" spans="1:3" x14ac:dyDescent="0.2">
      <c r="C95" s="94">
        <f t="shared" si="5"/>
        <v>95</v>
      </c>
    </row>
    <row r="96" spans="1:3" x14ac:dyDescent="0.2">
      <c r="C96" s="94">
        <f t="shared" si="5"/>
        <v>96</v>
      </c>
    </row>
    <row r="97" spans="3:3" x14ac:dyDescent="0.2">
      <c r="C97" s="94">
        <f t="shared" si="5"/>
        <v>97</v>
      </c>
    </row>
    <row r="98" spans="3:3" x14ac:dyDescent="0.2">
      <c r="C98" s="94">
        <f t="shared" si="5"/>
        <v>98</v>
      </c>
    </row>
    <row r="99" spans="3:3" x14ac:dyDescent="0.2">
      <c r="C99" s="94">
        <f t="shared" si="5"/>
        <v>99</v>
      </c>
    </row>
    <row r="100" spans="3:3" x14ac:dyDescent="0.2">
      <c r="C100" s="94">
        <f t="shared" si="5"/>
        <v>100</v>
      </c>
    </row>
    <row r="101" spans="3:3" x14ac:dyDescent="0.2">
      <c r="C101" s="94">
        <f t="shared" si="5"/>
        <v>101</v>
      </c>
    </row>
    <row r="102" spans="3:3" x14ac:dyDescent="0.2">
      <c r="C102" s="94">
        <f t="shared" si="5"/>
        <v>102</v>
      </c>
    </row>
    <row r="103" spans="3:3" x14ac:dyDescent="0.2">
      <c r="C103" s="94">
        <f t="shared" si="5"/>
        <v>103</v>
      </c>
    </row>
    <row r="104" spans="3:3" x14ac:dyDescent="0.2">
      <c r="C104" s="94">
        <f t="shared" si="5"/>
        <v>104</v>
      </c>
    </row>
    <row r="105" spans="3:3" x14ac:dyDescent="0.2">
      <c r="C105" s="94">
        <f t="shared" si="5"/>
        <v>105</v>
      </c>
    </row>
    <row r="106" spans="3:3" x14ac:dyDescent="0.2">
      <c r="C106" s="94">
        <f t="shared" si="5"/>
        <v>106</v>
      </c>
    </row>
    <row r="107" spans="3:3" x14ac:dyDescent="0.2">
      <c r="C107" s="94">
        <f t="shared" si="5"/>
        <v>107</v>
      </c>
    </row>
    <row r="108" spans="3:3" x14ac:dyDescent="0.2">
      <c r="C108" s="94">
        <f t="shared" si="5"/>
        <v>108</v>
      </c>
    </row>
    <row r="109" spans="3:3" x14ac:dyDescent="0.2">
      <c r="C109" s="94">
        <f t="shared" si="5"/>
        <v>109</v>
      </c>
    </row>
    <row r="110" spans="3:3" x14ac:dyDescent="0.2">
      <c r="C110" s="94">
        <f t="shared" si="5"/>
        <v>110</v>
      </c>
    </row>
    <row r="111" spans="3:3" x14ac:dyDescent="0.2">
      <c r="C111" s="94">
        <f t="shared" si="5"/>
        <v>111</v>
      </c>
    </row>
    <row r="112" spans="3:3" x14ac:dyDescent="0.2">
      <c r="C112" s="94">
        <f t="shared" si="5"/>
        <v>112</v>
      </c>
    </row>
    <row r="113" spans="3:3" x14ac:dyDescent="0.2">
      <c r="C113" s="94">
        <f t="shared" si="5"/>
        <v>113</v>
      </c>
    </row>
    <row r="114" spans="3:3" x14ac:dyDescent="0.2">
      <c r="C114" s="94">
        <f t="shared" si="5"/>
        <v>114</v>
      </c>
    </row>
    <row r="115" spans="3:3" x14ac:dyDescent="0.2">
      <c r="C115" s="94">
        <f t="shared" si="5"/>
        <v>115</v>
      </c>
    </row>
    <row r="116" spans="3:3" x14ac:dyDescent="0.2">
      <c r="C116" s="94">
        <f t="shared" si="5"/>
        <v>116</v>
      </c>
    </row>
    <row r="117" spans="3:3" x14ac:dyDescent="0.2">
      <c r="C117" s="94">
        <f t="shared" si="5"/>
        <v>117</v>
      </c>
    </row>
    <row r="118" spans="3:3" x14ac:dyDescent="0.2">
      <c r="C118" s="94">
        <f t="shared" si="5"/>
        <v>118</v>
      </c>
    </row>
    <row r="119" spans="3:3" x14ac:dyDescent="0.2">
      <c r="C119" s="94">
        <f t="shared" si="5"/>
        <v>119</v>
      </c>
    </row>
    <row r="120" spans="3:3" x14ac:dyDescent="0.2">
      <c r="C120" s="94">
        <f t="shared" si="5"/>
        <v>120</v>
      </c>
    </row>
    <row r="121" spans="3:3" x14ac:dyDescent="0.2">
      <c r="C121" s="94">
        <f t="shared" si="5"/>
        <v>121</v>
      </c>
    </row>
    <row r="122" spans="3:3" x14ac:dyDescent="0.2">
      <c r="C122" s="94">
        <f t="shared" si="5"/>
        <v>122</v>
      </c>
    </row>
    <row r="123" spans="3:3" x14ac:dyDescent="0.2">
      <c r="C123" s="94">
        <f t="shared" si="5"/>
        <v>123</v>
      </c>
    </row>
    <row r="124" spans="3:3" x14ac:dyDescent="0.2">
      <c r="C124" s="94">
        <f t="shared" si="5"/>
        <v>124</v>
      </c>
    </row>
    <row r="125" spans="3:3" x14ac:dyDescent="0.2">
      <c r="C125" s="94">
        <f t="shared" si="5"/>
        <v>125</v>
      </c>
    </row>
    <row r="126" spans="3:3" x14ac:dyDescent="0.2">
      <c r="C126" s="94">
        <f t="shared" si="5"/>
        <v>126</v>
      </c>
    </row>
    <row r="127" spans="3:3" x14ac:dyDescent="0.2">
      <c r="C127" s="94">
        <f t="shared" si="5"/>
        <v>127</v>
      </c>
    </row>
    <row r="128" spans="3:3" x14ac:dyDescent="0.2">
      <c r="C128" s="94">
        <f t="shared" si="5"/>
        <v>128</v>
      </c>
    </row>
    <row r="129" spans="3:3" x14ac:dyDescent="0.2">
      <c r="C129" s="94">
        <f t="shared" si="5"/>
        <v>129</v>
      </c>
    </row>
    <row r="130" spans="3:3" x14ac:dyDescent="0.2">
      <c r="C130" s="94">
        <f t="shared" si="5"/>
        <v>130</v>
      </c>
    </row>
    <row r="131" spans="3:3" x14ac:dyDescent="0.2">
      <c r="C131" s="94">
        <f t="shared" si="5"/>
        <v>131</v>
      </c>
    </row>
    <row r="132" spans="3:3" x14ac:dyDescent="0.2">
      <c r="C132" s="94">
        <f t="shared" si="5"/>
        <v>132</v>
      </c>
    </row>
    <row r="133" spans="3:3" x14ac:dyDescent="0.2">
      <c r="C133" s="94">
        <f t="shared" si="5"/>
        <v>133</v>
      </c>
    </row>
    <row r="134" spans="3:3" x14ac:dyDescent="0.2">
      <c r="C134" s="94">
        <f t="shared" si="5"/>
        <v>134</v>
      </c>
    </row>
    <row r="135" spans="3:3" x14ac:dyDescent="0.2">
      <c r="C135" s="94">
        <f t="shared" si="5"/>
        <v>135</v>
      </c>
    </row>
    <row r="136" spans="3:3" x14ac:dyDescent="0.2">
      <c r="C136" s="94">
        <f t="shared" si="5"/>
        <v>136</v>
      </c>
    </row>
    <row r="137" spans="3:3" x14ac:dyDescent="0.2">
      <c r="C137" s="94">
        <f t="shared" si="5"/>
        <v>137</v>
      </c>
    </row>
    <row r="138" spans="3:3" x14ac:dyDescent="0.2">
      <c r="C138" s="94">
        <f t="shared" si="5"/>
        <v>138</v>
      </c>
    </row>
    <row r="139" spans="3:3" x14ac:dyDescent="0.2">
      <c r="C139" s="94">
        <f t="shared" ref="C139:C202" si="7">C138+1</f>
        <v>139</v>
      </c>
    </row>
    <row r="140" spans="3:3" x14ac:dyDescent="0.2">
      <c r="C140" s="94">
        <f t="shared" si="7"/>
        <v>140</v>
      </c>
    </row>
    <row r="141" spans="3:3" x14ac:dyDescent="0.2">
      <c r="C141" s="94">
        <f t="shared" si="7"/>
        <v>141</v>
      </c>
    </row>
    <row r="142" spans="3:3" x14ac:dyDescent="0.2">
      <c r="C142" s="94">
        <f t="shared" si="7"/>
        <v>142</v>
      </c>
    </row>
    <row r="143" spans="3:3" x14ac:dyDescent="0.2">
      <c r="C143" s="94">
        <f t="shared" si="7"/>
        <v>143</v>
      </c>
    </row>
    <row r="144" spans="3:3" x14ac:dyDescent="0.2">
      <c r="C144" s="94">
        <f t="shared" si="7"/>
        <v>144</v>
      </c>
    </row>
    <row r="145" spans="3:3" x14ac:dyDescent="0.2">
      <c r="C145" s="94">
        <f t="shared" si="7"/>
        <v>145</v>
      </c>
    </row>
    <row r="146" spans="3:3" x14ac:dyDescent="0.2">
      <c r="C146" s="94">
        <f t="shared" si="7"/>
        <v>146</v>
      </c>
    </row>
    <row r="147" spans="3:3" x14ac:dyDescent="0.2">
      <c r="C147" s="94">
        <f t="shared" si="7"/>
        <v>147</v>
      </c>
    </row>
    <row r="148" spans="3:3" x14ac:dyDescent="0.2">
      <c r="C148" s="94">
        <f t="shared" si="7"/>
        <v>148</v>
      </c>
    </row>
    <row r="149" spans="3:3" x14ac:dyDescent="0.2">
      <c r="C149" s="94">
        <f t="shared" si="7"/>
        <v>149</v>
      </c>
    </row>
    <row r="150" spans="3:3" x14ac:dyDescent="0.2">
      <c r="C150" s="94">
        <f t="shared" si="7"/>
        <v>150</v>
      </c>
    </row>
    <row r="151" spans="3:3" x14ac:dyDescent="0.2">
      <c r="C151" s="94">
        <f t="shared" si="7"/>
        <v>151</v>
      </c>
    </row>
    <row r="152" spans="3:3" x14ac:dyDescent="0.2">
      <c r="C152" s="94">
        <f t="shared" si="7"/>
        <v>152</v>
      </c>
    </row>
    <row r="153" spans="3:3" x14ac:dyDescent="0.2">
      <c r="C153" s="94">
        <f t="shared" si="7"/>
        <v>153</v>
      </c>
    </row>
    <row r="154" spans="3:3" x14ac:dyDescent="0.2">
      <c r="C154" s="94">
        <f t="shared" si="7"/>
        <v>154</v>
      </c>
    </row>
    <row r="155" spans="3:3" x14ac:dyDescent="0.2">
      <c r="C155" s="94">
        <f t="shared" si="7"/>
        <v>155</v>
      </c>
    </row>
    <row r="156" spans="3:3" x14ac:dyDescent="0.2">
      <c r="C156" s="94">
        <f t="shared" si="7"/>
        <v>156</v>
      </c>
    </row>
    <row r="157" spans="3:3" x14ac:dyDescent="0.2">
      <c r="C157" s="94">
        <f t="shared" si="7"/>
        <v>157</v>
      </c>
    </row>
    <row r="158" spans="3:3" x14ac:dyDescent="0.2">
      <c r="C158" s="94">
        <f t="shared" si="7"/>
        <v>158</v>
      </c>
    </row>
    <row r="159" spans="3:3" x14ac:dyDescent="0.2">
      <c r="C159" s="94">
        <f t="shared" si="7"/>
        <v>159</v>
      </c>
    </row>
    <row r="160" spans="3:3" x14ac:dyDescent="0.2">
      <c r="C160" s="94">
        <f t="shared" si="7"/>
        <v>160</v>
      </c>
    </row>
    <row r="161" spans="3:3" x14ac:dyDescent="0.2">
      <c r="C161" s="94">
        <f t="shared" si="7"/>
        <v>161</v>
      </c>
    </row>
    <row r="162" spans="3:3" x14ac:dyDescent="0.2">
      <c r="C162" s="94">
        <f t="shared" si="7"/>
        <v>162</v>
      </c>
    </row>
    <row r="163" spans="3:3" x14ac:dyDescent="0.2">
      <c r="C163" s="94">
        <f t="shared" si="7"/>
        <v>163</v>
      </c>
    </row>
    <row r="164" spans="3:3" x14ac:dyDescent="0.2">
      <c r="C164" s="94">
        <f t="shared" si="7"/>
        <v>164</v>
      </c>
    </row>
    <row r="165" spans="3:3" x14ac:dyDescent="0.2">
      <c r="C165" s="94">
        <f t="shared" si="7"/>
        <v>165</v>
      </c>
    </row>
    <row r="166" spans="3:3" x14ac:dyDescent="0.2">
      <c r="C166" s="94">
        <f t="shared" si="7"/>
        <v>166</v>
      </c>
    </row>
    <row r="167" spans="3:3" x14ac:dyDescent="0.2">
      <c r="C167" s="94">
        <f t="shared" si="7"/>
        <v>167</v>
      </c>
    </row>
    <row r="168" spans="3:3" x14ac:dyDescent="0.2">
      <c r="C168" s="94">
        <f t="shared" si="7"/>
        <v>168</v>
      </c>
    </row>
    <row r="169" spans="3:3" x14ac:dyDescent="0.2">
      <c r="C169" s="94">
        <f t="shared" si="7"/>
        <v>169</v>
      </c>
    </row>
    <row r="170" spans="3:3" x14ac:dyDescent="0.2">
      <c r="C170" s="94">
        <f t="shared" si="7"/>
        <v>170</v>
      </c>
    </row>
    <row r="171" spans="3:3" x14ac:dyDescent="0.2">
      <c r="C171" s="94">
        <f t="shared" si="7"/>
        <v>171</v>
      </c>
    </row>
    <row r="172" spans="3:3" x14ac:dyDescent="0.2">
      <c r="C172" s="94">
        <f t="shared" si="7"/>
        <v>172</v>
      </c>
    </row>
    <row r="173" spans="3:3" x14ac:dyDescent="0.2">
      <c r="C173" s="94">
        <f t="shared" si="7"/>
        <v>173</v>
      </c>
    </row>
    <row r="174" spans="3:3" x14ac:dyDescent="0.2">
      <c r="C174" s="94">
        <f t="shared" si="7"/>
        <v>174</v>
      </c>
    </row>
    <row r="175" spans="3:3" x14ac:dyDescent="0.2">
      <c r="C175" s="94">
        <f t="shared" si="7"/>
        <v>175</v>
      </c>
    </row>
    <row r="176" spans="3:3" x14ac:dyDescent="0.2">
      <c r="C176" s="94">
        <f t="shared" si="7"/>
        <v>176</v>
      </c>
    </row>
    <row r="177" spans="3:3" x14ac:dyDescent="0.2">
      <c r="C177" s="94">
        <f t="shared" si="7"/>
        <v>177</v>
      </c>
    </row>
    <row r="178" spans="3:3" x14ac:dyDescent="0.2">
      <c r="C178" s="94">
        <f t="shared" si="7"/>
        <v>178</v>
      </c>
    </row>
    <row r="179" spans="3:3" x14ac:dyDescent="0.2">
      <c r="C179" s="94">
        <f t="shared" si="7"/>
        <v>179</v>
      </c>
    </row>
    <row r="180" spans="3:3" x14ac:dyDescent="0.2">
      <c r="C180" s="94">
        <f t="shared" si="7"/>
        <v>180</v>
      </c>
    </row>
    <row r="181" spans="3:3" x14ac:dyDescent="0.2">
      <c r="C181" s="94">
        <f t="shared" si="7"/>
        <v>181</v>
      </c>
    </row>
    <row r="182" spans="3:3" x14ac:dyDescent="0.2">
      <c r="C182" s="94">
        <f t="shared" si="7"/>
        <v>182</v>
      </c>
    </row>
    <row r="183" spans="3:3" x14ac:dyDescent="0.2">
      <c r="C183" s="94">
        <f t="shared" si="7"/>
        <v>183</v>
      </c>
    </row>
    <row r="184" spans="3:3" x14ac:dyDescent="0.2">
      <c r="C184" s="94">
        <f t="shared" si="7"/>
        <v>184</v>
      </c>
    </row>
    <row r="185" spans="3:3" x14ac:dyDescent="0.2">
      <c r="C185" s="94">
        <f t="shared" si="7"/>
        <v>185</v>
      </c>
    </row>
    <row r="186" spans="3:3" x14ac:dyDescent="0.2">
      <c r="C186" s="94">
        <f t="shared" si="7"/>
        <v>186</v>
      </c>
    </row>
    <row r="187" spans="3:3" x14ac:dyDescent="0.2">
      <c r="C187" s="94">
        <f t="shared" si="7"/>
        <v>187</v>
      </c>
    </row>
    <row r="188" spans="3:3" x14ac:dyDescent="0.2">
      <c r="C188" s="94">
        <f t="shared" si="7"/>
        <v>188</v>
      </c>
    </row>
    <row r="189" spans="3:3" x14ac:dyDescent="0.2">
      <c r="C189" s="94">
        <f t="shared" si="7"/>
        <v>189</v>
      </c>
    </row>
    <row r="190" spans="3:3" x14ac:dyDescent="0.2">
      <c r="C190" s="94">
        <f t="shared" si="7"/>
        <v>190</v>
      </c>
    </row>
    <row r="191" spans="3:3" x14ac:dyDescent="0.2">
      <c r="C191" s="94">
        <f t="shared" si="7"/>
        <v>191</v>
      </c>
    </row>
    <row r="192" spans="3:3" x14ac:dyDescent="0.2">
      <c r="C192" s="94">
        <f t="shared" si="7"/>
        <v>192</v>
      </c>
    </row>
    <row r="193" spans="3:3" x14ac:dyDescent="0.2">
      <c r="C193" s="94">
        <f t="shared" si="7"/>
        <v>193</v>
      </c>
    </row>
    <row r="194" spans="3:3" x14ac:dyDescent="0.2">
      <c r="C194" s="94">
        <f t="shared" si="7"/>
        <v>194</v>
      </c>
    </row>
    <row r="195" spans="3:3" x14ac:dyDescent="0.2">
      <c r="C195" s="94">
        <f t="shared" si="7"/>
        <v>195</v>
      </c>
    </row>
    <row r="196" spans="3:3" x14ac:dyDescent="0.2">
      <c r="C196" s="94">
        <f t="shared" si="7"/>
        <v>196</v>
      </c>
    </row>
    <row r="197" spans="3:3" x14ac:dyDescent="0.2">
      <c r="C197" s="94">
        <f t="shared" si="7"/>
        <v>197</v>
      </c>
    </row>
    <row r="198" spans="3:3" x14ac:dyDescent="0.2">
      <c r="C198" s="94">
        <f t="shared" si="7"/>
        <v>198</v>
      </c>
    </row>
    <row r="199" spans="3:3" x14ac:dyDescent="0.2">
      <c r="C199" s="94">
        <f t="shared" si="7"/>
        <v>199</v>
      </c>
    </row>
    <row r="200" spans="3:3" x14ac:dyDescent="0.2">
      <c r="C200" s="94">
        <f t="shared" si="7"/>
        <v>200</v>
      </c>
    </row>
    <row r="201" spans="3:3" x14ac:dyDescent="0.2">
      <c r="C201" s="94">
        <f t="shared" si="7"/>
        <v>201</v>
      </c>
    </row>
    <row r="202" spans="3:3" x14ac:dyDescent="0.2">
      <c r="C202" s="94">
        <f t="shared" si="7"/>
        <v>202</v>
      </c>
    </row>
    <row r="203" spans="3:3" x14ac:dyDescent="0.2">
      <c r="C203" s="94">
        <f t="shared" ref="C203" si="8">C202+1</f>
        <v>203</v>
      </c>
    </row>
  </sheetData>
  <sheetProtection password="9982" sheet="1" objects="1" scenarios="1" selectLockedCells="1"/>
  <mergeCells count="2">
    <mergeCell ref="A1:B3"/>
    <mergeCell ref="A46:B46"/>
  </mergeCells>
  <hyperlinks>
    <hyperlink ref="B90" r:id="rId1" display="http://www.pumpind.ch/"/>
    <hyperlink ref="B93" r:id="rId2" display="mailto:info@neosys.ch?subject=ProEPA-Tool"/>
  </hyperlinks>
  <pageMargins left="0.70866141732283472" right="0.70866141732283472" top="0.78740157480314965" bottom="0.78740157480314965" header="0.31496062992125984" footer="0.31496062992125984"/>
  <pageSetup paperSize="9" scale="77" orientation="portrait" r:id="rId3"/>
  <colBreaks count="1" manualBreakCount="1">
    <brk id="2" max="1048575" man="1"/>
  </colBreaks>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tabColor rgb="FF00B0F0"/>
  </sheetPr>
  <dimension ref="A1:Q184"/>
  <sheetViews>
    <sheetView topLeftCell="A115" workbookViewId="0">
      <selection activeCell="W6" sqref="W6"/>
    </sheetView>
  </sheetViews>
  <sheetFormatPr baseColWidth="10" defaultRowHeight="14.25" x14ac:dyDescent="0.2"/>
  <cols>
    <col min="3" max="7" width="16.5" customWidth="1"/>
    <col min="14" max="14" width="46.5" bestFit="1" customWidth="1"/>
    <col min="15" max="15" width="29.375" bestFit="1" customWidth="1"/>
  </cols>
  <sheetData>
    <row r="1" spans="1:17" s="2" customFormat="1" ht="18" x14ac:dyDescent="0.25">
      <c r="A1" s="1" t="s">
        <v>563</v>
      </c>
    </row>
    <row r="2" spans="1:17" s="2" customFormat="1" x14ac:dyDescent="0.2"/>
    <row r="3" spans="1:17" s="2" customFormat="1" ht="15.75" x14ac:dyDescent="0.25">
      <c r="A3" s="7" t="s">
        <v>564</v>
      </c>
    </row>
    <row r="4" spans="1:17" s="2" customFormat="1" ht="3.75" customHeight="1" x14ac:dyDescent="0.2"/>
    <row r="5" spans="1:17" s="2" customFormat="1" ht="15" x14ac:dyDescent="0.25">
      <c r="A5" s="23" t="s">
        <v>57</v>
      </c>
      <c r="B5" s="350" t="s">
        <v>613</v>
      </c>
      <c r="C5" s="23" t="s">
        <v>57</v>
      </c>
      <c r="D5" s="23" t="s">
        <v>614</v>
      </c>
    </row>
    <row r="6" spans="1:17" x14ac:dyDescent="0.2">
      <c r="A6" s="348">
        <v>1</v>
      </c>
      <c r="B6" s="351" t="s">
        <v>565</v>
      </c>
      <c r="C6" s="161">
        <v>1</v>
      </c>
      <c r="D6" s="31" t="s">
        <v>615</v>
      </c>
    </row>
    <row r="7" spans="1:17" x14ac:dyDescent="0.2">
      <c r="A7" s="349">
        <v>2</v>
      </c>
      <c r="B7" s="352" t="s">
        <v>566</v>
      </c>
      <c r="C7" s="162">
        <v>2</v>
      </c>
      <c r="D7" s="30" t="s">
        <v>616</v>
      </c>
    </row>
    <row r="9" spans="1:17" x14ac:dyDescent="0.2">
      <c r="A9" t="s">
        <v>623</v>
      </c>
      <c r="B9" s="55" t="str">
        <f>Parameter_Sprache</f>
        <v>fr</v>
      </c>
      <c r="C9" s="21">
        <f>VLOOKUP(B9,Matrix_Sprache.ID.Anleitungsblatt,2,FALSE)</f>
        <v>2</v>
      </c>
    </row>
    <row r="11" spans="1:17" s="2" customFormat="1" ht="15.75" x14ac:dyDescent="0.25">
      <c r="A11" s="7" t="s">
        <v>622</v>
      </c>
      <c r="E11" s="323" t="s">
        <v>625</v>
      </c>
      <c r="N11" s="7" t="s">
        <v>810</v>
      </c>
    </row>
    <row r="12" spans="1:17" s="2" customFormat="1" ht="3.75" customHeight="1" x14ac:dyDescent="0.2"/>
    <row r="13" spans="1:17" x14ac:dyDescent="0.2">
      <c r="A13" s="366" t="s">
        <v>624</v>
      </c>
      <c r="B13" s="354"/>
      <c r="C13" s="355" t="s">
        <v>617</v>
      </c>
      <c r="D13" s="356" t="s">
        <v>618</v>
      </c>
      <c r="E13" s="357" t="s">
        <v>619</v>
      </c>
      <c r="F13" s="358" t="s">
        <v>620</v>
      </c>
      <c r="G13" s="357" t="s">
        <v>621</v>
      </c>
    </row>
    <row r="14" spans="1:17" ht="15" thickBot="1" x14ac:dyDescent="0.25">
      <c r="B14" s="359"/>
      <c r="C14" s="354"/>
      <c r="D14" s="360"/>
      <c r="E14" s="361"/>
      <c r="F14" s="362"/>
      <c r="G14" s="363"/>
    </row>
    <row r="15" spans="1:17" ht="60" x14ac:dyDescent="0.2">
      <c r="A15" s="377" t="s">
        <v>26</v>
      </c>
      <c r="B15" s="364">
        <v>1</v>
      </c>
      <c r="C15" s="367" t="str">
        <f t="shared" ref="C15:C32" si="0">IF(G15&lt;&gt;"",G15,INDEX(Matrix_Texte.Sprachen,B15,Parameter_Sprache.ID))</f>
        <v>Outil d'analyse grossière ProEPA - installations de pompage efficaces (énergie)</v>
      </c>
      <c r="D15" s="368" t="s">
        <v>370</v>
      </c>
      <c r="E15" s="370" t="s">
        <v>628</v>
      </c>
      <c r="F15" s="390" t="str">
        <f>D15</f>
        <v>Grobanalyse-Tool ProEPA - Energieeffiziente Pumpen</v>
      </c>
      <c r="G15" s="371"/>
      <c r="N15" s="30" t="str">
        <f ca="1">INDIRECT(CONCATENATE(P15,Q15))</f>
        <v>mit Ventilen</v>
      </c>
      <c r="O15" s="30" t="str">
        <f>$C112</f>
        <v>avec vannes</v>
      </c>
      <c r="P15" s="392" t="s">
        <v>77</v>
      </c>
      <c r="Q15" s="414">
        <v>112</v>
      </c>
    </row>
    <row r="16" spans="1:17" x14ac:dyDescent="0.2">
      <c r="B16" s="364">
        <v>2</v>
      </c>
      <c r="C16" s="367" t="str">
        <f t="shared" si="0"/>
        <v>Etape 1</v>
      </c>
      <c r="D16" s="369" t="s">
        <v>26</v>
      </c>
      <c r="E16" s="365" t="s">
        <v>626</v>
      </c>
      <c r="F16" s="391" t="str">
        <f>D16</f>
        <v>Schritt 1</v>
      </c>
      <c r="G16" s="372"/>
      <c r="N16" s="30" t="str">
        <f t="shared" ref="N16:N75" ca="1" si="1">INDIRECT(CONCATENATE(P16,Q16))</f>
        <v>avec vannes</v>
      </c>
      <c r="O16" s="30" t="str">
        <f>$C112</f>
        <v>avec vannes</v>
      </c>
      <c r="P16" s="392" t="s">
        <v>725</v>
      </c>
      <c r="Q16" s="414">
        <v>112</v>
      </c>
    </row>
    <row r="17" spans="2:17" ht="36" x14ac:dyDescent="0.2">
      <c r="B17" s="364">
        <v>3</v>
      </c>
      <c r="C17" s="367" t="str">
        <f t="shared" si="0"/>
        <v>Entreprise (nom, adresse, responsable, etc.):</v>
      </c>
      <c r="D17" s="369" t="s">
        <v>375</v>
      </c>
      <c r="E17" s="365" t="s">
        <v>627</v>
      </c>
      <c r="F17" s="391" t="str">
        <f t="shared" ref="F17:F81" si="2">D17</f>
        <v>Firma (Name, Adresse, Verantwortlicher, etc.):</v>
      </c>
      <c r="G17" s="373"/>
      <c r="N17" s="30" t="str">
        <f t="shared" ca="1" si="1"/>
        <v>mit Ventilen</v>
      </c>
      <c r="O17" s="30" t="str">
        <f>$C112</f>
        <v>avec vannes</v>
      </c>
      <c r="P17" s="392" t="s">
        <v>726</v>
      </c>
      <c r="Q17" s="414">
        <v>112</v>
      </c>
    </row>
    <row r="18" spans="2:17" ht="96" x14ac:dyDescent="0.2">
      <c r="B18" s="364">
        <v>4</v>
      </c>
      <c r="C18" s="367" t="str">
        <f t="shared" si="0"/>
        <v>Dans cette "Etape 1", seules quelques informations sont nécessaires. L'Etape 1 sert à une 1ère sélection des installations de pompage.</v>
      </c>
      <c r="D18" s="369" t="s">
        <v>371</v>
      </c>
      <c r="E18" s="365" t="s">
        <v>629</v>
      </c>
      <c r="F18" s="391" t="str">
        <f t="shared" si="2"/>
        <v>Im vorliegenden "Schritt 1" werden nur wenige Angaben benötigt. Dieser 1. Schritt dient einer ersten Selektion der Pumpenanlagen im Betrieb.</v>
      </c>
      <c r="G18" s="373"/>
      <c r="N18" s="30" t="str">
        <f t="shared" ca="1" si="1"/>
        <v>offen</v>
      </c>
      <c r="O18" s="30" t="str">
        <f>$C113</f>
        <v>ouvert</v>
      </c>
      <c r="P18" s="392" t="str">
        <f>P15</f>
        <v>D</v>
      </c>
      <c r="Q18" s="392">
        <f>Q15+1</f>
        <v>113</v>
      </c>
    </row>
    <row r="19" spans="2:17" x14ac:dyDescent="0.2">
      <c r="B19" s="364">
        <v>5</v>
      </c>
      <c r="C19" s="367" t="str">
        <f t="shared" si="0"/>
        <v>N°</v>
      </c>
      <c r="D19" s="369" t="s">
        <v>38</v>
      </c>
      <c r="E19" s="365" t="s">
        <v>630</v>
      </c>
      <c r="F19" s="391" t="str">
        <f t="shared" si="2"/>
        <v>Nr</v>
      </c>
      <c r="G19" s="373"/>
      <c r="N19" s="30" t="str">
        <f t="shared" ca="1" si="1"/>
        <v>ouvert</v>
      </c>
      <c r="O19" s="30" t="str">
        <f>$C113</f>
        <v>ouvert</v>
      </c>
      <c r="P19" s="392" t="str">
        <f t="shared" ref="P19:P75" si="3">P16</f>
        <v>E</v>
      </c>
      <c r="Q19" s="392">
        <f t="shared" ref="Q19:Q75" si="4">Q16+1</f>
        <v>113</v>
      </c>
    </row>
    <row r="20" spans="2:17" x14ac:dyDescent="0.2">
      <c r="B20" s="364">
        <v>6</v>
      </c>
      <c r="C20" s="367" t="str">
        <f t="shared" si="0"/>
        <v>Dénomination</v>
      </c>
      <c r="D20" s="369" t="s">
        <v>39</v>
      </c>
      <c r="E20" s="365" t="s">
        <v>631</v>
      </c>
      <c r="F20" s="391" t="str">
        <f t="shared" si="2"/>
        <v>Bezeichnung</v>
      </c>
      <c r="G20" s="373"/>
      <c r="N20" s="30" t="str">
        <f t="shared" ca="1" si="1"/>
        <v>offen</v>
      </c>
      <c r="O20" s="30" t="str">
        <f>$C113</f>
        <v>ouvert</v>
      </c>
      <c r="P20" s="392" t="str">
        <f t="shared" si="3"/>
        <v>F</v>
      </c>
      <c r="Q20" s="392">
        <f t="shared" si="4"/>
        <v>113</v>
      </c>
    </row>
    <row r="21" spans="2:17" ht="24" x14ac:dyDescent="0.2">
      <c r="B21" s="364">
        <v>7</v>
      </c>
      <c r="C21" s="367" t="str">
        <f t="shared" si="0"/>
        <v>Autres dénominations personnelles</v>
      </c>
      <c r="D21" s="369" t="s">
        <v>288</v>
      </c>
      <c r="E21" s="365" t="s">
        <v>632</v>
      </c>
      <c r="F21" s="391" t="str">
        <f t="shared" si="2"/>
        <v>Weitere eigene Bezeichnungen</v>
      </c>
      <c r="G21" s="373"/>
      <c r="N21" s="30" t="str">
        <f t="shared" ca="1" si="1"/>
        <v>geschlossen</v>
      </c>
      <c r="O21" s="30" t="str">
        <f>$C114</f>
        <v>fermé</v>
      </c>
      <c r="P21" s="392" t="str">
        <f t="shared" si="3"/>
        <v>D</v>
      </c>
      <c r="Q21" s="392">
        <f t="shared" si="4"/>
        <v>114</v>
      </c>
    </row>
    <row r="22" spans="2:17" x14ac:dyDescent="0.2">
      <c r="B22" s="364">
        <v>8</v>
      </c>
      <c r="C22" s="367" t="str">
        <f t="shared" si="0"/>
        <v>Lieu</v>
      </c>
      <c r="D22" s="369" t="s">
        <v>372</v>
      </c>
      <c r="E22" s="365" t="s">
        <v>633</v>
      </c>
      <c r="F22" s="391" t="str">
        <f t="shared" si="2"/>
        <v>Standort</v>
      </c>
      <c r="G22" s="373"/>
      <c r="N22" s="30" t="str">
        <f t="shared" ca="1" si="1"/>
        <v>fermé</v>
      </c>
      <c r="O22" s="30" t="str">
        <f>$C114</f>
        <v>fermé</v>
      </c>
      <c r="P22" s="392" t="str">
        <f t="shared" si="3"/>
        <v>E</v>
      </c>
      <c r="Q22" s="392">
        <f t="shared" si="4"/>
        <v>114</v>
      </c>
    </row>
    <row r="23" spans="2:17" x14ac:dyDescent="0.2">
      <c r="B23" s="364">
        <v>9</v>
      </c>
      <c r="C23" s="367" t="str">
        <f t="shared" si="0"/>
        <v>P</v>
      </c>
      <c r="D23" s="369" t="s">
        <v>186</v>
      </c>
      <c r="E23" s="365" t="s">
        <v>186</v>
      </c>
      <c r="F23" s="391" t="str">
        <f t="shared" si="2"/>
        <v>P</v>
      </c>
      <c r="G23" s="373"/>
      <c r="N23" s="30" t="str">
        <f t="shared" ca="1" si="1"/>
        <v>geschlossen</v>
      </c>
      <c r="O23" s="30" t="str">
        <f>$C114</f>
        <v>fermé</v>
      </c>
      <c r="P23" s="392" t="str">
        <f t="shared" si="3"/>
        <v>F</v>
      </c>
      <c r="Q23" s="392">
        <f t="shared" si="4"/>
        <v>114</v>
      </c>
    </row>
    <row r="24" spans="2:17" x14ac:dyDescent="0.2">
      <c r="B24" s="364">
        <v>10</v>
      </c>
      <c r="C24" s="367" t="str">
        <f t="shared" si="0"/>
        <v>t</v>
      </c>
      <c r="D24" s="369" t="s">
        <v>187</v>
      </c>
      <c r="E24" s="365" t="s">
        <v>187</v>
      </c>
      <c r="F24" s="391" t="str">
        <f t="shared" si="2"/>
        <v>t</v>
      </c>
      <c r="G24" s="373"/>
      <c r="N24" s="30" t="str">
        <f t="shared" ca="1" si="1"/>
        <v>Serie</v>
      </c>
      <c r="O24" s="30" t="str">
        <f>$C115</f>
        <v>en série</v>
      </c>
      <c r="P24" s="392" t="str">
        <f t="shared" si="3"/>
        <v>D</v>
      </c>
      <c r="Q24" s="392">
        <f t="shared" si="4"/>
        <v>115</v>
      </c>
    </row>
    <row r="25" spans="2:17" x14ac:dyDescent="0.2">
      <c r="B25" s="364">
        <v>11</v>
      </c>
      <c r="C25" s="367" t="str">
        <f t="shared" si="0"/>
        <v>Année</v>
      </c>
      <c r="D25" s="369" t="s">
        <v>157</v>
      </c>
      <c r="E25" s="365" t="s">
        <v>634</v>
      </c>
      <c r="F25" s="391" t="str">
        <f t="shared" si="2"/>
        <v>Jahr</v>
      </c>
      <c r="G25" s="373"/>
      <c r="N25" s="30" t="str">
        <f t="shared" ca="1" si="1"/>
        <v>en série</v>
      </c>
      <c r="O25" s="30" t="str">
        <f>$C115</f>
        <v>en série</v>
      </c>
      <c r="P25" s="392" t="str">
        <f t="shared" si="3"/>
        <v>E</v>
      </c>
      <c r="Q25" s="392">
        <f t="shared" si="4"/>
        <v>115</v>
      </c>
    </row>
    <row r="26" spans="2:17" x14ac:dyDescent="0.2">
      <c r="B26" s="364">
        <v>12</v>
      </c>
      <c r="C26" s="367" t="str">
        <f t="shared" si="0"/>
        <v>Etape 2</v>
      </c>
      <c r="D26" s="369" t="s">
        <v>138</v>
      </c>
      <c r="E26" s="365" t="s">
        <v>635</v>
      </c>
      <c r="F26" s="391" t="str">
        <f t="shared" si="2"/>
        <v>Schritt 2</v>
      </c>
      <c r="G26" s="373"/>
      <c r="N26" s="30" t="str">
        <f t="shared" ca="1" si="1"/>
        <v>Serie</v>
      </c>
      <c r="O26" s="30" t="str">
        <f>$C115</f>
        <v>en série</v>
      </c>
      <c r="P26" s="392" t="str">
        <f t="shared" si="3"/>
        <v>F</v>
      </c>
      <c r="Q26" s="392">
        <f t="shared" si="4"/>
        <v>115</v>
      </c>
    </row>
    <row r="27" spans="2:17" x14ac:dyDescent="0.2">
      <c r="B27" s="364">
        <v>13</v>
      </c>
      <c r="C27" s="367" t="str">
        <f t="shared" si="0"/>
        <v>Résultat étape 1</v>
      </c>
      <c r="D27" s="369" t="s">
        <v>159</v>
      </c>
      <c r="E27" s="365" t="s">
        <v>636</v>
      </c>
      <c r="F27" s="391" t="str">
        <f t="shared" si="2"/>
        <v>Resultat Schritt 1</v>
      </c>
      <c r="G27" s="373"/>
      <c r="N27" s="30" t="str">
        <f t="shared" ca="1" si="1"/>
        <v>Nr gemäss Schritt 1</v>
      </c>
      <c r="O27" s="30" t="str">
        <f>$C116</f>
        <v>N° selon étape 1</v>
      </c>
      <c r="P27" s="392" t="str">
        <f t="shared" si="3"/>
        <v>D</v>
      </c>
      <c r="Q27" s="392">
        <f t="shared" si="4"/>
        <v>116</v>
      </c>
    </row>
    <row r="28" spans="2:17" x14ac:dyDescent="0.2">
      <c r="B28" s="364">
        <v>14</v>
      </c>
      <c r="C28" s="367" t="str">
        <f t="shared" si="0"/>
        <v>[kW]</v>
      </c>
      <c r="D28" s="369" t="s">
        <v>43</v>
      </c>
      <c r="E28" s="365" t="s">
        <v>43</v>
      </c>
      <c r="F28" s="391" t="str">
        <f t="shared" si="2"/>
        <v>[kW]</v>
      </c>
      <c r="G28" s="373"/>
      <c r="N28" s="30" t="str">
        <f t="shared" ca="1" si="1"/>
        <v>N° selon étape 1</v>
      </c>
      <c r="O28" s="30" t="str">
        <f>$C116</f>
        <v>N° selon étape 1</v>
      </c>
      <c r="P28" s="392" t="str">
        <f t="shared" si="3"/>
        <v>E</v>
      </c>
      <c r="Q28" s="392">
        <f t="shared" si="4"/>
        <v>116</v>
      </c>
    </row>
    <row r="29" spans="2:17" x14ac:dyDescent="0.2">
      <c r="B29" s="364">
        <v>15</v>
      </c>
      <c r="C29" s="367" t="str">
        <f t="shared" si="0"/>
        <v>[h/a]</v>
      </c>
      <c r="D29" s="369" t="s">
        <v>44</v>
      </c>
      <c r="E29" s="365" t="s">
        <v>44</v>
      </c>
      <c r="F29" s="391" t="str">
        <f t="shared" si="2"/>
        <v>[h/a]</v>
      </c>
      <c r="G29" s="373"/>
      <c r="N29" s="30" t="str">
        <f t="shared" ca="1" si="1"/>
        <v>Nr gemäss Schritt 1</v>
      </c>
      <c r="O29" s="30" t="str">
        <f>$C116</f>
        <v>N° selon étape 1</v>
      </c>
      <c r="P29" s="392" t="str">
        <f t="shared" si="3"/>
        <v>F</v>
      </c>
      <c r="Q29" s="392">
        <f t="shared" si="4"/>
        <v>116</v>
      </c>
    </row>
    <row r="30" spans="2:17" x14ac:dyDescent="0.2">
      <c r="B30" s="364">
        <v>16</v>
      </c>
      <c r="C30" s="367" t="str">
        <f t="shared" si="0"/>
        <v>construction</v>
      </c>
      <c r="D30" s="369" t="s">
        <v>42</v>
      </c>
      <c r="E30" s="365" t="s">
        <v>637</v>
      </c>
      <c r="F30" s="391" t="str">
        <f t="shared" si="2"/>
        <v>Baujahr</v>
      </c>
      <c r="G30" s="373"/>
      <c r="N30" s="30" t="str">
        <f t="shared" ca="1" si="1"/>
        <v>offen</v>
      </c>
      <c r="O30" s="30" t="str">
        <f>$C117</f>
        <v>ouvert</v>
      </c>
      <c r="P30" s="392" t="str">
        <f t="shared" si="3"/>
        <v>D</v>
      </c>
      <c r="Q30" s="392">
        <f t="shared" si="4"/>
        <v>117</v>
      </c>
    </row>
    <row r="31" spans="2:17" x14ac:dyDescent="0.2">
      <c r="B31" s="364">
        <v>17</v>
      </c>
      <c r="C31" s="367" t="str">
        <f t="shared" si="0"/>
        <v>Forcer étape 2 ?</v>
      </c>
      <c r="D31" s="369" t="s">
        <v>537</v>
      </c>
      <c r="E31" s="365" t="s">
        <v>638</v>
      </c>
      <c r="F31" s="391" t="str">
        <f t="shared" si="2"/>
        <v>Sch. 2 erzwingen?</v>
      </c>
      <c r="G31" s="373"/>
      <c r="N31" s="30" t="str">
        <f t="shared" ca="1" si="1"/>
        <v>ouvert</v>
      </c>
      <c r="O31" s="30" t="str">
        <f>$C117</f>
        <v>ouvert</v>
      </c>
      <c r="P31" s="392" t="str">
        <f t="shared" si="3"/>
        <v>E</v>
      </c>
      <c r="Q31" s="392">
        <f t="shared" si="4"/>
        <v>117</v>
      </c>
    </row>
    <row r="32" spans="2:17" x14ac:dyDescent="0.2">
      <c r="B32" s="364">
        <v>18</v>
      </c>
      <c r="C32" s="367" t="str">
        <f t="shared" si="0"/>
        <v>Oui</v>
      </c>
      <c r="D32" s="369" t="s">
        <v>145</v>
      </c>
      <c r="E32" s="365" t="s">
        <v>856</v>
      </c>
      <c r="F32" s="391" t="str">
        <f t="shared" si="2"/>
        <v>Ja</v>
      </c>
      <c r="G32" s="373"/>
      <c r="N32" s="30"/>
      <c r="O32" s="30"/>
      <c r="P32" s="392"/>
      <c r="Q32" s="392"/>
    </row>
    <row r="33" spans="1:17" ht="60" x14ac:dyDescent="0.2">
      <c r="A33" s="377" t="s">
        <v>138</v>
      </c>
      <c r="B33" s="364">
        <v>19</v>
      </c>
      <c r="C33" s="367" t="str">
        <f t="shared" ref="C33:C39" si="5">IF(G33&lt;&gt;"",G33,INDEX(Matrix_Texte.Sprachen,B33,Parameter_Sprache.ID))</f>
        <v>Outil d'analyse grossière ProEPA - installations de pompage efficaces (énergie)</v>
      </c>
      <c r="D33" s="369" t="s">
        <v>370</v>
      </c>
      <c r="E33" s="378" t="str">
        <f>E15</f>
        <v>Outil d'analyse grossière ProEPA - installations de pompage efficaces (énergie)</v>
      </c>
      <c r="F33" s="391" t="str">
        <f t="shared" si="2"/>
        <v>Grobanalyse-Tool ProEPA - Energieeffiziente Pumpen</v>
      </c>
      <c r="G33" s="373"/>
      <c r="N33" s="30" t="str">
        <f t="shared" ca="1" si="1"/>
        <v>offen</v>
      </c>
      <c r="O33" s="30" t="str">
        <f>$C117</f>
        <v>ouvert</v>
      </c>
      <c r="P33" s="392" t="str">
        <f>P29</f>
        <v>F</v>
      </c>
      <c r="Q33" s="392">
        <f>Q29+1</f>
        <v>117</v>
      </c>
    </row>
    <row r="34" spans="1:17" x14ac:dyDescent="0.2">
      <c r="B34" s="364">
        <v>20</v>
      </c>
      <c r="C34" s="367" t="str">
        <f t="shared" si="5"/>
        <v>Etape 2</v>
      </c>
      <c r="D34" s="369" t="s">
        <v>138</v>
      </c>
      <c r="E34" s="365" t="s">
        <v>635</v>
      </c>
      <c r="F34" s="391" t="str">
        <f t="shared" si="2"/>
        <v>Schritt 2</v>
      </c>
      <c r="G34" s="373"/>
      <c r="N34" s="30" t="str">
        <f t="shared" ca="1" si="1"/>
        <v>geschlossen</v>
      </c>
      <c r="O34" s="30" t="str">
        <f>$C118</f>
        <v>fermé</v>
      </c>
      <c r="P34" s="392" t="str">
        <f>P30</f>
        <v>D</v>
      </c>
      <c r="Q34" s="392">
        <f>Q30+1</f>
        <v>118</v>
      </c>
    </row>
    <row r="35" spans="1:17" ht="84" x14ac:dyDescent="0.2">
      <c r="B35" s="364">
        <v>21</v>
      </c>
      <c r="C35" s="367" t="str">
        <f t="shared" si="5"/>
        <v>Dans cette "Etape 2", les installations sélectionnées à l'étape 1 sont analysées plus en détail.</v>
      </c>
      <c r="D35" s="369" t="s">
        <v>309</v>
      </c>
      <c r="E35" s="365" t="s">
        <v>639</v>
      </c>
      <c r="F35" s="391" t="str">
        <f t="shared" si="2"/>
        <v>Im vorliegenden "Schritt 2" werden die im 1. Schritt ausgewählten Pumpenanlagen detaillierter untersucht.</v>
      </c>
      <c r="G35" s="373"/>
      <c r="N35" s="30" t="str">
        <f t="shared" ca="1" si="1"/>
        <v>fermé</v>
      </c>
      <c r="O35" s="30" t="str">
        <f>$C118</f>
        <v>fermé</v>
      </c>
      <c r="P35" s="392" t="str">
        <f>P31</f>
        <v>E</v>
      </c>
      <c r="Q35" s="392">
        <f>Q31+1</f>
        <v>118</v>
      </c>
    </row>
    <row r="36" spans="1:17" x14ac:dyDescent="0.2">
      <c r="B36" s="364">
        <v>22</v>
      </c>
      <c r="C36" s="367" t="str">
        <f t="shared" si="5"/>
        <v>Prix du courant:</v>
      </c>
      <c r="D36" s="369" t="s">
        <v>176</v>
      </c>
      <c r="E36" s="365" t="s">
        <v>640</v>
      </c>
      <c r="F36" s="391" t="str">
        <f t="shared" si="2"/>
        <v>Strompreis:</v>
      </c>
      <c r="G36" s="373"/>
      <c r="N36" s="30" t="str">
        <f t="shared" ca="1" si="1"/>
        <v>geschlossen</v>
      </c>
      <c r="O36" s="30" t="str">
        <f>$C118</f>
        <v>fermé</v>
      </c>
      <c r="P36" s="392" t="str">
        <f t="shared" si="3"/>
        <v>F</v>
      </c>
      <c r="Q36" s="392">
        <f t="shared" si="4"/>
        <v>118</v>
      </c>
    </row>
    <row r="37" spans="1:17" x14ac:dyDescent="0.2">
      <c r="B37" s="364">
        <v>23</v>
      </c>
      <c r="C37" s="367" t="str">
        <f t="shared" si="5"/>
        <v>Rp/kWh</v>
      </c>
      <c r="D37" s="369" t="s">
        <v>23</v>
      </c>
      <c r="E37" s="365" t="s">
        <v>23</v>
      </c>
      <c r="F37" s="391" t="str">
        <f t="shared" si="2"/>
        <v>Rp/kWh</v>
      </c>
      <c r="G37" s="373"/>
      <c r="N37" s="30" t="str">
        <f t="shared" ca="1" si="1"/>
        <v>variabel</v>
      </c>
      <c r="O37" s="30" t="str">
        <f>$C119</f>
        <v>variable</v>
      </c>
      <c r="P37" s="392" t="str">
        <f t="shared" si="3"/>
        <v>D</v>
      </c>
      <c r="Q37" s="392">
        <f t="shared" si="4"/>
        <v>119</v>
      </c>
    </row>
    <row r="38" spans="1:17" x14ac:dyDescent="0.2">
      <c r="B38" s="364">
        <v>24</v>
      </c>
      <c r="C38" s="367" t="str">
        <f t="shared" si="5"/>
        <v>--&gt; Valeur utilisée:</v>
      </c>
      <c r="D38" s="369" t="s">
        <v>249</v>
      </c>
      <c r="E38" s="379" t="s">
        <v>641</v>
      </c>
      <c r="F38" s="391" t="str">
        <f t="shared" si="2"/>
        <v>--&gt; benutzter Wert:</v>
      </c>
      <c r="G38" s="373"/>
      <c r="N38" s="30" t="str">
        <f t="shared" ca="1" si="1"/>
        <v>variable</v>
      </c>
      <c r="O38" s="30" t="str">
        <f>$C119</f>
        <v>variable</v>
      </c>
      <c r="P38" s="392" t="str">
        <f t="shared" si="3"/>
        <v>E</v>
      </c>
      <c r="Q38" s="392">
        <f t="shared" si="4"/>
        <v>119</v>
      </c>
    </row>
    <row r="39" spans="1:17" x14ac:dyDescent="0.2">
      <c r="B39" s="364">
        <v>25</v>
      </c>
      <c r="C39" s="367" t="str">
        <f t="shared" si="5"/>
        <v>Rp/kWh</v>
      </c>
      <c r="D39" s="369" t="s">
        <v>23</v>
      </c>
      <c r="E39" s="365" t="s">
        <v>23</v>
      </c>
      <c r="F39" s="391" t="str">
        <f t="shared" si="2"/>
        <v>Rp/kWh</v>
      </c>
      <c r="G39" s="373"/>
      <c r="N39" s="30" t="str">
        <f t="shared" ca="1" si="1"/>
        <v>variabel</v>
      </c>
      <c r="O39" s="30" t="str">
        <f>$C119</f>
        <v>variable</v>
      </c>
      <c r="P39" s="392" t="str">
        <f t="shared" si="3"/>
        <v>F</v>
      </c>
      <c r="Q39" s="392">
        <f t="shared" si="4"/>
        <v>119</v>
      </c>
    </row>
    <row r="40" spans="1:17" x14ac:dyDescent="0.2">
      <c r="B40" s="364">
        <v>26</v>
      </c>
      <c r="C40" s="367" t="str">
        <f t="shared" ref="C40:C43" si="6">IF(G40&lt;&gt;"",G40,INDEX(Matrix_Texte.Sprachen,B40,Parameter_Sprache.ID))</f>
        <v>Système</v>
      </c>
      <c r="D40" s="369" t="s">
        <v>178</v>
      </c>
      <c r="E40" s="365" t="s">
        <v>642</v>
      </c>
      <c r="F40" s="391" t="str">
        <f t="shared" si="2"/>
        <v>System</v>
      </c>
      <c r="G40" s="373"/>
      <c r="N40" s="30" t="str">
        <f t="shared" ca="1" si="1"/>
        <v>konstant</v>
      </c>
      <c r="O40" s="30" t="str">
        <f>$C120</f>
        <v>constant</v>
      </c>
      <c r="P40" s="392" t="str">
        <f t="shared" si="3"/>
        <v>D</v>
      </c>
      <c r="Q40" s="392">
        <f t="shared" si="4"/>
        <v>120</v>
      </c>
    </row>
    <row r="41" spans="1:17" x14ac:dyDescent="0.2">
      <c r="B41" s="364">
        <v>27</v>
      </c>
      <c r="C41" s="367" t="str">
        <f t="shared" si="6"/>
        <v>Moteur</v>
      </c>
      <c r="D41" s="369" t="s">
        <v>1</v>
      </c>
      <c r="E41" s="365" t="s">
        <v>643</v>
      </c>
      <c r="F41" s="391" t="str">
        <f t="shared" si="2"/>
        <v>Motor</v>
      </c>
      <c r="G41" s="373"/>
      <c r="N41" s="30" t="str">
        <f t="shared" ca="1" si="1"/>
        <v>constant</v>
      </c>
      <c r="O41" s="30" t="str">
        <f>$C120</f>
        <v>constant</v>
      </c>
      <c r="P41" s="392" t="str">
        <f t="shared" si="3"/>
        <v>E</v>
      </c>
      <c r="Q41" s="392">
        <f t="shared" si="4"/>
        <v>120</v>
      </c>
    </row>
    <row r="42" spans="1:17" ht="24" x14ac:dyDescent="0.2">
      <c r="B42" s="364">
        <v>28</v>
      </c>
      <c r="C42" s="367" t="str">
        <f t="shared" si="6"/>
        <v>Temps de marche, débit volumique:</v>
      </c>
      <c r="D42" s="369" t="s">
        <v>301</v>
      </c>
      <c r="E42" s="365" t="s">
        <v>652</v>
      </c>
      <c r="F42" s="391" t="str">
        <f t="shared" si="2"/>
        <v>Betriebszeit nach Volumenstrom</v>
      </c>
      <c r="G42" s="373"/>
      <c r="N42" s="30" t="str">
        <f t="shared" ca="1" si="1"/>
        <v>konstant</v>
      </c>
      <c r="O42" s="30" t="str">
        <f>$C120</f>
        <v>constant</v>
      </c>
      <c r="P42" s="392" t="str">
        <f t="shared" si="3"/>
        <v>F</v>
      </c>
      <c r="Q42" s="392">
        <f t="shared" si="4"/>
        <v>120</v>
      </c>
    </row>
    <row r="43" spans="1:17" ht="36" x14ac:dyDescent="0.2">
      <c r="B43" s="364">
        <v>29</v>
      </c>
      <c r="C43" s="367" t="str">
        <f t="shared" si="6"/>
        <v>Estimation du potentiel d'économie pour</v>
      </c>
      <c r="D43" s="369" t="s">
        <v>869</v>
      </c>
      <c r="E43" s="365" t="s">
        <v>644</v>
      </c>
      <c r="F43" s="391" t="str">
        <f t="shared" si="2"/>
        <v>Abgeschätztes Einsparpozential durch</v>
      </c>
      <c r="G43" s="373"/>
      <c r="N43" s="30" t="str">
        <f t="shared" ca="1" si="1"/>
        <v>keine</v>
      </c>
      <c r="O43" s="30" t="str">
        <f>$C121</f>
        <v>aucune</v>
      </c>
      <c r="P43" s="392" t="str">
        <f t="shared" si="3"/>
        <v>D</v>
      </c>
      <c r="Q43" s="392">
        <f t="shared" si="4"/>
        <v>121</v>
      </c>
    </row>
    <row r="44" spans="1:17" x14ac:dyDescent="0.2">
      <c r="B44" s="364">
        <v>30</v>
      </c>
      <c r="C44" s="367" t="str">
        <f t="shared" ref="C44:C55" si="7">IF(G44&lt;&gt;"",G44,INDEX(Matrix_Texte.Sprachen,B44,Parameter_Sprache.ID))</f>
        <v>Circuit</v>
      </c>
      <c r="D44" s="369" t="s">
        <v>162</v>
      </c>
      <c r="E44" s="365" t="s">
        <v>645</v>
      </c>
      <c r="F44" s="391" t="str">
        <f t="shared" si="2"/>
        <v>Kreislauf</v>
      </c>
      <c r="G44" s="373"/>
      <c r="N44" s="30" t="str">
        <f t="shared" ca="1" si="1"/>
        <v>aucune</v>
      </c>
      <c r="O44" s="30" t="str">
        <f>$C121</f>
        <v>aucune</v>
      </c>
      <c r="P44" s="392" t="str">
        <f t="shared" si="3"/>
        <v>E</v>
      </c>
      <c r="Q44" s="392">
        <f t="shared" si="4"/>
        <v>121</v>
      </c>
    </row>
    <row r="45" spans="1:17" x14ac:dyDescent="0.2">
      <c r="B45" s="364">
        <v>31</v>
      </c>
      <c r="C45" s="367" t="str">
        <f t="shared" si="7"/>
        <v>Besoins</v>
      </c>
      <c r="D45" s="369" t="s">
        <v>166</v>
      </c>
      <c r="E45" s="365" t="s">
        <v>646</v>
      </c>
      <c r="F45" s="391" t="str">
        <f t="shared" si="2"/>
        <v>Bedarf</v>
      </c>
      <c r="G45" s="373"/>
      <c r="N45" s="30" t="str">
        <f t="shared" ca="1" si="1"/>
        <v>keine</v>
      </c>
      <c r="O45" s="30" t="str">
        <f>$C121</f>
        <v>aucune</v>
      </c>
      <c r="P45" s="392" t="str">
        <f t="shared" si="3"/>
        <v>F</v>
      </c>
      <c r="Q45" s="392">
        <f t="shared" si="4"/>
        <v>121</v>
      </c>
    </row>
    <row r="46" spans="1:17" x14ac:dyDescent="0.2">
      <c r="B46" s="364">
        <v>32</v>
      </c>
      <c r="C46" s="367" t="str">
        <f t="shared" si="7"/>
        <v>Régulation</v>
      </c>
      <c r="D46" s="369" t="s">
        <v>155</v>
      </c>
      <c r="E46" s="365" t="s">
        <v>647</v>
      </c>
      <c r="F46" s="391" t="str">
        <f t="shared" si="2"/>
        <v>Regulierung</v>
      </c>
      <c r="G46" s="373"/>
      <c r="N46" s="30" t="str">
        <f t="shared" ca="1" si="1"/>
        <v>Drosselung</v>
      </c>
      <c r="O46" s="30" t="str">
        <f>$C122</f>
        <v>par étranglement, vanne</v>
      </c>
      <c r="P46" s="392" t="str">
        <f t="shared" si="3"/>
        <v>D</v>
      </c>
      <c r="Q46" s="392">
        <f t="shared" si="4"/>
        <v>122</v>
      </c>
    </row>
    <row r="47" spans="1:17" x14ac:dyDescent="0.2">
      <c r="B47" s="364">
        <v>33</v>
      </c>
      <c r="C47" s="367" t="str">
        <f t="shared" si="7"/>
        <v>Nombre de poles</v>
      </c>
      <c r="D47" s="369" t="s">
        <v>156</v>
      </c>
      <c r="E47" s="365" t="s">
        <v>648</v>
      </c>
      <c r="F47" s="391" t="str">
        <f t="shared" si="2"/>
        <v>Polzahl</v>
      </c>
      <c r="G47" s="373"/>
      <c r="N47" s="30" t="str">
        <f t="shared" ca="1" si="1"/>
        <v>par étranglement, vanne</v>
      </c>
      <c r="O47" s="30" t="str">
        <f>$C122</f>
        <v>par étranglement, vanne</v>
      </c>
      <c r="P47" s="392" t="str">
        <f t="shared" si="3"/>
        <v>E</v>
      </c>
      <c r="Q47" s="392">
        <f t="shared" si="4"/>
        <v>122</v>
      </c>
    </row>
    <row r="48" spans="1:17" x14ac:dyDescent="0.2">
      <c r="B48" s="364">
        <v>34</v>
      </c>
      <c r="C48" s="367" t="str">
        <f t="shared" si="7"/>
        <v>Catégorie d'efficacité</v>
      </c>
      <c r="D48" s="369" t="s">
        <v>175</v>
      </c>
      <c r="E48" s="365" t="s">
        <v>649</v>
      </c>
      <c r="F48" s="391" t="str">
        <f t="shared" si="2"/>
        <v>Effizienzklasse</v>
      </c>
      <c r="G48" s="373"/>
      <c r="N48" s="30" t="str">
        <f t="shared" ca="1" si="1"/>
        <v>Drosselung</v>
      </c>
      <c r="O48" s="30" t="str">
        <f>$C122</f>
        <v>par étranglement, vanne</v>
      </c>
      <c r="P48" s="392" t="str">
        <f t="shared" si="3"/>
        <v>F</v>
      </c>
      <c r="Q48" s="392">
        <f t="shared" si="4"/>
        <v>122</v>
      </c>
    </row>
    <row r="49" spans="2:17" x14ac:dyDescent="0.2">
      <c r="B49" s="364">
        <v>35</v>
      </c>
      <c r="C49" s="367">
        <f t="shared" si="7"/>
        <v>0.25</v>
      </c>
      <c r="D49" s="369">
        <v>0.25</v>
      </c>
      <c r="E49" s="365">
        <v>0.25</v>
      </c>
      <c r="F49" s="391">
        <f t="shared" si="2"/>
        <v>0.25</v>
      </c>
      <c r="G49" s="373"/>
      <c r="N49" s="30" t="str">
        <f t="shared" ca="1" si="1"/>
        <v>Bypass</v>
      </c>
      <c r="O49" s="30" t="str">
        <f>$C123</f>
        <v>Bypass</v>
      </c>
      <c r="P49" s="392" t="str">
        <f t="shared" si="3"/>
        <v>D</v>
      </c>
      <c r="Q49" s="392">
        <f t="shared" si="4"/>
        <v>123</v>
      </c>
    </row>
    <row r="50" spans="2:17" x14ac:dyDescent="0.2">
      <c r="B50" s="364">
        <v>36</v>
      </c>
      <c r="C50" s="367">
        <f t="shared" si="7"/>
        <v>0.5</v>
      </c>
      <c r="D50" s="369">
        <v>0.5</v>
      </c>
      <c r="E50" s="365">
        <v>0.5</v>
      </c>
      <c r="F50" s="391">
        <f t="shared" si="2"/>
        <v>0.5</v>
      </c>
      <c r="G50" s="373"/>
      <c r="N50" s="30" t="str">
        <f t="shared" ca="1" si="1"/>
        <v>Bypass</v>
      </c>
      <c r="O50" s="30" t="str">
        <f>$C123</f>
        <v>Bypass</v>
      </c>
      <c r="P50" s="392" t="str">
        <f t="shared" si="3"/>
        <v>E</v>
      </c>
      <c r="Q50" s="392">
        <f t="shared" si="4"/>
        <v>123</v>
      </c>
    </row>
    <row r="51" spans="2:17" x14ac:dyDescent="0.2">
      <c r="B51" s="364">
        <v>37</v>
      </c>
      <c r="C51" s="367">
        <f t="shared" si="7"/>
        <v>0.75</v>
      </c>
      <c r="D51" s="369">
        <v>0.75</v>
      </c>
      <c r="E51" s="365">
        <v>0.75</v>
      </c>
      <c r="F51" s="391">
        <f t="shared" si="2"/>
        <v>0.75</v>
      </c>
      <c r="G51" s="373"/>
      <c r="N51" s="30" t="str">
        <f t="shared" ca="1" si="1"/>
        <v>Bypass</v>
      </c>
      <c r="O51" s="30" t="str">
        <f>$C123</f>
        <v>Bypass</v>
      </c>
      <c r="P51" s="392" t="str">
        <f t="shared" si="3"/>
        <v>F</v>
      </c>
      <c r="Q51" s="392">
        <f t="shared" si="4"/>
        <v>123</v>
      </c>
    </row>
    <row r="52" spans="2:17" x14ac:dyDescent="0.2">
      <c r="B52" s="364">
        <v>38</v>
      </c>
      <c r="C52" s="367">
        <f t="shared" si="7"/>
        <v>1</v>
      </c>
      <c r="D52" s="369">
        <v>1</v>
      </c>
      <c r="E52" s="365">
        <v>1</v>
      </c>
      <c r="F52" s="391">
        <f t="shared" si="2"/>
        <v>1</v>
      </c>
      <c r="G52" s="373"/>
      <c r="N52" s="30" t="str">
        <f t="shared" ca="1" si="1"/>
        <v>FU konstant</v>
      </c>
      <c r="O52" s="30" t="str">
        <f>$C124</f>
        <v>CF constant</v>
      </c>
      <c r="P52" s="392" t="str">
        <f t="shared" si="3"/>
        <v>D</v>
      </c>
      <c r="Q52" s="392">
        <f t="shared" si="4"/>
        <v>124</v>
      </c>
    </row>
    <row r="53" spans="2:17" ht="24" x14ac:dyDescent="0.2">
      <c r="B53" s="364">
        <v>39</v>
      </c>
      <c r="C53" s="367" t="str">
        <f t="shared" si="7"/>
        <v>Remplacement du moteur</v>
      </c>
      <c r="D53" s="369" t="s">
        <v>181</v>
      </c>
      <c r="E53" s="365" t="s">
        <v>600</v>
      </c>
      <c r="F53" s="391" t="str">
        <f t="shared" si="2"/>
        <v>Ersatz Motor</v>
      </c>
      <c r="G53" s="373"/>
      <c r="N53" s="30" t="str">
        <f t="shared" ca="1" si="1"/>
        <v>CF constant</v>
      </c>
      <c r="O53" s="30" t="str">
        <f>$C124</f>
        <v>CF constant</v>
      </c>
      <c r="P53" s="392" t="str">
        <f t="shared" si="3"/>
        <v>E</v>
      </c>
      <c r="Q53" s="392">
        <f t="shared" si="4"/>
        <v>124</v>
      </c>
    </row>
    <row r="54" spans="2:17" ht="24" x14ac:dyDescent="0.2">
      <c r="B54" s="364">
        <v>40</v>
      </c>
      <c r="C54" s="367" t="str">
        <f t="shared" si="7"/>
        <v>Régulation vitesse de rotation</v>
      </c>
      <c r="D54" s="369" t="s">
        <v>182</v>
      </c>
      <c r="E54" s="365" t="s">
        <v>651</v>
      </c>
      <c r="F54" s="391" t="str">
        <f t="shared" si="2"/>
        <v>Drehzahl-Regulierung</v>
      </c>
      <c r="G54" s="373"/>
      <c r="N54" s="30" t="str">
        <f t="shared" ca="1" si="1"/>
        <v>FU konstant</v>
      </c>
      <c r="O54" s="30" t="str">
        <f>$C124</f>
        <v>CF constant</v>
      </c>
      <c r="P54" s="392" t="str">
        <f t="shared" si="3"/>
        <v>F</v>
      </c>
      <c r="Q54" s="392">
        <f t="shared" si="4"/>
        <v>124</v>
      </c>
    </row>
    <row r="55" spans="2:17" ht="24" x14ac:dyDescent="0.2">
      <c r="B55" s="364">
        <v>41</v>
      </c>
      <c r="C55" s="367" t="str">
        <f t="shared" si="7"/>
        <v>Redimensionnement installation</v>
      </c>
      <c r="D55" s="369" t="s">
        <v>300</v>
      </c>
      <c r="E55" s="365" t="s">
        <v>650</v>
      </c>
      <c r="F55" s="391" t="str">
        <f t="shared" si="2"/>
        <v>Redimensionierung Anlage</v>
      </c>
      <c r="G55" s="373"/>
      <c r="N55" s="30" t="str">
        <f t="shared" ca="1" si="1"/>
        <v>FU</v>
      </c>
      <c r="O55" s="30" t="str">
        <f>$C125</f>
        <v>CF</v>
      </c>
      <c r="P55" s="392" t="str">
        <f t="shared" si="3"/>
        <v>D</v>
      </c>
      <c r="Q55" s="392">
        <f t="shared" si="4"/>
        <v>125</v>
      </c>
    </row>
    <row r="56" spans="2:17" x14ac:dyDescent="0.2">
      <c r="B56" s="364">
        <v>42</v>
      </c>
      <c r="C56" s="367" t="str">
        <f t="shared" ref="C56:C68" si="8">IF(G56&lt;&gt;"",G56,INDEX(Matrix_Texte.Sprachen,B56,Parameter_Sprache.ID))</f>
        <v>ouvert / fermé</v>
      </c>
      <c r="D56" s="380" t="s">
        <v>188</v>
      </c>
      <c r="E56" s="381" t="s">
        <v>653</v>
      </c>
      <c r="F56" s="391" t="str">
        <f t="shared" si="2"/>
        <v>offen / geschlossen</v>
      </c>
      <c r="G56" s="383"/>
      <c r="N56" s="30" t="str">
        <f t="shared" ca="1" si="1"/>
        <v>CF</v>
      </c>
      <c r="O56" s="30" t="str">
        <f>$C125</f>
        <v>CF</v>
      </c>
      <c r="P56" s="392" t="str">
        <f t="shared" si="3"/>
        <v>E</v>
      </c>
      <c r="Q56" s="392">
        <f t="shared" si="4"/>
        <v>125</v>
      </c>
    </row>
    <row r="57" spans="2:17" x14ac:dyDescent="0.2">
      <c r="B57" s="364">
        <v>43</v>
      </c>
      <c r="C57" s="367" t="str">
        <f t="shared" si="8"/>
        <v>variable / cst</v>
      </c>
      <c r="D57" s="380" t="s">
        <v>189</v>
      </c>
      <c r="E57" s="381" t="s">
        <v>654</v>
      </c>
      <c r="F57" s="391" t="str">
        <f t="shared" si="2"/>
        <v>variabel / kst</v>
      </c>
      <c r="G57" s="383"/>
      <c r="N57" s="30" t="str">
        <f t="shared" ca="1" si="1"/>
        <v>FU</v>
      </c>
      <c r="O57" s="30" t="str">
        <f>$C125</f>
        <v>CF</v>
      </c>
      <c r="P57" s="392" t="str">
        <f t="shared" si="3"/>
        <v>F</v>
      </c>
      <c r="Q57" s="392">
        <f t="shared" si="4"/>
        <v>125</v>
      </c>
    </row>
    <row r="58" spans="2:17" x14ac:dyDescent="0.2">
      <c r="B58" s="364">
        <v>44</v>
      </c>
      <c r="C58" s="367" t="str">
        <f t="shared" si="8"/>
        <v>Aucune/E/Bp/CF</v>
      </c>
      <c r="D58" s="380" t="s">
        <v>192</v>
      </c>
      <c r="E58" s="381" t="s">
        <v>655</v>
      </c>
      <c r="F58" s="391" t="str">
        <f t="shared" si="2"/>
        <v>keine/D/Bp/FU</v>
      </c>
      <c r="G58" s="383"/>
      <c r="N58" s="30" t="str">
        <f t="shared" ca="1" si="1"/>
        <v>Punkte aus Schritt 1</v>
      </c>
      <c r="O58" s="30" t="str">
        <f>$C126</f>
        <v>Points selon étape 1</v>
      </c>
      <c r="P58" s="392" t="str">
        <f t="shared" si="3"/>
        <v>D</v>
      </c>
      <c r="Q58" s="392">
        <f t="shared" si="4"/>
        <v>126</v>
      </c>
    </row>
    <row r="59" spans="2:17" x14ac:dyDescent="0.2">
      <c r="B59" s="364">
        <v>45</v>
      </c>
      <c r="C59" s="367" t="str">
        <f t="shared" si="8"/>
        <v>Supposition</v>
      </c>
      <c r="D59" s="380" t="s">
        <v>172</v>
      </c>
      <c r="E59" s="381" t="s">
        <v>656</v>
      </c>
      <c r="F59" s="391" t="str">
        <f t="shared" si="2"/>
        <v>Annahme</v>
      </c>
      <c r="G59" s="383"/>
      <c r="N59" s="30" t="str">
        <f t="shared" ca="1" si="1"/>
        <v>Points selon étape 1</v>
      </c>
      <c r="O59" s="30" t="str">
        <f>$C126</f>
        <v>Points selon étape 1</v>
      </c>
      <c r="P59" s="392" t="str">
        <f t="shared" si="3"/>
        <v>E</v>
      </c>
      <c r="Q59" s="392">
        <f t="shared" si="4"/>
        <v>126</v>
      </c>
    </row>
    <row r="60" spans="2:17" x14ac:dyDescent="0.2">
      <c r="B60" s="364">
        <v>46</v>
      </c>
      <c r="C60" s="367" t="str">
        <f t="shared" si="8"/>
        <v>Saisie</v>
      </c>
      <c r="D60" s="380" t="s">
        <v>173</v>
      </c>
      <c r="E60" s="381" t="s">
        <v>658</v>
      </c>
      <c r="F60" s="391" t="str">
        <f t="shared" si="2"/>
        <v>Eingabe</v>
      </c>
      <c r="G60" s="383"/>
      <c r="N60" s="30" t="str">
        <f t="shared" ca="1" si="1"/>
        <v>Punkte aus Schritt 1</v>
      </c>
      <c r="O60" s="30" t="str">
        <f>$C126</f>
        <v>Points selon étape 1</v>
      </c>
      <c r="P60" s="392" t="str">
        <f t="shared" si="3"/>
        <v>F</v>
      </c>
      <c r="Q60" s="392">
        <f t="shared" si="4"/>
        <v>126</v>
      </c>
    </row>
    <row r="61" spans="2:17" x14ac:dyDescent="0.2">
      <c r="B61" s="364">
        <v>47</v>
      </c>
      <c r="C61" s="367" t="str">
        <f t="shared" si="8"/>
        <v>--&gt; valeur</v>
      </c>
      <c r="D61" s="380" t="s">
        <v>270</v>
      </c>
      <c r="E61" s="386" t="s">
        <v>657</v>
      </c>
      <c r="F61" s="391" t="str">
        <f t="shared" si="2"/>
        <v>--&gt; Wert</v>
      </c>
      <c r="G61" s="383"/>
      <c r="N61" s="30" t="str">
        <f t="shared" ca="1" si="1"/>
        <v>Nennleistung</v>
      </c>
      <c r="O61" s="30" t="str">
        <f>$C127</f>
        <v>Puissance nominale</v>
      </c>
      <c r="P61" s="392" t="str">
        <f t="shared" si="3"/>
        <v>D</v>
      </c>
      <c r="Q61" s="392">
        <f t="shared" si="4"/>
        <v>127</v>
      </c>
    </row>
    <row r="62" spans="2:17" x14ac:dyDescent="0.2">
      <c r="B62" s="364">
        <v>48</v>
      </c>
      <c r="C62" s="367" t="str">
        <f t="shared" si="8"/>
        <v>Supposition</v>
      </c>
      <c r="D62" s="380" t="s">
        <v>172</v>
      </c>
      <c r="E62" s="387" t="str">
        <f>E59</f>
        <v>Supposition</v>
      </c>
      <c r="F62" s="391" t="str">
        <f t="shared" si="2"/>
        <v>Annahme</v>
      </c>
      <c r="G62" s="383"/>
      <c r="N62" s="30" t="str">
        <f t="shared" ca="1" si="1"/>
        <v>Puissance nominale</v>
      </c>
      <c r="O62" s="30" t="str">
        <f>$C127</f>
        <v>Puissance nominale</v>
      </c>
      <c r="P62" s="392" t="str">
        <f t="shared" si="3"/>
        <v>E</v>
      </c>
      <c r="Q62" s="392">
        <f t="shared" si="4"/>
        <v>127</v>
      </c>
    </row>
    <row r="63" spans="2:17" x14ac:dyDescent="0.2">
      <c r="B63" s="364">
        <v>49</v>
      </c>
      <c r="C63" s="367" t="str">
        <f t="shared" si="8"/>
        <v>Saisie</v>
      </c>
      <c r="D63" s="380" t="s">
        <v>173</v>
      </c>
      <c r="E63" s="387" t="str">
        <f t="shared" ref="E63:E64" si="9">E60</f>
        <v>Saisie</v>
      </c>
      <c r="F63" s="391" t="str">
        <f t="shared" si="2"/>
        <v>Eingabe</v>
      </c>
      <c r="G63" s="383"/>
      <c r="N63" s="30" t="str">
        <f t="shared" ca="1" si="1"/>
        <v>Nennleistung</v>
      </c>
      <c r="O63" s="30" t="str">
        <f>$C127</f>
        <v>Puissance nominale</v>
      </c>
      <c r="P63" s="392" t="str">
        <f t="shared" si="3"/>
        <v>F</v>
      </c>
      <c r="Q63" s="392">
        <f t="shared" si="4"/>
        <v>127</v>
      </c>
    </row>
    <row r="64" spans="2:17" x14ac:dyDescent="0.2">
      <c r="B64" s="364">
        <v>50</v>
      </c>
      <c r="C64" s="367" t="str">
        <f t="shared" si="8"/>
        <v>--&gt; valeur</v>
      </c>
      <c r="D64" s="380" t="s">
        <v>270</v>
      </c>
      <c r="E64" s="387" t="str">
        <f t="shared" si="9"/>
        <v>--&gt; valeur</v>
      </c>
      <c r="F64" s="391" t="str">
        <f t="shared" si="2"/>
        <v>--&gt; Wert</v>
      </c>
      <c r="G64" s="383"/>
      <c r="N64" s="30" t="str">
        <f t="shared" ca="1" si="1"/>
        <v>Stromverbrauch (P * t)</v>
      </c>
      <c r="O64" s="30" t="str">
        <f>$C128</f>
        <v>Consommation électrique (P * t)</v>
      </c>
      <c r="P64" s="392" t="str">
        <f t="shared" si="3"/>
        <v>D</v>
      </c>
      <c r="Q64" s="392">
        <f t="shared" si="4"/>
        <v>128</v>
      </c>
    </row>
    <row r="65" spans="1:17" x14ac:dyDescent="0.2">
      <c r="B65" s="364">
        <v>51</v>
      </c>
      <c r="C65" s="367" t="str">
        <f t="shared" si="8"/>
        <v>[h/a]</v>
      </c>
      <c r="D65" s="380" t="s">
        <v>44</v>
      </c>
      <c r="E65" s="381" t="s">
        <v>44</v>
      </c>
      <c r="F65" s="391" t="str">
        <f t="shared" si="2"/>
        <v>[h/a]</v>
      </c>
      <c r="G65" s="383"/>
      <c r="N65" s="30" t="str">
        <f t="shared" ca="1" si="1"/>
        <v>Consommation électrique (P * t)</v>
      </c>
      <c r="O65" s="30" t="str">
        <f>$C128</f>
        <v>Consommation électrique (P * t)</v>
      </c>
      <c r="P65" s="392" t="str">
        <f t="shared" si="3"/>
        <v>E</v>
      </c>
      <c r="Q65" s="392">
        <f t="shared" si="4"/>
        <v>128</v>
      </c>
    </row>
    <row r="66" spans="1:17" x14ac:dyDescent="0.2">
      <c r="B66" s="364">
        <v>52</v>
      </c>
      <c r="C66" s="367" t="str">
        <f t="shared" si="8"/>
        <v>[%]</v>
      </c>
      <c r="D66" s="380" t="s">
        <v>125</v>
      </c>
      <c r="E66" s="381" t="s">
        <v>125</v>
      </c>
      <c r="F66" s="391" t="str">
        <f t="shared" si="2"/>
        <v>[%]</v>
      </c>
      <c r="G66" s="383"/>
      <c r="N66" s="30" t="str">
        <f t="shared" ca="1" si="1"/>
        <v>Stromverbrauch (P * t)</v>
      </c>
      <c r="O66" s="30" t="str">
        <f>$C128</f>
        <v>Consommation électrique (P * t)</v>
      </c>
      <c r="P66" s="392" t="str">
        <f t="shared" si="3"/>
        <v>F</v>
      </c>
      <c r="Q66" s="392">
        <f t="shared" si="4"/>
        <v>128</v>
      </c>
    </row>
    <row r="67" spans="1:17" x14ac:dyDescent="0.2">
      <c r="B67" s="364">
        <v>53</v>
      </c>
      <c r="C67" s="367" t="str">
        <f t="shared" si="8"/>
        <v>[kWh/a]</v>
      </c>
      <c r="D67" s="380" t="s">
        <v>105</v>
      </c>
      <c r="E67" s="381" t="s">
        <v>105</v>
      </c>
      <c r="F67" s="391" t="str">
        <f t="shared" si="2"/>
        <v>[kWh/a]</v>
      </c>
      <c r="G67" s="383"/>
      <c r="N67" s="30" t="str">
        <f t="shared" ca="1" si="1"/>
        <v>Nennleistung</v>
      </c>
      <c r="O67" s="30" t="str">
        <f>$C129</f>
        <v>Puissance nominale</v>
      </c>
      <c r="P67" s="392" t="str">
        <f t="shared" si="3"/>
        <v>D</v>
      </c>
      <c r="Q67" s="392">
        <f t="shared" si="4"/>
        <v>129</v>
      </c>
    </row>
    <row r="68" spans="1:17" x14ac:dyDescent="0.2">
      <c r="B68" s="364">
        <v>54</v>
      </c>
      <c r="C68" s="367" t="str">
        <f t="shared" si="8"/>
        <v>[CHF/a]</v>
      </c>
      <c r="D68" s="380" t="s">
        <v>106</v>
      </c>
      <c r="E68" s="381" t="s">
        <v>106</v>
      </c>
      <c r="F68" s="391" t="str">
        <f t="shared" si="2"/>
        <v>[CHF/a]</v>
      </c>
      <c r="G68" s="383"/>
      <c r="N68" s="30" t="str">
        <f t="shared" ca="1" si="1"/>
        <v>Puissance nominale</v>
      </c>
      <c r="O68" s="30" t="str">
        <f>$C129</f>
        <v>Puissance nominale</v>
      </c>
      <c r="P68" s="392" t="str">
        <f t="shared" si="3"/>
        <v>E</v>
      </c>
      <c r="Q68" s="392">
        <f t="shared" si="4"/>
        <v>129</v>
      </c>
    </row>
    <row r="69" spans="1:17" ht="60" x14ac:dyDescent="0.2">
      <c r="A69" s="377" t="s">
        <v>659</v>
      </c>
      <c r="B69" s="364">
        <v>55</v>
      </c>
      <c r="C69" s="367" t="str">
        <f t="shared" ref="C69:C80" si="10">IF(G69&lt;&gt;"",G69,INDEX(Matrix_Texte.Sprachen,B69,Parameter_Sprache.ID))</f>
        <v>Outil d'analyse grossière ProEPA - installations de pompage efficaces (énergie)</v>
      </c>
      <c r="D69" s="369" t="s">
        <v>370</v>
      </c>
      <c r="E69" s="387" t="str">
        <f>E15</f>
        <v>Outil d'analyse grossière ProEPA - installations de pompage efficaces (énergie)</v>
      </c>
      <c r="F69" s="391" t="str">
        <f t="shared" si="2"/>
        <v>Grobanalyse-Tool ProEPA - Energieeffiziente Pumpen</v>
      </c>
      <c r="G69" s="383"/>
      <c r="N69" s="30" t="str">
        <f t="shared" ca="1" si="1"/>
        <v>Nennleistung</v>
      </c>
      <c r="O69" s="30" t="str">
        <f>$C129</f>
        <v>Puissance nominale</v>
      </c>
      <c r="P69" s="392" t="str">
        <f t="shared" si="3"/>
        <v>F</v>
      </c>
      <c r="Q69" s="392">
        <f t="shared" si="4"/>
        <v>129</v>
      </c>
    </row>
    <row r="70" spans="1:17" x14ac:dyDescent="0.2">
      <c r="B70" s="364">
        <v>56</v>
      </c>
      <c r="C70" s="367" t="str">
        <f t="shared" si="10"/>
        <v>Résultats détaillés</v>
      </c>
      <c r="D70" s="380" t="s">
        <v>273</v>
      </c>
      <c r="E70" s="381" t="s">
        <v>662</v>
      </c>
      <c r="F70" s="391" t="str">
        <f t="shared" si="2"/>
        <v>Detaillierte Resultate</v>
      </c>
      <c r="G70" s="383"/>
      <c r="N70" s="30" t="str">
        <f t="shared" ca="1" si="1"/>
        <v>Stromverbrauch (P * t * Lastfaktor)</v>
      </c>
      <c r="O70" s="30" t="str">
        <f>$C130</f>
        <v>Consommation électrique (P * t * facteur de puissance)</v>
      </c>
      <c r="P70" s="392" t="str">
        <f t="shared" si="3"/>
        <v>D</v>
      </c>
      <c r="Q70" s="392">
        <f t="shared" si="4"/>
        <v>130</v>
      </c>
    </row>
    <row r="71" spans="1:17" ht="72" x14ac:dyDescent="0.2">
      <c r="B71" s="364">
        <v>57</v>
      </c>
      <c r="C71" s="367" t="str">
        <f t="shared" si="10"/>
        <v>Dans la présente feuille de calcul, le potentiel d'économie estimé est indiqué et commenté pour chaque</v>
      </c>
      <c r="D71" s="380" t="s">
        <v>343</v>
      </c>
      <c r="E71" s="381" t="s">
        <v>661</v>
      </c>
      <c r="F71" s="391" t="str">
        <f t="shared" si="2"/>
        <v>In den vorliegenden "detaillierten Resultate" werden für jede der im 1. Schritt ausgewählten Pumpenanlagen</v>
      </c>
      <c r="G71" s="383"/>
      <c r="N71" s="30" t="str">
        <f t="shared" ca="1" si="1"/>
        <v>Consommation électrique (P * t * facteur de puissance)</v>
      </c>
      <c r="O71" s="30" t="str">
        <f>$C130</f>
        <v>Consommation électrique (P * t * facteur de puissance)</v>
      </c>
      <c r="P71" s="392" t="str">
        <f t="shared" si="3"/>
        <v>E</v>
      </c>
      <c r="Q71" s="392">
        <f t="shared" si="4"/>
        <v>130</v>
      </c>
    </row>
    <row r="72" spans="1:17" ht="48" x14ac:dyDescent="0.2">
      <c r="B72" s="364">
        <v>58</v>
      </c>
      <c r="C72" s="367" t="str">
        <f t="shared" si="10"/>
        <v>installation de pompage sélectionnée dans l'étape 1.</v>
      </c>
      <c r="D72" s="380" t="s">
        <v>870</v>
      </c>
      <c r="E72" s="381" t="s">
        <v>660</v>
      </c>
      <c r="F72" s="391" t="str">
        <f t="shared" si="2"/>
        <v>das abgeschätzte Einsparpotenzial gezeigt und kommentiert.</v>
      </c>
      <c r="G72" s="383"/>
      <c r="N72" s="30" t="str">
        <f t="shared" ca="1" si="1"/>
        <v>Stromverbrauch (P * t * Lastfaktor)</v>
      </c>
      <c r="O72" s="30" t="str">
        <f>$C130</f>
        <v>Consommation électrique (P * t * facteur de puissance)</v>
      </c>
      <c r="P72" s="392" t="str">
        <f t="shared" si="3"/>
        <v>F</v>
      </c>
      <c r="Q72" s="392">
        <f t="shared" si="4"/>
        <v>130</v>
      </c>
    </row>
    <row r="73" spans="1:17" x14ac:dyDescent="0.2">
      <c r="B73" s="364">
        <v>59</v>
      </c>
      <c r="C73" s="367" t="str">
        <f t="shared" si="10"/>
        <v>Prix du courant:</v>
      </c>
      <c r="D73" s="380" t="s">
        <v>176</v>
      </c>
      <c r="E73" s="387" t="str">
        <f>E36</f>
        <v>Prix du courant:</v>
      </c>
      <c r="F73" s="391" t="str">
        <f t="shared" si="2"/>
        <v>Strompreis:</v>
      </c>
      <c r="G73" s="383"/>
      <c r="N73" s="30" t="str">
        <f t="shared" ca="1" si="1"/>
        <v>Einsparpotenzial gemäss Schritt 2</v>
      </c>
      <c r="O73" s="30" t="str">
        <f>$C131</f>
        <v>Potentiel d'économie selon étape 2</v>
      </c>
      <c r="P73" s="392" t="str">
        <f t="shared" si="3"/>
        <v>D</v>
      </c>
      <c r="Q73" s="392">
        <f t="shared" si="4"/>
        <v>131</v>
      </c>
    </row>
    <row r="74" spans="1:17" x14ac:dyDescent="0.2">
      <c r="B74" s="364">
        <v>60</v>
      </c>
      <c r="C74" s="367" t="str">
        <f t="shared" si="10"/>
        <v>Rp/kWh</v>
      </c>
      <c r="D74" s="380" t="s">
        <v>23</v>
      </c>
      <c r="E74" s="387" t="str">
        <f t="shared" ref="E74" si="11">E37</f>
        <v>Rp/kWh</v>
      </c>
      <c r="F74" s="391" t="str">
        <f t="shared" si="2"/>
        <v>Rp/kWh</v>
      </c>
      <c r="G74" s="383"/>
      <c r="N74" s="30" t="str">
        <f t="shared" ca="1" si="1"/>
        <v>Potentiel d'économie selon étape 2</v>
      </c>
      <c r="O74" s="30" t="str">
        <f>$C131</f>
        <v>Potentiel d'économie selon étape 2</v>
      </c>
      <c r="P74" s="392" t="str">
        <f t="shared" si="3"/>
        <v>E</v>
      </c>
      <c r="Q74" s="392">
        <f t="shared" si="4"/>
        <v>131</v>
      </c>
    </row>
    <row r="75" spans="1:17" x14ac:dyDescent="0.2">
      <c r="B75" s="364">
        <v>61</v>
      </c>
      <c r="C75" s="367" t="str">
        <f t="shared" si="10"/>
        <v>Trier selon:</v>
      </c>
      <c r="D75" s="380" t="s">
        <v>330</v>
      </c>
      <c r="E75" s="381" t="s">
        <v>663</v>
      </c>
      <c r="F75" s="391" t="str">
        <f t="shared" si="2"/>
        <v>Sortieren nach:</v>
      </c>
      <c r="G75" s="383"/>
      <c r="N75" s="30" t="str">
        <f t="shared" ca="1" si="1"/>
        <v>Einsparpotenzial gemäss Schritt 2</v>
      </c>
      <c r="O75" s="30" t="str">
        <f>$C131</f>
        <v>Potentiel d'économie selon étape 2</v>
      </c>
      <c r="P75" s="392" t="str">
        <f t="shared" si="3"/>
        <v>F</v>
      </c>
      <c r="Q75" s="392">
        <f t="shared" si="4"/>
        <v>131</v>
      </c>
    </row>
    <row r="76" spans="1:17" ht="36" x14ac:dyDescent="0.2">
      <c r="B76" s="364">
        <v>62</v>
      </c>
      <c r="C76" s="367" t="str">
        <f t="shared" si="10"/>
        <v>Estimation du potentiel d'économie pour</v>
      </c>
      <c r="D76" s="380" t="s">
        <v>871</v>
      </c>
      <c r="E76" s="387" t="str">
        <f>E43</f>
        <v>Estimation du potentiel d'économie pour</v>
      </c>
      <c r="F76" s="391" t="str">
        <f t="shared" si="2"/>
        <v>Abgeschätztes Einsparpotenzial durch</v>
      </c>
      <c r="G76" s="383"/>
    </row>
    <row r="77" spans="1:17" x14ac:dyDescent="0.2">
      <c r="B77" s="364">
        <v>63</v>
      </c>
      <c r="C77" s="367" t="str">
        <f t="shared" si="10"/>
        <v>Potentiel d'économie</v>
      </c>
      <c r="D77" s="380" t="s">
        <v>374</v>
      </c>
      <c r="E77" s="381" t="s">
        <v>664</v>
      </c>
      <c r="F77" s="391" t="str">
        <f t="shared" si="2"/>
        <v>Einsparpotenzial</v>
      </c>
      <c r="G77" s="383"/>
    </row>
    <row r="78" spans="1:17" x14ac:dyDescent="0.2">
      <c r="B78" s="364">
        <v>64</v>
      </c>
      <c r="C78" s="367" t="str">
        <f t="shared" si="10"/>
        <v>Recommandation</v>
      </c>
      <c r="D78" s="380" t="s">
        <v>491</v>
      </c>
      <c r="E78" s="381" t="s">
        <v>665</v>
      </c>
      <c r="F78" s="391" t="str">
        <f t="shared" si="2"/>
        <v>Empfehlung</v>
      </c>
      <c r="G78" s="383"/>
    </row>
    <row r="79" spans="1:17" x14ac:dyDescent="0.2">
      <c r="B79" s="364">
        <v>65</v>
      </c>
      <c r="C79" s="367" t="str">
        <f t="shared" si="10"/>
        <v>Mise en garde</v>
      </c>
      <c r="D79" s="380" t="s">
        <v>492</v>
      </c>
      <c r="E79" s="381" t="s">
        <v>666</v>
      </c>
      <c r="F79" s="391" t="str">
        <f t="shared" si="2"/>
        <v>Warnung</v>
      </c>
      <c r="G79" s="383"/>
    </row>
    <row r="80" spans="1:17" ht="24" x14ac:dyDescent="0.2">
      <c r="B80" s="364">
        <v>66</v>
      </c>
      <c r="C80" s="367" t="str">
        <f t="shared" si="10"/>
        <v>Remplacement du moteur</v>
      </c>
      <c r="D80" s="380" t="s">
        <v>181</v>
      </c>
      <c r="E80" s="387" t="str">
        <f>E53</f>
        <v>Remplacement du moteur</v>
      </c>
      <c r="F80" s="391" t="str">
        <f t="shared" si="2"/>
        <v>Ersatz Motor</v>
      </c>
      <c r="G80" s="383"/>
    </row>
    <row r="81" spans="1:7" ht="24" x14ac:dyDescent="0.2">
      <c r="B81" s="364">
        <v>67</v>
      </c>
      <c r="C81" s="367" t="str">
        <f t="shared" ref="C81:C93" si="12">IF(G81&lt;&gt;"",G81,INDEX(Matrix_Texte.Sprachen,B81,Parameter_Sprache.ID))</f>
        <v>Régulation vitesse de rotation</v>
      </c>
      <c r="D81" s="380" t="s">
        <v>182</v>
      </c>
      <c r="E81" s="387" t="str">
        <f t="shared" ref="E81:E82" si="13">E54</f>
        <v>Régulation vitesse de rotation</v>
      </c>
      <c r="F81" s="391" t="str">
        <f t="shared" si="2"/>
        <v>Drehzahl-Regulierung</v>
      </c>
      <c r="G81" s="383"/>
    </row>
    <row r="82" spans="1:7" ht="24" x14ac:dyDescent="0.2">
      <c r="B82" s="364">
        <v>68</v>
      </c>
      <c r="C82" s="367" t="str">
        <f t="shared" si="12"/>
        <v>Redimensionnement installation</v>
      </c>
      <c r="D82" s="380" t="s">
        <v>300</v>
      </c>
      <c r="E82" s="387" t="str">
        <f t="shared" si="13"/>
        <v>Redimensionnement installation</v>
      </c>
      <c r="F82" s="391" t="str">
        <f t="shared" ref="F82:F145" si="14">D82</f>
        <v>Redimensionierung Anlage</v>
      </c>
      <c r="G82" s="383"/>
    </row>
    <row r="83" spans="1:7" x14ac:dyDescent="0.2">
      <c r="B83" s="364">
        <v>69</v>
      </c>
      <c r="C83" s="367" t="str">
        <f t="shared" si="12"/>
        <v>Total</v>
      </c>
      <c r="D83" s="380" t="s">
        <v>274</v>
      </c>
      <c r="E83" s="381" t="s">
        <v>274</v>
      </c>
      <c r="F83" s="391" t="str">
        <f t="shared" si="14"/>
        <v>Total</v>
      </c>
      <c r="G83" s="383"/>
    </row>
    <row r="84" spans="1:7" x14ac:dyDescent="0.2">
      <c r="B84" s="364">
        <v>70</v>
      </c>
      <c r="C84" s="367" t="str">
        <f t="shared" si="12"/>
        <v>Analyse fine</v>
      </c>
      <c r="D84" s="380" t="s">
        <v>295</v>
      </c>
      <c r="E84" s="381" t="s">
        <v>667</v>
      </c>
      <c r="F84" s="391" t="str">
        <f t="shared" si="14"/>
        <v>Feinanalyse</v>
      </c>
      <c r="G84" s="383"/>
    </row>
    <row r="85" spans="1:7" x14ac:dyDescent="0.2">
      <c r="B85" s="364">
        <v>71</v>
      </c>
      <c r="C85" s="367" t="str">
        <f t="shared" si="12"/>
        <v>[%]</v>
      </c>
      <c r="D85" s="380" t="s">
        <v>125</v>
      </c>
      <c r="E85" s="381" t="s">
        <v>125</v>
      </c>
      <c r="F85" s="391" t="str">
        <f t="shared" si="14"/>
        <v>[%]</v>
      </c>
      <c r="G85" s="383"/>
    </row>
    <row r="86" spans="1:7" x14ac:dyDescent="0.2">
      <c r="B86" s="364">
        <v>72</v>
      </c>
      <c r="C86" s="367" t="str">
        <f t="shared" si="12"/>
        <v>[kWh/a]</v>
      </c>
      <c r="D86" s="380" t="s">
        <v>105</v>
      </c>
      <c r="E86" s="381" t="s">
        <v>105</v>
      </c>
      <c r="F86" s="391" t="str">
        <f t="shared" si="14"/>
        <v>[kWh/a]</v>
      </c>
      <c r="G86" s="383"/>
    </row>
    <row r="87" spans="1:7" x14ac:dyDescent="0.2">
      <c r="B87" s="364">
        <v>73</v>
      </c>
      <c r="C87" s="367" t="str">
        <f t="shared" si="12"/>
        <v>[CHF/a]</v>
      </c>
      <c r="D87" s="380" t="s">
        <v>106</v>
      </c>
      <c r="E87" s="381" t="s">
        <v>106</v>
      </c>
      <c r="F87" s="391" t="str">
        <f t="shared" si="14"/>
        <v>[CHF/a]</v>
      </c>
      <c r="G87" s="383"/>
    </row>
    <row r="88" spans="1:7" ht="60" x14ac:dyDescent="0.2">
      <c r="A88" s="377" t="s">
        <v>668</v>
      </c>
      <c r="B88" s="364">
        <v>74</v>
      </c>
      <c r="C88" s="367" t="str">
        <f t="shared" si="12"/>
        <v>Outil d'analyse grossière ProEPA - installations de pompage efficaces (énergie)</v>
      </c>
      <c r="D88" s="380" t="s">
        <v>370</v>
      </c>
      <c r="E88" s="387" t="str">
        <f>E15</f>
        <v>Outil d'analyse grossière ProEPA - installations de pompage efficaces (énergie)</v>
      </c>
      <c r="F88" s="391" t="str">
        <f t="shared" si="14"/>
        <v>Grobanalyse-Tool ProEPA - Energieeffiziente Pumpen</v>
      </c>
      <c r="G88" s="383"/>
    </row>
    <row r="89" spans="1:7" x14ac:dyDescent="0.2">
      <c r="B89" s="364">
        <v>75</v>
      </c>
      <c r="C89" s="367" t="str">
        <f t="shared" si="12"/>
        <v>Résumé</v>
      </c>
      <c r="D89" s="380" t="s">
        <v>389</v>
      </c>
      <c r="E89" s="381" t="s">
        <v>669</v>
      </c>
      <c r="F89" s="391" t="str">
        <f t="shared" si="14"/>
        <v>Zusamenfassung</v>
      </c>
      <c r="G89" s="383"/>
    </row>
    <row r="90" spans="1:7" ht="72" x14ac:dyDescent="0.2">
      <c r="B90" s="364">
        <v>76</v>
      </c>
      <c r="C90" s="367" t="str">
        <f t="shared" si="12"/>
        <v>Dans la présente feuille de calcul, les résultats des calculs sont résumés.</v>
      </c>
      <c r="D90" s="380" t="s">
        <v>542</v>
      </c>
      <c r="E90" s="381" t="s">
        <v>670</v>
      </c>
      <c r="F90" s="391" t="str">
        <f t="shared" si="14"/>
        <v>In der vorliegenden "Zusammenfassung" werden die Resultate aus den Eingaben und Berechnungen zusammengefasst.</v>
      </c>
      <c r="G90" s="383"/>
    </row>
    <row r="91" spans="1:7" x14ac:dyDescent="0.2">
      <c r="B91" s="364">
        <v>77</v>
      </c>
      <c r="C91" s="367" t="str">
        <f t="shared" si="12"/>
        <v>Nombre de pompes</v>
      </c>
      <c r="D91" s="380" t="s">
        <v>390</v>
      </c>
      <c r="E91" s="381" t="s">
        <v>671</v>
      </c>
      <c r="F91" s="391" t="str">
        <f t="shared" si="14"/>
        <v>Anzahl Pumpen</v>
      </c>
      <c r="G91" s="383"/>
    </row>
    <row r="92" spans="1:7" x14ac:dyDescent="0.2">
      <c r="B92" s="364">
        <v>78</v>
      </c>
      <c r="C92" s="367" t="str">
        <f t="shared" si="12"/>
        <v>Puissance</v>
      </c>
      <c r="D92" s="380" t="s">
        <v>391</v>
      </c>
      <c r="E92" s="381" t="s">
        <v>672</v>
      </c>
      <c r="F92" s="391" t="str">
        <f t="shared" si="14"/>
        <v>Leistung</v>
      </c>
      <c r="G92" s="383"/>
    </row>
    <row r="93" spans="1:7" ht="24" x14ac:dyDescent="0.2">
      <c r="B93" s="364">
        <v>79</v>
      </c>
      <c r="C93" s="367" t="str">
        <f t="shared" si="12"/>
        <v>Consommation électrique estimée</v>
      </c>
      <c r="D93" s="380" t="s">
        <v>392</v>
      </c>
      <c r="E93" s="381" t="s">
        <v>673</v>
      </c>
      <c r="F93" s="391" t="str">
        <f t="shared" si="14"/>
        <v>theorethischer Stromverbrauch</v>
      </c>
      <c r="G93" s="383"/>
    </row>
    <row r="94" spans="1:7" x14ac:dyDescent="0.2">
      <c r="B94" s="364">
        <v>80</v>
      </c>
      <c r="C94" s="367" t="str">
        <f t="shared" ref="C94:C103" si="15">IF(G94&lt;&gt;"",G94,INDEX(Matrix_Texte.Sprachen,B94,Parameter_Sprache.ID))</f>
        <v>Potentiel d'économie</v>
      </c>
      <c r="D94" s="380" t="s">
        <v>872</v>
      </c>
      <c r="E94" s="381" t="s">
        <v>664</v>
      </c>
      <c r="F94" s="391" t="str">
        <f t="shared" si="14"/>
        <v>Einsparpozential</v>
      </c>
      <c r="G94" s="383"/>
    </row>
    <row r="95" spans="1:7" x14ac:dyDescent="0.2">
      <c r="B95" s="364">
        <v>81</v>
      </c>
      <c r="C95" s="367" t="str">
        <f t="shared" si="15"/>
        <v>[#]</v>
      </c>
      <c r="D95" s="380" t="s">
        <v>393</v>
      </c>
      <c r="E95" s="381" t="s">
        <v>393</v>
      </c>
      <c r="F95" s="391" t="str">
        <f t="shared" si="14"/>
        <v>[#]</v>
      </c>
      <c r="G95" s="383"/>
    </row>
    <row r="96" spans="1:7" x14ac:dyDescent="0.2">
      <c r="B96" s="364">
        <v>82</v>
      </c>
      <c r="C96" s="367" t="str">
        <f t="shared" si="15"/>
        <v>[kW]</v>
      </c>
      <c r="D96" s="380" t="s">
        <v>43</v>
      </c>
      <c r="E96" s="381" t="s">
        <v>43</v>
      </c>
      <c r="F96" s="391" t="str">
        <f t="shared" si="14"/>
        <v>[kW]</v>
      </c>
      <c r="G96" s="383"/>
    </row>
    <row r="97" spans="1:7" x14ac:dyDescent="0.2">
      <c r="B97" s="364">
        <v>83</v>
      </c>
      <c r="C97" s="367" t="str">
        <f t="shared" si="15"/>
        <v>[kWh/a]</v>
      </c>
      <c r="D97" s="380" t="s">
        <v>105</v>
      </c>
      <c r="E97" s="381" t="s">
        <v>105</v>
      </c>
      <c r="F97" s="391" t="str">
        <f t="shared" si="14"/>
        <v>[kWh/a]</v>
      </c>
      <c r="G97" s="383"/>
    </row>
    <row r="98" spans="1:7" x14ac:dyDescent="0.2">
      <c r="B98" s="364">
        <v>84</v>
      </c>
      <c r="C98" s="367" t="str">
        <f t="shared" si="15"/>
        <v>[CHF/a]</v>
      </c>
      <c r="D98" s="380" t="s">
        <v>106</v>
      </c>
      <c r="E98" s="381" t="s">
        <v>106</v>
      </c>
      <c r="F98" s="391" t="str">
        <f t="shared" si="14"/>
        <v>[CHF/a]</v>
      </c>
      <c r="G98" s="383"/>
    </row>
    <row r="99" spans="1:7" ht="24" x14ac:dyDescent="0.2">
      <c r="B99" s="364">
        <v>85</v>
      </c>
      <c r="C99" s="367" t="str">
        <f t="shared" si="15"/>
        <v>Toutes les pompes listée</v>
      </c>
      <c r="D99" s="380" t="s">
        <v>503</v>
      </c>
      <c r="E99" s="381" t="s">
        <v>674</v>
      </c>
      <c r="F99" s="391" t="str">
        <f t="shared" si="14"/>
        <v>Alle eingegebenen Pumpen</v>
      </c>
      <c r="G99" s="383"/>
    </row>
    <row r="100" spans="1:7" ht="24" x14ac:dyDescent="0.2">
      <c r="B100" s="364">
        <v>86</v>
      </c>
      <c r="C100" s="367" t="str">
        <f t="shared" si="15"/>
        <v>dont entrées incomplètes:</v>
      </c>
      <c r="D100" s="380" t="s">
        <v>504</v>
      </c>
      <c r="E100" s="381" t="s">
        <v>675</v>
      </c>
      <c r="F100" s="391" t="str">
        <f t="shared" si="14"/>
        <v>davon unvollständig</v>
      </c>
      <c r="G100" s="383"/>
    </row>
    <row r="101" spans="1:7" ht="24" x14ac:dyDescent="0.2">
      <c r="B101" s="364">
        <v>87</v>
      </c>
      <c r="C101" s="367" t="str">
        <f t="shared" si="15"/>
        <v>dont reprises dans l'étape 2:</v>
      </c>
      <c r="D101" s="380" t="s">
        <v>394</v>
      </c>
      <c r="E101" s="381" t="s">
        <v>676</v>
      </c>
      <c r="F101" s="391" t="str">
        <f t="shared" si="14"/>
        <v>davon in Schritt 2 übernommen:</v>
      </c>
      <c r="G101" s="383"/>
    </row>
    <row r="102" spans="1:7" ht="24" x14ac:dyDescent="0.2">
      <c r="B102" s="364">
        <v>88</v>
      </c>
      <c r="C102" s="367" t="str">
        <f t="shared" si="15"/>
        <v>toutes les pompes avec:</v>
      </c>
      <c r="D102" s="380" t="s">
        <v>395</v>
      </c>
      <c r="E102" s="381" t="s">
        <v>677</v>
      </c>
      <c r="F102" s="391" t="str">
        <f t="shared" si="14"/>
        <v>alle Pumpen mit:</v>
      </c>
      <c r="G102" s="383"/>
    </row>
    <row r="103" spans="1:7" ht="24" x14ac:dyDescent="0.2">
      <c r="B103" s="364">
        <v>89</v>
      </c>
      <c r="C103" s="367" t="str">
        <f t="shared" si="15"/>
        <v>temps de marche incohérents</v>
      </c>
      <c r="D103" s="380" t="s">
        <v>505</v>
      </c>
      <c r="E103" s="381" t="s">
        <v>678</v>
      </c>
      <c r="F103" s="391" t="str">
        <f t="shared" si="14"/>
        <v>inkohärenten Zeitangaben</v>
      </c>
      <c r="G103" s="383"/>
    </row>
    <row r="104" spans="1:7" x14ac:dyDescent="0.2">
      <c r="B104" s="364">
        <v>90</v>
      </c>
      <c r="C104" s="367" t="str">
        <f t="shared" ref="C104:C107" si="16">IF(G104&lt;&gt;"",G104,INDEX(Matrix_Texte.Sprachen,B104,Parameter_Sprache.ID))</f>
        <v>Total</v>
      </c>
      <c r="D104" s="380" t="s">
        <v>274</v>
      </c>
      <c r="E104" s="381" t="s">
        <v>274</v>
      </c>
      <c r="F104" s="391" t="str">
        <f t="shared" si="14"/>
        <v>Total</v>
      </c>
      <c r="G104" s="383"/>
    </row>
    <row r="105" spans="1:7" x14ac:dyDescent="0.2">
      <c r="B105" s="364">
        <v>91</v>
      </c>
      <c r="C105" s="367" t="str">
        <f t="shared" si="16"/>
        <v>Contacts:</v>
      </c>
      <c r="D105" s="380" t="s">
        <v>399</v>
      </c>
      <c r="E105" s="381" t="s">
        <v>679</v>
      </c>
      <c r="F105" s="391" t="str">
        <f t="shared" si="14"/>
        <v>Kontakte:</v>
      </c>
      <c r="G105" s="383"/>
    </row>
    <row r="106" spans="1:7" ht="60" x14ac:dyDescent="0.2">
      <c r="B106" s="364">
        <v>92</v>
      </c>
      <c r="C106" s="367" t="str">
        <f t="shared" si="16"/>
        <v>Information concernant l'analyse fine, les subventions et ProEPA en général: info@proepa.ch</v>
      </c>
      <c r="D106" s="380" t="s">
        <v>833</v>
      </c>
      <c r="E106" s="381" t="s">
        <v>834</v>
      </c>
      <c r="F106" s="391" t="str">
        <f t="shared" si="14"/>
        <v>Informationen zu Feinanalyse, 
Förderung und ProEPA generell: info@proepa.ch</v>
      </c>
      <c r="G106" s="383"/>
    </row>
    <row r="107" spans="1:7" x14ac:dyDescent="0.2">
      <c r="B107" s="364">
        <v>93</v>
      </c>
      <c r="C107" s="367" t="str">
        <f t="shared" si="16"/>
        <v>info@proepa.ch</v>
      </c>
      <c r="D107" s="380" t="s">
        <v>561</v>
      </c>
      <c r="E107" s="381" t="s">
        <v>561</v>
      </c>
      <c r="F107" s="391" t="str">
        <f t="shared" si="14"/>
        <v>info@proepa.ch</v>
      </c>
      <c r="G107" s="383"/>
    </row>
    <row r="108" spans="1:7" ht="60" x14ac:dyDescent="0.2">
      <c r="A108" s="377" t="s">
        <v>680</v>
      </c>
      <c r="B108" s="364">
        <v>94</v>
      </c>
      <c r="C108" s="367" t="str">
        <f t="shared" ref="C108:C115" si="17">IF(G108&lt;&gt;"",G108,INDEX(Matrix_Texte.Sprachen,B108,Parameter_Sprache.ID))</f>
        <v>Outil d'analyse grossière ProEPA - installations de pompage efficaces (énergie)</v>
      </c>
      <c r="D108" s="380" t="s">
        <v>370</v>
      </c>
      <c r="E108" s="387" t="str">
        <f>E15</f>
        <v>Outil d'analyse grossière ProEPA - installations de pompage efficaces (énergie)</v>
      </c>
      <c r="F108" s="391" t="str">
        <f t="shared" si="14"/>
        <v>Grobanalyse-Tool ProEPA - Energieeffiziente Pumpen</v>
      </c>
      <c r="G108" s="383"/>
    </row>
    <row r="109" spans="1:7" x14ac:dyDescent="0.2">
      <c r="B109" s="364">
        <v>95</v>
      </c>
      <c r="C109" s="367" t="str">
        <f t="shared" si="17"/>
        <v>Notes personnelles</v>
      </c>
      <c r="D109" s="380" t="s">
        <v>385</v>
      </c>
      <c r="E109" s="381" t="s">
        <v>681</v>
      </c>
      <c r="F109" s="391" t="str">
        <f t="shared" si="14"/>
        <v>Eigene Notizen</v>
      </c>
      <c r="G109" s="383"/>
    </row>
    <row r="110" spans="1:7" ht="72" x14ac:dyDescent="0.2">
      <c r="B110" s="364">
        <v>96</v>
      </c>
      <c r="C110" s="367" t="str">
        <f t="shared" si="17"/>
        <v>La présente page 'notes personnelles' permet à l'utilisateur de consigner diverses informations utiles. Ces informations</v>
      </c>
      <c r="D110" s="380" t="s">
        <v>386</v>
      </c>
      <c r="E110" s="381" t="s">
        <v>682</v>
      </c>
      <c r="F110" s="391" t="str">
        <f t="shared" si="14"/>
        <v>Im vorliegenden Blatt 'eigene Notizen' kann der Anwender Notizen hineinschreiben. Diese Notizen werden nicht für die</v>
      </c>
      <c r="G110" s="383"/>
    </row>
    <row r="111" spans="1:7" ht="84" x14ac:dyDescent="0.2">
      <c r="B111" s="364">
        <v>97</v>
      </c>
      <c r="C111" s="367" t="str">
        <f t="shared" si="17"/>
        <v>ne sont pas utilisées pour les calculs. Il s'agit simplement d'informations et commentaires que l'utilisateur aimerait conserver.</v>
      </c>
      <c r="D111" s="380" t="s">
        <v>387</v>
      </c>
      <c r="E111" s="381" t="s">
        <v>683</v>
      </c>
      <c r="F111" s="391" t="str">
        <f t="shared" si="14"/>
        <v>Berechnungen benutzt. Es sind nur zusätzliche Infos und Kommentare, welche der Anwender aufnehmen möchte.</v>
      </c>
      <c r="G111" s="383"/>
    </row>
    <row r="112" spans="1:7" x14ac:dyDescent="0.2">
      <c r="A112" s="377" t="s">
        <v>24</v>
      </c>
      <c r="B112" s="364">
        <v>98</v>
      </c>
      <c r="C112" s="367" t="str">
        <f t="shared" si="17"/>
        <v>avec vannes</v>
      </c>
      <c r="D112" s="380" t="s">
        <v>194</v>
      </c>
      <c r="E112" s="381" t="s">
        <v>684</v>
      </c>
      <c r="F112" s="391" t="str">
        <f t="shared" si="14"/>
        <v>mit Ventilen</v>
      </c>
      <c r="G112" s="383"/>
    </row>
    <row r="113" spans="2:7" x14ac:dyDescent="0.2">
      <c r="B113" s="364">
        <v>99</v>
      </c>
      <c r="C113" s="367" t="str">
        <f t="shared" si="17"/>
        <v>ouvert</v>
      </c>
      <c r="D113" s="380" t="s">
        <v>46</v>
      </c>
      <c r="E113" s="381" t="s">
        <v>687</v>
      </c>
      <c r="F113" s="391" t="str">
        <f t="shared" si="14"/>
        <v>offen</v>
      </c>
      <c r="G113" s="383"/>
    </row>
    <row r="114" spans="2:7" x14ac:dyDescent="0.2">
      <c r="B114" s="364">
        <v>100</v>
      </c>
      <c r="C114" s="367" t="str">
        <f t="shared" si="17"/>
        <v>fermé</v>
      </c>
      <c r="D114" s="380" t="s">
        <v>164</v>
      </c>
      <c r="E114" s="381" t="s">
        <v>685</v>
      </c>
      <c r="F114" s="391" t="str">
        <f t="shared" si="14"/>
        <v>geschlossen</v>
      </c>
      <c r="G114" s="383"/>
    </row>
    <row r="115" spans="2:7" x14ac:dyDescent="0.2">
      <c r="B115" s="364">
        <v>101</v>
      </c>
      <c r="C115" s="367" t="str">
        <f t="shared" si="17"/>
        <v>en série</v>
      </c>
      <c r="D115" s="380" t="s">
        <v>197</v>
      </c>
      <c r="E115" s="381" t="s">
        <v>686</v>
      </c>
      <c r="F115" s="391" t="str">
        <f t="shared" si="14"/>
        <v>Serie</v>
      </c>
      <c r="G115" s="383"/>
    </row>
    <row r="116" spans="2:7" x14ac:dyDescent="0.2">
      <c r="B116" s="364">
        <v>102</v>
      </c>
      <c r="C116" s="367" t="str">
        <f t="shared" ref="C116:C138" si="18">IF(G116&lt;&gt;"",G116,INDEX(Matrix_Texte.Sprachen,B116,Parameter_Sprache.ID))</f>
        <v>N° selon étape 1</v>
      </c>
      <c r="D116" s="380" t="s">
        <v>331</v>
      </c>
      <c r="E116" s="381" t="s">
        <v>696</v>
      </c>
      <c r="F116" s="391" t="str">
        <f t="shared" si="14"/>
        <v>Nr gemäss Schritt 1</v>
      </c>
      <c r="G116" s="383"/>
    </row>
    <row r="117" spans="2:7" x14ac:dyDescent="0.2">
      <c r="B117" s="364">
        <v>103</v>
      </c>
      <c r="C117" s="367" t="str">
        <f t="shared" si="18"/>
        <v>ouvert</v>
      </c>
      <c r="D117" s="380" t="s">
        <v>46</v>
      </c>
      <c r="E117" s="387" t="str">
        <f>E113</f>
        <v>ouvert</v>
      </c>
      <c r="F117" s="391" t="str">
        <f t="shared" si="14"/>
        <v>offen</v>
      </c>
      <c r="G117" s="383"/>
    </row>
    <row r="118" spans="2:7" x14ac:dyDescent="0.2">
      <c r="B118" s="364">
        <v>104</v>
      </c>
      <c r="C118" s="367" t="str">
        <f t="shared" si="18"/>
        <v>fermé</v>
      </c>
      <c r="D118" s="380" t="s">
        <v>164</v>
      </c>
      <c r="E118" s="387" t="str">
        <f>E114</f>
        <v>fermé</v>
      </c>
      <c r="F118" s="391" t="str">
        <f t="shared" si="14"/>
        <v>geschlossen</v>
      </c>
      <c r="G118" s="383"/>
    </row>
    <row r="119" spans="2:7" x14ac:dyDescent="0.2">
      <c r="B119" s="364">
        <v>105</v>
      </c>
      <c r="C119" s="367" t="str">
        <f t="shared" si="18"/>
        <v>variable</v>
      </c>
      <c r="D119" s="380" t="s">
        <v>167</v>
      </c>
      <c r="E119" s="381" t="s">
        <v>692</v>
      </c>
      <c r="F119" s="391" t="str">
        <f t="shared" si="14"/>
        <v>variabel</v>
      </c>
      <c r="G119" s="383"/>
    </row>
    <row r="120" spans="2:7" x14ac:dyDescent="0.2">
      <c r="B120" s="364">
        <v>106</v>
      </c>
      <c r="C120" s="367" t="str">
        <f t="shared" si="18"/>
        <v>constant</v>
      </c>
      <c r="D120" s="380" t="s">
        <v>168</v>
      </c>
      <c r="E120" s="381" t="s">
        <v>693</v>
      </c>
      <c r="F120" s="391" t="str">
        <f t="shared" si="14"/>
        <v>konstant</v>
      </c>
      <c r="G120" s="383"/>
    </row>
    <row r="121" spans="2:7" x14ac:dyDescent="0.2">
      <c r="B121" s="364">
        <v>107</v>
      </c>
      <c r="C121" s="367" t="str">
        <f t="shared" si="18"/>
        <v>aucune</v>
      </c>
      <c r="D121" s="380" t="s">
        <v>169</v>
      </c>
      <c r="E121" s="381" t="s">
        <v>694</v>
      </c>
      <c r="F121" s="391" t="str">
        <f t="shared" si="14"/>
        <v>keine</v>
      </c>
      <c r="G121" s="383"/>
    </row>
    <row r="122" spans="2:7" ht="24" x14ac:dyDescent="0.2">
      <c r="B122" s="364">
        <v>108</v>
      </c>
      <c r="C122" s="367" t="str">
        <f t="shared" si="18"/>
        <v>par étranglement, vanne</v>
      </c>
      <c r="D122" s="380" t="s">
        <v>170</v>
      </c>
      <c r="E122" s="381" t="s">
        <v>695</v>
      </c>
      <c r="F122" s="391" t="str">
        <f t="shared" si="14"/>
        <v>Drosselung</v>
      </c>
      <c r="G122" s="383"/>
    </row>
    <row r="123" spans="2:7" x14ac:dyDescent="0.2">
      <c r="B123" s="364">
        <v>109</v>
      </c>
      <c r="C123" s="367" t="str">
        <f t="shared" si="18"/>
        <v>Bypass</v>
      </c>
      <c r="D123" s="380" t="s">
        <v>171</v>
      </c>
      <c r="E123" s="381" t="s">
        <v>171</v>
      </c>
      <c r="F123" s="391" t="str">
        <f t="shared" si="14"/>
        <v>Bypass</v>
      </c>
      <c r="G123" s="383"/>
    </row>
    <row r="124" spans="2:7" x14ac:dyDescent="0.2">
      <c r="B124" s="364">
        <v>110</v>
      </c>
      <c r="C124" s="367" t="str">
        <f t="shared" si="18"/>
        <v>CF constant</v>
      </c>
      <c r="D124" s="380" t="s">
        <v>689</v>
      </c>
      <c r="E124" s="381" t="s">
        <v>690</v>
      </c>
      <c r="F124" s="391" t="str">
        <f t="shared" si="14"/>
        <v>FU konstant</v>
      </c>
      <c r="G124" s="383"/>
    </row>
    <row r="125" spans="2:7" x14ac:dyDescent="0.2">
      <c r="B125" s="364">
        <v>111</v>
      </c>
      <c r="C125" s="367" t="str">
        <f t="shared" si="18"/>
        <v>CF</v>
      </c>
      <c r="D125" s="380" t="s">
        <v>2</v>
      </c>
      <c r="E125" s="381" t="s">
        <v>691</v>
      </c>
      <c r="F125" s="391" t="str">
        <f t="shared" si="14"/>
        <v>FU</v>
      </c>
      <c r="G125" s="383"/>
    </row>
    <row r="126" spans="2:7" x14ac:dyDescent="0.2">
      <c r="B126" s="364">
        <v>112</v>
      </c>
      <c r="C126" s="367" t="str">
        <f t="shared" si="18"/>
        <v>Points selon étape 1</v>
      </c>
      <c r="D126" s="380" t="s">
        <v>332</v>
      </c>
      <c r="E126" s="381" t="s">
        <v>697</v>
      </c>
      <c r="F126" s="391" t="str">
        <f t="shared" si="14"/>
        <v>Punkte aus Schritt 1</v>
      </c>
      <c r="G126" s="383"/>
    </row>
    <row r="127" spans="2:7" x14ac:dyDescent="0.2">
      <c r="B127" s="364">
        <v>113</v>
      </c>
      <c r="C127" s="367" t="str">
        <f t="shared" si="18"/>
        <v>Puissance nominale</v>
      </c>
      <c r="D127" s="380" t="s">
        <v>333</v>
      </c>
      <c r="E127" s="381" t="s">
        <v>698</v>
      </c>
      <c r="F127" s="391" t="str">
        <f t="shared" si="14"/>
        <v>Nennleistung</v>
      </c>
      <c r="G127" s="383"/>
    </row>
    <row r="128" spans="2:7" ht="24" x14ac:dyDescent="0.2">
      <c r="B128" s="364">
        <v>114</v>
      </c>
      <c r="C128" s="367" t="str">
        <f t="shared" si="18"/>
        <v>Consommation électrique (P * t)</v>
      </c>
      <c r="D128" s="380" t="s">
        <v>334</v>
      </c>
      <c r="E128" s="381" t="s">
        <v>699</v>
      </c>
      <c r="F128" s="391" t="str">
        <f t="shared" si="14"/>
        <v>Stromverbrauch (P * t)</v>
      </c>
      <c r="G128" s="383"/>
    </row>
    <row r="129" spans="2:7" x14ac:dyDescent="0.2">
      <c r="B129" s="364">
        <v>115</v>
      </c>
      <c r="C129" s="367" t="str">
        <f t="shared" si="18"/>
        <v>Puissance nominale</v>
      </c>
      <c r="D129" s="380" t="s">
        <v>333</v>
      </c>
      <c r="E129" s="387" t="str">
        <f>E127</f>
        <v>Puissance nominale</v>
      </c>
      <c r="F129" s="391" t="str">
        <f t="shared" si="14"/>
        <v>Nennleistung</v>
      </c>
      <c r="G129" s="383"/>
    </row>
    <row r="130" spans="2:7" ht="36" x14ac:dyDescent="0.2">
      <c r="B130" s="364">
        <v>116</v>
      </c>
      <c r="C130" s="367" t="str">
        <f t="shared" si="18"/>
        <v>Consommation électrique (P * t * facteur de puissance)</v>
      </c>
      <c r="D130" s="380" t="s">
        <v>450</v>
      </c>
      <c r="E130" s="381" t="s">
        <v>700</v>
      </c>
      <c r="F130" s="391" t="str">
        <f t="shared" si="14"/>
        <v>Stromverbrauch (P * t * Lastfaktor)</v>
      </c>
      <c r="G130" s="383"/>
    </row>
    <row r="131" spans="2:7" ht="24" x14ac:dyDescent="0.2">
      <c r="B131" s="364">
        <v>117</v>
      </c>
      <c r="C131" s="367" t="str">
        <f t="shared" si="18"/>
        <v>Potentiel d'économie selon étape 2</v>
      </c>
      <c r="D131" s="380" t="s">
        <v>873</v>
      </c>
      <c r="E131" s="381" t="s">
        <v>701</v>
      </c>
      <c r="F131" s="391" t="str">
        <f t="shared" si="14"/>
        <v>Einsparpotenzial gemäss Schritt 2</v>
      </c>
      <c r="G131" s="383"/>
    </row>
    <row r="132" spans="2:7" x14ac:dyDescent="0.2">
      <c r="B132" s="364">
        <v>118</v>
      </c>
      <c r="C132" s="367" t="str">
        <f t="shared" si="18"/>
        <v>P et/ou t manquent!</v>
      </c>
      <c r="D132" s="380" t="s">
        <v>444</v>
      </c>
      <c r="E132" s="381" t="s">
        <v>702</v>
      </c>
      <c r="F132" s="391" t="str">
        <f t="shared" si="14"/>
        <v>P und/oder t fehlen!</v>
      </c>
      <c r="G132" s="383"/>
    </row>
    <row r="133" spans="2:7" ht="48" x14ac:dyDescent="0.2">
      <c r="B133" s="364">
        <v>119</v>
      </c>
      <c r="C133" s="367" t="str">
        <f t="shared" si="18"/>
        <v>Erreur dans les données concernant le temps de marche!</v>
      </c>
      <c r="D133" s="380" t="s">
        <v>447</v>
      </c>
      <c r="E133" s="381" t="s">
        <v>703</v>
      </c>
      <c r="F133" s="391" t="str">
        <f t="shared" si="14"/>
        <v>Fehler bei den Eingaben der Betriebszeiten nach Volumenstrom!</v>
      </c>
      <c r="G133" s="383"/>
    </row>
    <row r="134" spans="2:7" ht="48" x14ac:dyDescent="0.2">
      <c r="B134" s="364">
        <v>120</v>
      </c>
      <c r="C134" s="367" t="str">
        <f t="shared" si="18"/>
        <v>Attention! P ou t manque (étape 1) pour au moins une installation !</v>
      </c>
      <c r="D134" s="380" t="s">
        <v>513</v>
      </c>
      <c r="E134" s="381" t="s">
        <v>704</v>
      </c>
      <c r="F134" s="391" t="str">
        <f t="shared" si="14"/>
        <v>Achtung! Mindestens eine Anlage, bei welcher entweder P oder t fehlt (Schritt 1) !</v>
      </c>
      <c r="G134" s="383"/>
    </row>
    <row r="135" spans="2:7" ht="48" x14ac:dyDescent="0.2">
      <c r="B135" s="364">
        <v>121</v>
      </c>
      <c r="C135" s="367" t="str">
        <f t="shared" si="18"/>
        <v>Attention! Au moins une valeur manquante ou incohérente dans l'étape 1 ou 2 !</v>
      </c>
      <c r="D135" s="380" t="s">
        <v>515</v>
      </c>
      <c r="E135" s="381" t="s">
        <v>705</v>
      </c>
      <c r="F135" s="391" t="str">
        <f t="shared" si="14"/>
        <v>Achtung! Mindestens eine fehlende oder inkohärente Angabe in Schritt 1 oder 2 !</v>
      </c>
      <c r="G135" s="383"/>
    </row>
    <row r="136" spans="2:7" ht="24" x14ac:dyDescent="0.2">
      <c r="B136" s="364">
        <v>122</v>
      </c>
      <c r="C136" s="367" t="str">
        <f t="shared" si="18"/>
        <v>aucune mesure nécessaire</v>
      </c>
      <c r="D136" s="380" t="s">
        <v>405</v>
      </c>
      <c r="E136" s="381" t="s">
        <v>708</v>
      </c>
      <c r="F136" s="391" t="str">
        <f t="shared" si="14"/>
        <v>keine Massnahmen nötig</v>
      </c>
      <c r="G136" s="383"/>
    </row>
    <row r="137" spans="2:7" ht="24" x14ac:dyDescent="0.2">
      <c r="B137" s="364">
        <v>123</v>
      </c>
      <c r="C137" s="367" t="str">
        <f t="shared" si="18"/>
        <v>aucune mesure nécessaire</v>
      </c>
      <c r="D137" s="380" t="s">
        <v>405</v>
      </c>
      <c r="E137" s="381" t="s">
        <v>708</v>
      </c>
      <c r="F137" s="391" t="str">
        <f t="shared" si="14"/>
        <v>keine Massnahmen nötig</v>
      </c>
      <c r="G137" s="383"/>
    </row>
    <row r="138" spans="2:7" ht="24" x14ac:dyDescent="0.2">
      <c r="B138" s="364">
        <v>124</v>
      </c>
      <c r="C138" s="367" t="str">
        <f t="shared" si="18"/>
        <v>analyser évtl. plus en détail</v>
      </c>
      <c r="D138" s="380" t="s">
        <v>231</v>
      </c>
      <c r="E138" s="381" t="s">
        <v>709</v>
      </c>
      <c r="F138" s="391" t="str">
        <f t="shared" si="14"/>
        <v>Anlage evtl. genauer überprüfen</v>
      </c>
      <c r="G138" s="383"/>
    </row>
    <row r="139" spans="2:7" ht="24" x14ac:dyDescent="0.2">
      <c r="B139" s="364">
        <v>125</v>
      </c>
      <c r="C139" s="367" t="str">
        <f t="shared" ref="C139:C165" si="19">IF(G139&lt;&gt;"",G139,INDEX(Matrix_Texte.Sprachen,B139,Parameter_Sprache.ID))</f>
        <v>analyser plus en détail</v>
      </c>
      <c r="D139" s="380" t="s">
        <v>232</v>
      </c>
      <c r="E139" s="381" t="s">
        <v>710</v>
      </c>
      <c r="F139" s="391" t="str">
        <f t="shared" si="14"/>
        <v>Anlage genauer überprüfen</v>
      </c>
      <c r="G139" s="383"/>
    </row>
    <row r="140" spans="2:7" ht="24" x14ac:dyDescent="0.2">
      <c r="B140" s="364">
        <v>126</v>
      </c>
      <c r="C140" s="367" t="str">
        <f t="shared" si="19"/>
        <v>analyser plus en détail</v>
      </c>
      <c r="D140" s="380" t="s">
        <v>232</v>
      </c>
      <c r="E140" s="381" t="s">
        <v>710</v>
      </c>
      <c r="F140" s="391" t="str">
        <f t="shared" si="14"/>
        <v>Anlage genauer überprüfen</v>
      </c>
      <c r="G140" s="383"/>
    </row>
    <row r="141" spans="2:7" ht="24" x14ac:dyDescent="0.2">
      <c r="B141" s="364">
        <v>127</v>
      </c>
      <c r="C141" s="367" t="str">
        <f t="shared" si="19"/>
        <v>analyser plus en détail</v>
      </c>
      <c r="D141" s="380" t="s">
        <v>232</v>
      </c>
      <c r="E141" s="381" t="s">
        <v>710</v>
      </c>
      <c r="F141" s="391" t="str">
        <f t="shared" si="14"/>
        <v>Anlage genauer überprüfen</v>
      </c>
      <c r="G141" s="383"/>
    </row>
    <row r="142" spans="2:7" ht="24" x14ac:dyDescent="0.2">
      <c r="B142" s="364">
        <v>128</v>
      </c>
      <c r="C142" s="367" t="str">
        <f t="shared" si="19"/>
        <v>aucune mesure nécessaire</v>
      </c>
      <c r="D142" s="380" t="s">
        <v>405</v>
      </c>
      <c r="E142" s="381" t="s">
        <v>708</v>
      </c>
      <c r="F142" s="391" t="str">
        <f t="shared" si="14"/>
        <v>keine Massnahmen nötig</v>
      </c>
      <c r="G142" s="383"/>
    </row>
    <row r="143" spans="2:7" ht="24" x14ac:dyDescent="0.2">
      <c r="B143" s="364">
        <v>129</v>
      </c>
      <c r="C143" s="367" t="str">
        <f t="shared" si="19"/>
        <v>aucune mesure nécessaire</v>
      </c>
      <c r="D143" s="380" t="s">
        <v>405</v>
      </c>
      <c r="E143" s="381" t="s">
        <v>708</v>
      </c>
      <c r="F143" s="391" t="str">
        <f t="shared" si="14"/>
        <v>keine Massnahmen nötig</v>
      </c>
      <c r="G143" s="383"/>
    </row>
    <row r="144" spans="2:7" ht="24" x14ac:dyDescent="0.2">
      <c r="B144" s="364">
        <v>130</v>
      </c>
      <c r="C144" s="367" t="str">
        <f t="shared" si="19"/>
        <v>analyse fine recommandée</v>
      </c>
      <c r="D144" s="380" t="s">
        <v>297</v>
      </c>
      <c r="E144" s="381" t="s">
        <v>711</v>
      </c>
      <c r="F144" s="391" t="str">
        <f t="shared" si="14"/>
        <v>Feinanalyse empfohlen</v>
      </c>
      <c r="G144" s="383"/>
    </row>
    <row r="145" spans="1:14" ht="24" x14ac:dyDescent="0.2">
      <c r="B145" s="364">
        <v>131</v>
      </c>
      <c r="C145" s="367" t="str">
        <f t="shared" si="19"/>
        <v>analyse fine fortement recommandée</v>
      </c>
      <c r="D145" s="380" t="s">
        <v>298</v>
      </c>
      <c r="E145" s="381" t="s">
        <v>712</v>
      </c>
      <c r="F145" s="391" t="str">
        <f t="shared" si="14"/>
        <v>Feinanalyse sehr empfohlen</v>
      </c>
      <c r="G145" s="383"/>
    </row>
    <row r="146" spans="1:14" ht="24" x14ac:dyDescent="0.2">
      <c r="B146" s="364">
        <v>132</v>
      </c>
      <c r="C146" s="367" t="str">
        <f t="shared" si="19"/>
        <v>analyse fine fortement recommandée</v>
      </c>
      <c r="D146" s="380" t="s">
        <v>298</v>
      </c>
      <c r="E146" s="381" t="s">
        <v>712</v>
      </c>
      <c r="F146" s="391" t="str">
        <f t="shared" ref="F146:F184" si="20">D146</f>
        <v>Feinanalyse sehr empfohlen</v>
      </c>
      <c r="G146" s="383"/>
    </row>
    <row r="147" spans="1:14" x14ac:dyDescent="0.2">
      <c r="B147" s="364">
        <v>133</v>
      </c>
      <c r="C147" s="367" t="str">
        <f t="shared" si="19"/>
        <v>-</v>
      </c>
      <c r="D147" s="380" t="s">
        <v>280</v>
      </c>
      <c r="E147" s="381" t="s">
        <v>280</v>
      </c>
      <c r="F147" s="391" t="str">
        <f t="shared" si="20"/>
        <v>-</v>
      </c>
      <c r="G147" s="383"/>
    </row>
    <row r="148" spans="1:14" ht="24" x14ac:dyDescent="0.2">
      <c r="B148" s="364">
        <v>134</v>
      </c>
      <c r="C148" s="367" t="str">
        <f t="shared" si="19"/>
        <v>aucune mesure nécessaire</v>
      </c>
      <c r="D148" s="380" t="s">
        <v>405</v>
      </c>
      <c r="E148" s="381" t="s">
        <v>708</v>
      </c>
      <c r="F148" s="391" t="str">
        <f t="shared" si="20"/>
        <v>keine Massnahmen nötig</v>
      </c>
      <c r="G148" s="383"/>
    </row>
    <row r="149" spans="1:14" ht="24" x14ac:dyDescent="0.2">
      <c r="B149" s="364">
        <v>135</v>
      </c>
      <c r="C149" s="367" t="str">
        <f t="shared" si="19"/>
        <v>optimisation recommandée</v>
      </c>
      <c r="D149" s="380" t="s">
        <v>282</v>
      </c>
      <c r="E149" s="381" t="s">
        <v>713</v>
      </c>
      <c r="F149" s="391" t="str">
        <f t="shared" si="20"/>
        <v>Betriebsoptimierung empfohlen</v>
      </c>
      <c r="G149" s="383"/>
    </row>
    <row r="150" spans="1:14" ht="24" x14ac:dyDescent="0.2">
      <c r="B150" s="364">
        <v>136</v>
      </c>
      <c r="C150" s="367" t="str">
        <f t="shared" si="19"/>
        <v>optimisation fortement recommandée</v>
      </c>
      <c r="D150" s="380" t="s">
        <v>283</v>
      </c>
      <c r="E150" s="381" t="s">
        <v>714</v>
      </c>
      <c r="F150" s="391" t="str">
        <f t="shared" si="20"/>
        <v>Betriebsoptimierung sehr empfohlen</v>
      </c>
      <c r="G150" s="383"/>
    </row>
    <row r="151" spans="1:14" ht="24" x14ac:dyDescent="0.2">
      <c r="B151" s="364">
        <v>137</v>
      </c>
      <c r="C151" s="367" t="str">
        <f t="shared" si="19"/>
        <v>optimisation fortement recommandée</v>
      </c>
      <c r="D151" s="380" t="s">
        <v>283</v>
      </c>
      <c r="E151" s="381" t="s">
        <v>714</v>
      </c>
      <c r="F151" s="391" t="str">
        <f t="shared" si="20"/>
        <v>Betriebsoptimierung sehr empfohlen</v>
      </c>
      <c r="G151" s="383"/>
    </row>
    <row r="152" spans="1:14" ht="36" x14ac:dyDescent="0.2">
      <c r="B152" s="364">
        <v>138</v>
      </c>
      <c r="C152" s="367" t="str">
        <f t="shared" si="19"/>
        <v>Saisie manquante / incohérente aux étapes 1 ET 2 !</v>
      </c>
      <c r="D152" s="380" t="s">
        <v>512</v>
      </c>
      <c r="E152" s="381" t="s">
        <v>715</v>
      </c>
      <c r="F152" s="391" t="str">
        <f t="shared" si="20"/>
        <v>Fehlende / inkohärente Angaben in Schritt 1 UND 2 !</v>
      </c>
      <c r="G152" s="383"/>
    </row>
    <row r="153" spans="1:14" ht="36" x14ac:dyDescent="0.2">
      <c r="B153" s="364">
        <v>139</v>
      </c>
      <c r="C153" s="367" t="str">
        <f t="shared" si="19"/>
        <v>Temps de marche incohérents à l'étape 2 !</v>
      </c>
      <c r="D153" s="380" t="s">
        <v>498</v>
      </c>
      <c r="E153" s="381" t="s">
        <v>716</v>
      </c>
      <c r="F153" s="391" t="str">
        <f t="shared" si="20"/>
        <v>Inkohärente Betriebszeiten in Schritt 2 !</v>
      </c>
      <c r="G153" s="383"/>
    </row>
    <row r="154" spans="1:14" ht="36" x14ac:dyDescent="0.2">
      <c r="B154" s="364">
        <v>140</v>
      </c>
      <c r="C154" s="367" t="str">
        <f t="shared" si="19"/>
        <v>Temps de marche incohérents à l'étape 2 !</v>
      </c>
      <c r="D154" s="380" t="s">
        <v>498</v>
      </c>
      <c r="E154" s="381" t="s">
        <v>716</v>
      </c>
      <c r="F154" s="391" t="str">
        <f t="shared" si="20"/>
        <v>Inkohärente Betriebszeiten in Schritt 2 !</v>
      </c>
      <c r="G154" s="383"/>
    </row>
    <row r="155" spans="1:14" ht="36" x14ac:dyDescent="0.2">
      <c r="B155" s="364">
        <v>141</v>
      </c>
      <c r="C155" s="367" t="str">
        <f t="shared" si="19"/>
        <v>Temps de marche incohérents à l'étape 2 !</v>
      </c>
      <c r="D155" s="380" t="s">
        <v>498</v>
      </c>
      <c r="E155" s="381" t="s">
        <v>716</v>
      </c>
      <c r="F155" s="391" t="str">
        <f t="shared" si="20"/>
        <v>Inkohärente Betriebszeiten in Schritt 2 !</v>
      </c>
      <c r="G155" s="383"/>
    </row>
    <row r="156" spans="1:14" ht="36" x14ac:dyDescent="0.2">
      <c r="B156" s="364">
        <v>142</v>
      </c>
      <c r="C156" s="367" t="str">
        <f t="shared" si="19"/>
        <v>Données manquantes (P et/ou t) à l'étape 1 !</v>
      </c>
      <c r="D156" s="380" t="s">
        <v>497</v>
      </c>
      <c r="E156" s="381" t="s">
        <v>717</v>
      </c>
      <c r="F156" s="391" t="str">
        <f t="shared" si="20"/>
        <v>Fehlende Angabe (P und/oder t) in Schritt 1 !</v>
      </c>
      <c r="G156" s="383"/>
    </row>
    <row r="157" spans="1:14" ht="22.5" customHeight="1" x14ac:dyDescent="0.2">
      <c r="A157" s="394" t="s">
        <v>732</v>
      </c>
      <c r="B157" s="364">
        <v>143</v>
      </c>
      <c r="C157" s="396" t="str">
        <f t="shared" si="19"/>
        <v>Introduction</v>
      </c>
      <c r="D157" s="380" t="s">
        <v>733</v>
      </c>
      <c r="E157" s="381" t="s">
        <v>734</v>
      </c>
      <c r="F157" s="382" t="str">
        <f t="shared" si="20"/>
        <v>Anleitung</v>
      </c>
      <c r="G157" s="383"/>
      <c r="L157" s="461" t="s">
        <v>736</v>
      </c>
      <c r="M157" s="462" t="s">
        <v>739</v>
      </c>
      <c r="N157" s="399"/>
    </row>
    <row r="158" spans="1:14" x14ac:dyDescent="0.2">
      <c r="B158" s="364">
        <v>144</v>
      </c>
      <c r="C158" s="396" t="str">
        <f t="shared" si="19"/>
        <v>Etape 1</v>
      </c>
      <c r="D158" s="380" t="s">
        <v>26</v>
      </c>
      <c r="E158" s="381" t="s">
        <v>626</v>
      </c>
      <c r="F158" s="382" t="str">
        <f t="shared" si="20"/>
        <v>Schritt 1</v>
      </c>
      <c r="G158" s="383"/>
      <c r="L158" s="461"/>
      <c r="M158" s="462"/>
      <c r="N158" s="399"/>
    </row>
    <row r="159" spans="1:14" x14ac:dyDescent="0.2">
      <c r="B159" s="364">
        <v>145</v>
      </c>
      <c r="C159" s="396" t="str">
        <f t="shared" si="19"/>
        <v>Etape 2</v>
      </c>
      <c r="D159" s="380" t="s">
        <v>138</v>
      </c>
      <c r="E159" s="381" t="s">
        <v>635</v>
      </c>
      <c r="F159" s="382" t="str">
        <f t="shared" si="20"/>
        <v>Schritt 2</v>
      </c>
      <c r="G159" s="383"/>
      <c r="L159" s="461"/>
      <c r="M159" s="462"/>
      <c r="N159" s="399"/>
    </row>
    <row r="160" spans="1:14" x14ac:dyDescent="0.2">
      <c r="B160" s="364">
        <v>146</v>
      </c>
      <c r="C160" s="396" t="str">
        <f t="shared" si="19"/>
        <v>Résultats</v>
      </c>
      <c r="D160" s="380" t="s">
        <v>659</v>
      </c>
      <c r="E160" s="381" t="s">
        <v>735</v>
      </c>
      <c r="F160" s="382" t="str">
        <f t="shared" si="20"/>
        <v>Resultate</v>
      </c>
      <c r="G160" s="383"/>
      <c r="L160" s="461"/>
      <c r="M160" s="462"/>
      <c r="N160" s="399"/>
    </row>
    <row r="161" spans="1:14" x14ac:dyDescent="0.2">
      <c r="B161" s="364">
        <v>147</v>
      </c>
      <c r="C161" s="396" t="str">
        <f t="shared" si="19"/>
        <v>Résumé</v>
      </c>
      <c r="D161" s="380" t="s">
        <v>668</v>
      </c>
      <c r="E161" s="381" t="s">
        <v>669</v>
      </c>
      <c r="F161" s="382" t="str">
        <f t="shared" si="20"/>
        <v>Zusammenfassung</v>
      </c>
      <c r="G161" s="383"/>
      <c r="L161" s="461"/>
      <c r="M161" s="462"/>
      <c r="N161" s="399"/>
    </row>
    <row r="162" spans="1:14" ht="15" x14ac:dyDescent="0.25">
      <c r="B162" s="364">
        <v>148</v>
      </c>
      <c r="C162" s="396" t="str">
        <f t="shared" si="19"/>
        <v>Notes personnelles</v>
      </c>
      <c r="D162" s="380" t="s">
        <v>385</v>
      </c>
      <c r="E162" s="381" t="s">
        <v>681</v>
      </c>
      <c r="F162" s="382" t="str">
        <f t="shared" si="20"/>
        <v>Eigene Notizen</v>
      </c>
      <c r="G162" s="383"/>
      <c r="H162" s="4" t="s">
        <v>741</v>
      </c>
      <c r="I162" s="4" t="s">
        <v>198</v>
      </c>
      <c r="J162" s="4" t="s">
        <v>742</v>
      </c>
      <c r="K162" s="4" t="s">
        <v>771</v>
      </c>
      <c r="L162" s="461"/>
      <c r="M162" s="462"/>
      <c r="N162" s="399"/>
    </row>
    <row r="163" spans="1:14" ht="24" customHeight="1" x14ac:dyDescent="0.2">
      <c r="A163" s="394" t="s">
        <v>731</v>
      </c>
      <c r="B163" s="364">
        <v>149</v>
      </c>
      <c r="C163" s="395" t="str">
        <f t="shared" si="19"/>
        <v>N° interne, code, etc.</v>
      </c>
      <c r="D163" s="380" t="s">
        <v>729</v>
      </c>
      <c r="E163" s="381" t="s">
        <v>730</v>
      </c>
      <c r="F163" s="382" t="str">
        <f t="shared" si="20"/>
        <v>Interne Nummer, Code, etc.</v>
      </c>
      <c r="G163" s="383"/>
      <c r="H163" s="400">
        <v>2</v>
      </c>
      <c r="I163" s="401" t="s">
        <v>76</v>
      </c>
      <c r="J163" s="401">
        <v>6</v>
      </c>
      <c r="K163" s="402">
        <v>1</v>
      </c>
      <c r="L163" s="461"/>
      <c r="M163" s="461" t="s">
        <v>740</v>
      </c>
      <c r="N163" s="399"/>
    </row>
    <row r="164" spans="1:14" ht="72" x14ac:dyDescent="0.2">
      <c r="B164" s="364">
        <v>150</v>
      </c>
      <c r="C164" s="395" t="str">
        <f t="shared" si="19"/>
        <v>Puissance nominale du moteur, en kW.
A lire sur la plaque signalétique.</v>
      </c>
      <c r="D164" s="380" t="s">
        <v>743</v>
      </c>
      <c r="E164" s="397" t="s">
        <v>751</v>
      </c>
      <c r="F164" s="382" t="str">
        <f t="shared" si="20"/>
        <v>Elektrische Nennleistung des Elektromotors, in kW.
Kann aus dem Typenschild abgelesen werden.</v>
      </c>
      <c r="G164" s="383"/>
      <c r="H164" s="400">
        <v>2</v>
      </c>
      <c r="I164" s="401" t="s">
        <v>725</v>
      </c>
      <c r="J164" s="401">
        <v>6</v>
      </c>
      <c r="K164" s="402">
        <v>1</v>
      </c>
      <c r="L164" s="461"/>
      <c r="M164" s="461"/>
      <c r="N164" s="399"/>
    </row>
    <row r="165" spans="1:14" ht="36" x14ac:dyDescent="0.2">
      <c r="B165" s="364">
        <v>151</v>
      </c>
      <c r="C165" s="395" t="str">
        <f t="shared" si="19"/>
        <v>Temps de marche de la pompe, en heures par année.</v>
      </c>
      <c r="D165" s="380" t="s">
        <v>747</v>
      </c>
      <c r="E165" s="397" t="s">
        <v>752</v>
      </c>
      <c r="F165" s="382" t="str">
        <f t="shared" si="20"/>
        <v>Betriebszeit der Pumpe, in Stunden pro Jahr.</v>
      </c>
      <c r="G165" s="383"/>
      <c r="H165" s="400">
        <v>2</v>
      </c>
      <c r="I165" s="401" t="s">
        <v>726</v>
      </c>
      <c r="J165" s="401">
        <v>6</v>
      </c>
      <c r="K165" s="402">
        <v>1</v>
      </c>
      <c r="L165" s="461"/>
      <c r="M165" s="461"/>
      <c r="N165" s="399"/>
    </row>
    <row r="166" spans="1:14" ht="48" x14ac:dyDescent="0.2">
      <c r="B166" s="364">
        <v>152</v>
      </c>
      <c r="C166" s="395" t="str">
        <f t="shared" ref="C166:C184" si="21">IF(G166&lt;&gt;"",G166,INDEX(Matrix_Texte.Sprachen,B166,Parameter_Sprache.ID))</f>
        <v>Année de construction de l'installation (plaque signalétique de la pompe).</v>
      </c>
      <c r="D166" s="380" t="s">
        <v>748</v>
      </c>
      <c r="E166" s="397" t="s">
        <v>753</v>
      </c>
      <c r="F166" s="382" t="str">
        <f t="shared" si="20"/>
        <v>Baujahr der Anlage. Angabe auf dem Typenschild der Pumpe.</v>
      </c>
      <c r="G166" s="383"/>
      <c r="H166" s="400">
        <v>2</v>
      </c>
      <c r="I166" s="401" t="s">
        <v>744</v>
      </c>
      <c r="J166" s="401">
        <v>6</v>
      </c>
      <c r="K166" s="402">
        <v>1</v>
      </c>
      <c r="L166" s="461"/>
      <c r="M166" s="461"/>
      <c r="N166" s="399"/>
    </row>
    <row r="167" spans="1:14" ht="84" x14ac:dyDescent="0.2">
      <c r="B167" s="364">
        <v>153</v>
      </c>
      <c r="C167" s="395" t="str">
        <f t="shared" si="21"/>
        <v>Forcer l'étape 2 (analyse détaillée).
Par exp. si la pompe ne fonctionne plus correctement et doit prochainement être remplacée…</v>
      </c>
      <c r="D167" s="380" t="s">
        <v>749</v>
      </c>
      <c r="E167" s="397" t="s">
        <v>754</v>
      </c>
      <c r="F167" s="382" t="str">
        <f t="shared" si="20"/>
        <v>Schritt 2 (detailliertere Analyse) erzwingen.
Z.B. weil Pumpe nicht mehr richtig funktioniert und demnächst muss ersetzt werden…</v>
      </c>
      <c r="G167" s="383"/>
      <c r="H167" s="400">
        <v>2</v>
      </c>
      <c r="I167" s="401" t="s">
        <v>745</v>
      </c>
      <c r="J167" s="401">
        <v>6</v>
      </c>
      <c r="K167" s="402">
        <v>1</v>
      </c>
      <c r="L167" s="461"/>
      <c r="M167" s="461"/>
      <c r="N167" s="399"/>
    </row>
    <row r="168" spans="1:14" ht="72" x14ac:dyDescent="0.2">
      <c r="B168" s="364">
        <v>154</v>
      </c>
      <c r="C168" s="395" t="str">
        <f t="shared" si="21"/>
        <v>Estimation grossière de la probabilité qu'il existe des mesures rentables.</v>
      </c>
      <c r="D168" s="380" t="s">
        <v>750</v>
      </c>
      <c r="E168" s="397" t="s">
        <v>755</v>
      </c>
      <c r="F168" s="382" t="str">
        <f t="shared" si="20"/>
        <v>Grobe Abschätzung über die Wahrscheinlichkeit, dass wirtschaftliche Massnahmen vorhanden sind.</v>
      </c>
      <c r="G168" s="383"/>
      <c r="H168" s="400">
        <v>2</v>
      </c>
      <c r="I168" s="401" t="s">
        <v>746</v>
      </c>
      <c r="J168" s="401">
        <v>6</v>
      </c>
      <c r="K168" s="402">
        <v>1</v>
      </c>
      <c r="L168" s="461"/>
      <c r="M168" s="461"/>
      <c r="N168" s="399"/>
    </row>
    <row r="169" spans="1:14" ht="72" x14ac:dyDescent="0.2">
      <c r="B169" s="364">
        <v>155</v>
      </c>
      <c r="C169" s="395" t="str">
        <f t="shared" si="21"/>
        <v>Si le prix du courant n'est pas indiqué explicitement, un prix standard est utilisé pour les calculs (cf. ci-dessous).</v>
      </c>
      <c r="D169" s="380" t="s">
        <v>756</v>
      </c>
      <c r="E169" s="381" t="s">
        <v>760</v>
      </c>
      <c r="F169" s="382" t="str">
        <f t="shared" si="20"/>
        <v>Falls kein Strompreis eingegeben wird, wird für die Berechnungen ein Standardwert verwendet (s. unten).</v>
      </c>
      <c r="G169" s="383"/>
      <c r="H169" s="400">
        <v>3</v>
      </c>
      <c r="I169" s="401" t="s">
        <v>725</v>
      </c>
      <c r="J169" s="401">
        <v>6</v>
      </c>
      <c r="K169" s="402">
        <v>1</v>
      </c>
      <c r="L169" s="461"/>
      <c r="M169" s="461"/>
      <c r="N169" s="399"/>
    </row>
    <row r="170" spans="1:14" ht="84" x14ac:dyDescent="0.2">
      <c r="B170" s="364">
        <v>156</v>
      </c>
      <c r="C170" s="395" t="str">
        <f t="shared" si="21"/>
        <v>Heures de marches par année pour les différents débits volumiques (25%, 50%, 75% resp. 100% du débit nominal).</v>
      </c>
      <c r="D170" s="380" t="s">
        <v>758</v>
      </c>
      <c r="E170" s="381" t="s">
        <v>761</v>
      </c>
      <c r="F170" s="382" t="str">
        <f t="shared" si="20"/>
        <v>Betriebsstunden pro Jahr bei den verschiedenen Volumenströmen
(25%, 50%, 75% resp. 100% vom Nennvolumenstrom).</v>
      </c>
      <c r="G170" s="383"/>
      <c r="H170" s="400">
        <v>3</v>
      </c>
      <c r="I170" s="401" t="s">
        <v>757</v>
      </c>
      <c r="J170" s="401">
        <v>10</v>
      </c>
      <c r="K170" s="402">
        <v>1</v>
      </c>
      <c r="L170" s="461"/>
      <c r="M170" s="461"/>
      <c r="N170" s="399"/>
    </row>
    <row r="171" spans="1:14" ht="72" x14ac:dyDescent="0.2">
      <c r="B171" s="364">
        <v>157</v>
      </c>
      <c r="C171" s="395" t="str">
        <f t="shared" si="21"/>
        <v>Puissance nominale du moteur, en kW.
A lire sur la plaque signalétique.</v>
      </c>
      <c r="D171" s="398" t="str">
        <f>D164</f>
        <v>Elektrische Nennleistung des Elektromotors, in kW.
Kann aus dem Typenschild abgelesen werden.</v>
      </c>
      <c r="E171" s="387" t="str">
        <f>E164</f>
        <v>Puissance nominale du moteur, en kW.
A lire sur la plaque signalétique.</v>
      </c>
      <c r="F171" s="382" t="str">
        <f t="shared" si="20"/>
        <v>Elektrische Nennleistung des Elektromotors, in kW.
Kann aus dem Typenschild abgelesen werden.</v>
      </c>
      <c r="G171" s="383"/>
      <c r="H171" s="400">
        <v>3</v>
      </c>
      <c r="I171" s="401" t="s">
        <v>744</v>
      </c>
      <c r="J171" s="401">
        <v>11</v>
      </c>
      <c r="K171" s="402">
        <v>1</v>
      </c>
      <c r="L171" s="461"/>
      <c r="M171" s="461"/>
      <c r="N171" s="399"/>
    </row>
    <row r="172" spans="1:14" ht="84" customHeight="1" x14ac:dyDescent="0.2">
      <c r="B172" s="364">
        <v>158</v>
      </c>
      <c r="C172" s="395" t="str">
        <f t="shared" si="21"/>
        <v>Temps de marche de la pompe, en heures par année.</v>
      </c>
      <c r="D172" s="398" t="str">
        <f t="shared" ref="D172:E172" si="22">D165</f>
        <v>Betriebszeit der Pumpe, in Stunden pro Jahr.</v>
      </c>
      <c r="E172" s="387" t="str">
        <f t="shared" si="22"/>
        <v>Temps de marche de la pompe, en heures par année.</v>
      </c>
      <c r="F172" s="382" t="str">
        <f t="shared" si="20"/>
        <v>Betriebszeit der Pumpe, in Stunden pro Jahr.</v>
      </c>
      <c r="G172" s="383"/>
      <c r="H172" s="400">
        <v>3</v>
      </c>
      <c r="I172" s="401" t="s">
        <v>745</v>
      </c>
      <c r="J172" s="401">
        <v>11</v>
      </c>
      <c r="K172" s="402">
        <v>1</v>
      </c>
      <c r="L172" s="461"/>
      <c r="M172" s="461"/>
      <c r="N172" s="399"/>
    </row>
    <row r="173" spans="1:14" ht="72" customHeight="1" x14ac:dyDescent="0.2">
      <c r="B173" s="364">
        <v>159</v>
      </c>
      <c r="C173" s="395" t="str">
        <f t="shared" si="21"/>
        <v>Année de construction de l'installation (plaque signalétique de la pompe).</v>
      </c>
      <c r="D173" s="398" t="str">
        <f t="shared" ref="D173:E173" si="23">D166</f>
        <v>Baujahr der Anlage. Angabe auf dem Typenschild der Pumpe.</v>
      </c>
      <c r="E173" s="387" t="str">
        <f t="shared" si="23"/>
        <v>Année de construction de l'installation (plaque signalétique de la pompe).</v>
      </c>
      <c r="F173" s="382" t="str">
        <f t="shared" si="20"/>
        <v>Baujahr der Anlage. Angabe auf dem Typenschild der Pumpe.</v>
      </c>
      <c r="G173" s="383"/>
      <c r="H173" s="400">
        <v>3</v>
      </c>
      <c r="I173" s="401" t="s">
        <v>746</v>
      </c>
      <c r="J173" s="401">
        <v>11</v>
      </c>
      <c r="K173" s="402">
        <v>1</v>
      </c>
      <c r="L173" s="461"/>
      <c r="M173" s="461"/>
      <c r="N173" s="399"/>
    </row>
    <row r="174" spans="1:14" ht="84" x14ac:dyDescent="0.2">
      <c r="B174" s="364">
        <v>160</v>
      </c>
      <c r="C174" s="395" t="str">
        <f t="shared" si="21"/>
        <v>Circuit ouvert (p.exp. transport d'un liquide dans un réservoir surélevé) ou fermé (p.exp. circuit de chauffage).</v>
      </c>
      <c r="D174" s="380" t="s">
        <v>759</v>
      </c>
      <c r="E174" s="381" t="s">
        <v>762</v>
      </c>
      <c r="F174" s="382" t="str">
        <f t="shared" si="20"/>
        <v>Info ob der Kreislauf offen (z.B. Förderung Flüssigkeit in ein höher gelegenes Reservoir) oder geschlossen (z.B. Heizkreis) ist.</v>
      </c>
      <c r="G174" s="383"/>
      <c r="H174" s="400">
        <v>3</v>
      </c>
      <c r="I174" s="401" t="s">
        <v>763</v>
      </c>
      <c r="J174" s="401">
        <v>11</v>
      </c>
      <c r="K174" s="402">
        <v>1</v>
      </c>
      <c r="L174" s="461"/>
      <c r="M174" s="461"/>
      <c r="N174" s="399"/>
    </row>
    <row r="175" spans="1:14" ht="72" x14ac:dyDescent="0.2">
      <c r="B175" s="364">
        <v>161</v>
      </c>
      <c r="C175" s="395" t="str">
        <f t="shared" si="21"/>
        <v>Besoins (débit volumique, pression) variables (p.exp. Nombre variable d'utilisateurs) ou constants?</v>
      </c>
      <c r="D175" s="380" t="s">
        <v>767</v>
      </c>
      <c r="E175" s="381" t="s">
        <v>772</v>
      </c>
      <c r="F175" s="382" t="str">
        <f t="shared" si="20"/>
        <v>Info ob der Bedarf (Volumenstrom, Druck) variabel (z.B. variable Anzahl Verbraucher) oder konstant ist.</v>
      </c>
      <c r="G175" s="383"/>
      <c r="H175" s="400">
        <v>3</v>
      </c>
      <c r="I175" s="401" t="s">
        <v>764</v>
      </c>
      <c r="J175" s="401">
        <v>11</v>
      </c>
      <c r="K175" s="402">
        <v>1</v>
      </c>
      <c r="L175" s="461"/>
      <c r="M175" s="461"/>
      <c r="N175" s="399"/>
    </row>
    <row r="176" spans="1:14" ht="120" x14ac:dyDescent="0.2">
      <c r="B176" s="364">
        <v>162</v>
      </c>
      <c r="C176" s="395" t="str">
        <f t="shared" ref="C176:C178" si="24">IF(G176&lt;&gt;"",G176,INDEX(Matrix_Texte.Sprachen,B176,Parameter_Sprache.ID))</f>
        <v>Comment le débit volumique est-il régulé?
Rem.: Il se peut que le débit soit réduit par une vanne ou un étranglement, même si le besoin est constant.</v>
      </c>
      <c r="D176" s="380" t="s">
        <v>768</v>
      </c>
      <c r="E176" s="381" t="s">
        <v>773</v>
      </c>
      <c r="F176" s="382" t="str">
        <f t="shared" si="20"/>
        <v>Wie wird gegebenenfalls der Volumenstrom reguliert?
Bemerkung: Es kann bei konstantem Bedarf auch sein, dass der Volumenstrom mit einer Drosselung o.a. eingestellt wird.</v>
      </c>
      <c r="G176" s="383"/>
      <c r="H176" s="400">
        <v>3</v>
      </c>
      <c r="I176" s="401" t="s">
        <v>186</v>
      </c>
      <c r="J176" s="401">
        <v>11</v>
      </c>
      <c r="K176" s="402">
        <v>1</v>
      </c>
      <c r="L176" s="461"/>
      <c r="M176" s="461"/>
      <c r="N176" s="399"/>
    </row>
    <row r="177" spans="2:14" ht="72" x14ac:dyDescent="0.2">
      <c r="B177" s="364">
        <v>163</v>
      </c>
      <c r="C177" s="395" t="str">
        <f t="shared" si="24"/>
        <v>Cette valeur est calculée.
Si elle est inférieure à 0, les valeur entrées doivent être vérifiées!</v>
      </c>
      <c r="D177" s="380" t="s">
        <v>769</v>
      </c>
      <c r="E177" s="381" t="s">
        <v>774</v>
      </c>
      <c r="F177" s="382" t="str">
        <f t="shared" si="20"/>
        <v>Dieser Wert wird berechnet.
Falls er kleiner als 0 ist, sollen die Eingaben überprüft werden!</v>
      </c>
      <c r="G177" s="383"/>
      <c r="H177" s="400">
        <v>3</v>
      </c>
      <c r="I177" s="401" t="s">
        <v>765</v>
      </c>
      <c r="J177" s="401">
        <v>11</v>
      </c>
      <c r="K177" s="402">
        <v>1</v>
      </c>
      <c r="L177" s="461"/>
      <c r="M177" s="461"/>
      <c r="N177" s="399"/>
    </row>
    <row r="178" spans="2:14" ht="36" x14ac:dyDescent="0.2">
      <c r="B178" s="364">
        <v>164</v>
      </c>
      <c r="C178" s="395" t="str">
        <f t="shared" si="24"/>
        <v>Valeur utilisée pour la suite des calculs.</v>
      </c>
      <c r="D178" s="380" t="s">
        <v>770</v>
      </c>
      <c r="E178" s="381" t="s">
        <v>775</v>
      </c>
      <c r="F178" s="382" t="str">
        <f t="shared" si="20"/>
        <v>Für die weiteren Berechnungen benutzter Wert.</v>
      </c>
      <c r="G178" s="383"/>
      <c r="H178" s="400">
        <v>3</v>
      </c>
      <c r="I178" s="401" t="s">
        <v>766</v>
      </c>
      <c r="J178" s="401">
        <v>12</v>
      </c>
      <c r="K178" s="402">
        <v>0</v>
      </c>
      <c r="L178" s="461"/>
      <c r="M178" s="461"/>
      <c r="N178" s="399"/>
    </row>
    <row r="179" spans="2:14" ht="72" x14ac:dyDescent="0.2">
      <c r="B179" s="364">
        <v>165</v>
      </c>
      <c r="C179" s="395" t="str">
        <f t="shared" ref="C179:C182" si="25">IF(G179&lt;&gt;"",G179,INDEX(Matrix_Texte.Sprachen,B179,Parameter_Sprache.ID))</f>
        <v>Puissance nominale du moteur, en kW.
A lire sur la plaque signalétique.</v>
      </c>
      <c r="D179" s="398" t="str">
        <f>D164</f>
        <v>Elektrische Nennleistung des Elektromotors, in kW.
Kann aus dem Typenschild abgelesen werden.</v>
      </c>
      <c r="E179" s="387" t="str">
        <f>E164</f>
        <v>Puissance nominale du moteur, en kW.
A lire sur la plaque signalétique.</v>
      </c>
      <c r="F179" s="382" t="str">
        <f t="shared" si="20"/>
        <v>Elektrische Nennleistung des Elektromotors, in kW.
Kann aus dem Typenschild abgelesen werden.</v>
      </c>
      <c r="G179" s="383"/>
      <c r="H179" s="400">
        <v>4</v>
      </c>
      <c r="I179" s="401" t="s">
        <v>744</v>
      </c>
      <c r="J179" s="401">
        <v>11</v>
      </c>
      <c r="K179" s="402">
        <v>1</v>
      </c>
      <c r="L179" s="461"/>
      <c r="M179" s="461"/>
      <c r="N179" s="399"/>
    </row>
    <row r="180" spans="2:14" ht="36" x14ac:dyDescent="0.2">
      <c r="B180" s="364">
        <v>166</v>
      </c>
      <c r="C180" s="395" t="str">
        <f t="shared" si="25"/>
        <v>Temps de marche de la pompe, en heures par année.</v>
      </c>
      <c r="D180" s="398" t="str">
        <f t="shared" ref="D180:E180" si="26">D165</f>
        <v>Betriebszeit der Pumpe, in Stunden pro Jahr.</v>
      </c>
      <c r="E180" s="387" t="str">
        <f t="shared" si="26"/>
        <v>Temps de marche de la pompe, en heures par année.</v>
      </c>
      <c r="F180" s="382" t="str">
        <f t="shared" si="20"/>
        <v>Betriebszeit der Pumpe, in Stunden pro Jahr.</v>
      </c>
      <c r="G180" s="383"/>
      <c r="H180" s="400">
        <v>4</v>
      </c>
      <c r="I180" s="401" t="s">
        <v>745</v>
      </c>
      <c r="J180" s="401">
        <v>11</v>
      </c>
      <c r="K180" s="402">
        <v>1</v>
      </c>
      <c r="L180" s="461"/>
      <c r="M180" s="461"/>
      <c r="N180" s="399"/>
    </row>
    <row r="181" spans="2:14" ht="48" x14ac:dyDescent="0.2">
      <c r="B181" s="364">
        <v>167</v>
      </c>
      <c r="C181" s="395" t="str">
        <f t="shared" si="25"/>
        <v>Année de construction de l'installation (plaque signalétique de la pompe).</v>
      </c>
      <c r="D181" s="398" t="str">
        <f t="shared" ref="D181:E181" si="27">D166</f>
        <v>Baujahr der Anlage. Angabe auf dem Typenschild der Pumpe.</v>
      </c>
      <c r="E181" s="387" t="str">
        <f t="shared" si="27"/>
        <v>Année de construction de l'installation (plaque signalétique de la pompe).</v>
      </c>
      <c r="F181" s="382" t="str">
        <f t="shared" si="20"/>
        <v>Baujahr der Anlage. Angabe auf dem Typenschild der Pumpe.</v>
      </c>
      <c r="G181" s="383"/>
      <c r="H181" s="400">
        <v>4</v>
      </c>
      <c r="I181" s="401" t="s">
        <v>746</v>
      </c>
      <c r="J181" s="401">
        <v>11</v>
      </c>
      <c r="K181" s="402">
        <v>1</v>
      </c>
      <c r="L181" s="461"/>
      <c r="M181" s="461"/>
      <c r="N181" s="399"/>
    </row>
    <row r="182" spans="2:14" x14ac:dyDescent="0.2">
      <c r="B182" s="364">
        <v>168</v>
      </c>
      <c r="C182" s="367">
        <f t="shared" si="25"/>
        <v>0</v>
      </c>
      <c r="D182" s="380"/>
      <c r="E182" s="381"/>
      <c r="F182" s="382">
        <f t="shared" si="20"/>
        <v>0</v>
      </c>
      <c r="G182" s="383"/>
      <c r="L182" s="461"/>
      <c r="M182" s="461"/>
      <c r="N182" s="399"/>
    </row>
    <row r="183" spans="2:14" x14ac:dyDescent="0.2">
      <c r="B183" s="364">
        <v>169</v>
      </c>
      <c r="C183" s="367">
        <f t="shared" si="21"/>
        <v>0</v>
      </c>
      <c r="D183" s="380"/>
      <c r="E183" s="381"/>
      <c r="F183" s="382">
        <f t="shared" si="20"/>
        <v>0</v>
      </c>
      <c r="G183" s="383"/>
    </row>
    <row r="184" spans="2:14" ht="15" thickBot="1" x14ac:dyDescent="0.25">
      <c r="B184" s="364">
        <v>170</v>
      </c>
      <c r="C184" s="367">
        <f t="shared" si="21"/>
        <v>0</v>
      </c>
      <c r="D184" s="374"/>
      <c r="E184" s="375"/>
      <c r="F184" s="382">
        <f t="shared" si="20"/>
        <v>0</v>
      </c>
      <c r="G184" s="376"/>
    </row>
  </sheetData>
  <mergeCells count="3">
    <mergeCell ref="L157:L182"/>
    <mergeCell ref="M157:M162"/>
    <mergeCell ref="M163:M182"/>
  </mergeCells>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00B0F0"/>
  </sheetPr>
  <dimension ref="A1:B93"/>
  <sheetViews>
    <sheetView topLeftCell="A79" zoomScaleNormal="100" zoomScalePageLayoutView="125" workbookViewId="0">
      <selection activeCell="W6" sqref="W6"/>
    </sheetView>
  </sheetViews>
  <sheetFormatPr baseColWidth="10" defaultRowHeight="14.25" x14ac:dyDescent="0.2"/>
  <cols>
    <col min="1" max="1" width="12.5" customWidth="1"/>
    <col min="2" max="2" width="91.125" customWidth="1"/>
  </cols>
  <sheetData>
    <row r="1" spans="1:2" x14ac:dyDescent="0.2">
      <c r="A1" s="419"/>
      <c r="B1" s="419"/>
    </row>
    <row r="2" spans="1:2" x14ac:dyDescent="0.2">
      <c r="A2" s="419"/>
      <c r="B2" s="419"/>
    </row>
    <row r="3" spans="1:2" x14ac:dyDescent="0.2">
      <c r="A3" s="419"/>
      <c r="B3" s="419"/>
    </row>
    <row r="4" spans="1:2" x14ac:dyDescent="0.2">
      <c r="A4" s="147"/>
    </row>
    <row r="5" spans="1:2" x14ac:dyDescent="0.2">
      <c r="A5" s="147"/>
      <c r="B5" s="147"/>
    </row>
    <row r="6" spans="1:2" ht="15" x14ac:dyDescent="0.25">
      <c r="A6" s="336" t="s">
        <v>367</v>
      </c>
      <c r="B6" s="147"/>
    </row>
    <row r="7" spans="1:2" ht="20.25" x14ac:dyDescent="0.3">
      <c r="A7" s="337" t="s">
        <v>406</v>
      </c>
      <c r="B7" s="147"/>
    </row>
    <row r="8" spans="1:2" ht="20.25" x14ac:dyDescent="0.3">
      <c r="A8" s="337" t="s">
        <v>409</v>
      </c>
      <c r="B8" s="147"/>
    </row>
    <row r="9" spans="1:2" ht="42.75" x14ac:dyDescent="0.2">
      <c r="A9" s="147"/>
      <c r="B9" s="338" t="s">
        <v>861</v>
      </c>
    </row>
    <row r="10" spans="1:2" ht="28.5" x14ac:dyDescent="0.2">
      <c r="A10" s="147"/>
      <c r="B10" s="338" t="s">
        <v>407</v>
      </c>
    </row>
    <row r="11" spans="1:2" ht="28.5" x14ac:dyDescent="0.2">
      <c r="A11" s="147"/>
      <c r="B11" s="338" t="s">
        <v>408</v>
      </c>
    </row>
    <row r="12" spans="1:2" ht="28.5" x14ac:dyDescent="0.2">
      <c r="A12" s="147"/>
      <c r="B12" s="338" t="s">
        <v>555</v>
      </c>
    </row>
    <row r="13" spans="1:2" ht="57" x14ac:dyDescent="0.2">
      <c r="A13" s="147"/>
      <c r="B13" s="338" t="s">
        <v>838</v>
      </c>
    </row>
    <row r="14" spans="1:2" ht="42.75" x14ac:dyDescent="0.2">
      <c r="A14" s="147"/>
      <c r="B14" s="338" t="s">
        <v>841</v>
      </c>
    </row>
    <row r="15" spans="1:2" ht="28.5" x14ac:dyDescent="0.2">
      <c r="A15" s="147"/>
      <c r="B15" s="338" t="s">
        <v>839</v>
      </c>
    </row>
    <row r="16" spans="1:2" x14ac:dyDescent="0.2">
      <c r="A16" s="147"/>
      <c r="B16" s="147"/>
    </row>
    <row r="17" spans="1:2" ht="18" x14ac:dyDescent="0.25">
      <c r="A17" s="339" t="s">
        <v>410</v>
      </c>
      <c r="B17" s="147"/>
    </row>
    <row r="18" spans="1:2" ht="15" x14ac:dyDescent="0.25">
      <c r="A18" s="336" t="s">
        <v>400</v>
      </c>
      <c r="B18" s="147"/>
    </row>
    <row r="19" spans="1:2" x14ac:dyDescent="0.2">
      <c r="A19" s="340" t="s">
        <v>354</v>
      </c>
      <c r="B19" s="147" t="s">
        <v>355</v>
      </c>
    </row>
    <row r="20" spans="1:2" x14ac:dyDescent="0.2">
      <c r="A20" s="341" t="s">
        <v>356</v>
      </c>
      <c r="B20" s="147" t="s">
        <v>357</v>
      </c>
    </row>
    <row r="21" spans="1:2" x14ac:dyDescent="0.2">
      <c r="A21" s="147" t="s">
        <v>358</v>
      </c>
      <c r="B21" s="147" t="s">
        <v>359</v>
      </c>
    </row>
    <row r="22" spans="1:2" x14ac:dyDescent="0.2">
      <c r="A22" s="147"/>
      <c r="B22" s="147"/>
    </row>
    <row r="23" spans="1:2" x14ac:dyDescent="0.2">
      <c r="A23" s="147"/>
      <c r="B23" s="147" t="s">
        <v>779</v>
      </c>
    </row>
    <row r="24" spans="1:2" x14ac:dyDescent="0.2">
      <c r="A24" s="147"/>
      <c r="B24" s="147" t="s">
        <v>556</v>
      </c>
    </row>
    <row r="25" spans="1:2" x14ac:dyDescent="0.2">
      <c r="A25" s="147"/>
      <c r="B25" s="147" t="s">
        <v>780</v>
      </c>
    </row>
    <row r="26" spans="1:2" x14ac:dyDescent="0.2">
      <c r="A26" s="147"/>
      <c r="B26" s="338" t="s">
        <v>545</v>
      </c>
    </row>
    <row r="27" spans="1:2" x14ac:dyDescent="0.2">
      <c r="A27" s="147"/>
      <c r="B27" s="338" t="s">
        <v>546</v>
      </c>
    </row>
    <row r="28" spans="1:2" x14ac:dyDescent="0.2">
      <c r="A28" s="147"/>
      <c r="B28" s="147" t="s">
        <v>738</v>
      </c>
    </row>
    <row r="29" spans="1:2" x14ac:dyDescent="0.2">
      <c r="A29" s="147"/>
      <c r="B29" s="147"/>
    </row>
    <row r="30" spans="1:2" ht="15" x14ac:dyDescent="0.25">
      <c r="A30" s="336" t="s">
        <v>411</v>
      </c>
      <c r="B30" s="338"/>
    </row>
    <row r="31" spans="1:2" ht="42.75" x14ac:dyDescent="0.2">
      <c r="A31" s="147"/>
      <c r="B31" s="403" t="s">
        <v>401</v>
      </c>
    </row>
    <row r="32" spans="1:2" ht="42.75" x14ac:dyDescent="0.2">
      <c r="A32" s="147"/>
      <c r="B32" s="403" t="s">
        <v>547</v>
      </c>
    </row>
    <row r="33" spans="1:2" x14ac:dyDescent="0.2">
      <c r="A33" s="147" t="s">
        <v>365</v>
      </c>
      <c r="B33" s="338"/>
    </row>
    <row r="34" spans="1:2" ht="12.95" customHeight="1" x14ac:dyDescent="0.2">
      <c r="A34" s="342" t="s">
        <v>360</v>
      </c>
      <c r="B34" s="343" t="s">
        <v>363</v>
      </c>
    </row>
    <row r="35" spans="1:2" ht="15" x14ac:dyDescent="0.2">
      <c r="A35" s="342" t="s">
        <v>361</v>
      </c>
      <c r="B35" s="403" t="s">
        <v>368</v>
      </c>
    </row>
    <row r="36" spans="1:2" ht="29.25" x14ac:dyDescent="0.2">
      <c r="A36" s="342" t="s">
        <v>362</v>
      </c>
      <c r="B36" s="403" t="s">
        <v>419</v>
      </c>
    </row>
    <row r="37" spans="1:2" ht="15" x14ac:dyDescent="0.2">
      <c r="A37" s="342" t="s">
        <v>364</v>
      </c>
      <c r="B37" s="403" t="s">
        <v>548</v>
      </c>
    </row>
    <row r="38" spans="1:2" x14ac:dyDescent="0.2">
      <c r="A38" s="147"/>
      <c r="B38" s="343"/>
    </row>
    <row r="39" spans="1:2" ht="57" x14ac:dyDescent="0.2">
      <c r="A39" s="147"/>
      <c r="B39" s="403" t="s">
        <v>842</v>
      </c>
    </row>
    <row r="40" spans="1:2" x14ac:dyDescent="0.2">
      <c r="A40" s="147"/>
      <c r="B40" s="147"/>
    </row>
    <row r="41" spans="1:2" ht="15" x14ac:dyDescent="0.25">
      <c r="A41" s="336" t="s">
        <v>412</v>
      </c>
      <c r="B41" s="147"/>
    </row>
    <row r="42" spans="1:2" x14ac:dyDescent="0.2">
      <c r="A42" s="147"/>
      <c r="B42" s="403" t="s">
        <v>840</v>
      </c>
    </row>
    <row r="43" spans="1:2" ht="28.5" x14ac:dyDescent="0.2">
      <c r="A43" s="147"/>
      <c r="B43" s="403" t="s">
        <v>549</v>
      </c>
    </row>
    <row r="44" spans="1:2" ht="28.5" x14ac:dyDescent="0.2">
      <c r="A44" s="147"/>
      <c r="B44" s="403" t="s">
        <v>402</v>
      </c>
    </row>
    <row r="45" spans="1:2" x14ac:dyDescent="0.2">
      <c r="A45" s="147"/>
      <c r="B45" s="147"/>
    </row>
    <row r="46" spans="1:2" ht="30.75" customHeight="1" x14ac:dyDescent="0.2">
      <c r="A46" s="420" t="s">
        <v>403</v>
      </c>
      <c r="B46" s="420"/>
    </row>
    <row r="47" spans="1:2" ht="57.75" x14ac:dyDescent="0.2">
      <c r="A47" s="342" t="s">
        <v>360</v>
      </c>
      <c r="B47" s="403" t="s">
        <v>808</v>
      </c>
    </row>
    <row r="48" spans="1:2" ht="57.75" x14ac:dyDescent="0.2">
      <c r="A48" s="342" t="s">
        <v>361</v>
      </c>
      <c r="B48" s="403" t="s">
        <v>550</v>
      </c>
    </row>
    <row r="49" spans="1:2" ht="72" x14ac:dyDescent="0.2">
      <c r="A49" s="342" t="s">
        <v>362</v>
      </c>
      <c r="B49" s="404" t="s">
        <v>782</v>
      </c>
    </row>
    <row r="50" spans="1:2" ht="43.5" x14ac:dyDescent="0.2">
      <c r="A50" s="342" t="s">
        <v>364</v>
      </c>
      <c r="B50" s="404" t="s">
        <v>781</v>
      </c>
    </row>
    <row r="51" spans="1:2" ht="114.75" x14ac:dyDescent="0.2">
      <c r="A51" s="342" t="s">
        <v>366</v>
      </c>
      <c r="B51" s="403" t="s">
        <v>783</v>
      </c>
    </row>
    <row r="52" spans="1:2" x14ac:dyDescent="0.2">
      <c r="A52" s="342"/>
      <c r="B52" s="338"/>
    </row>
    <row r="53" spans="1:2" ht="15" x14ac:dyDescent="0.25">
      <c r="A53" s="336" t="s">
        <v>413</v>
      </c>
      <c r="B53" s="338"/>
    </row>
    <row r="54" spans="1:2" ht="28.5" x14ac:dyDescent="0.2">
      <c r="A54" s="147"/>
      <c r="B54" s="403" t="s">
        <v>553</v>
      </c>
    </row>
    <row r="55" spans="1:2" ht="42.75" x14ac:dyDescent="0.2">
      <c r="A55" s="147"/>
      <c r="B55" s="403" t="s">
        <v>784</v>
      </c>
    </row>
    <row r="56" spans="1:2" ht="28.5" x14ac:dyDescent="0.2">
      <c r="A56" s="147"/>
      <c r="B56" s="403" t="s">
        <v>414</v>
      </c>
    </row>
    <row r="57" spans="1:2" ht="28.5" x14ac:dyDescent="0.2">
      <c r="A57" s="147"/>
      <c r="B57" s="403" t="s">
        <v>554</v>
      </c>
    </row>
    <row r="58" spans="1:2" x14ac:dyDescent="0.2">
      <c r="A58" s="147"/>
      <c r="B58" s="338"/>
    </row>
    <row r="59" spans="1:2" x14ac:dyDescent="0.2">
      <c r="A59" s="147"/>
      <c r="B59" s="338" t="s">
        <v>415</v>
      </c>
    </row>
    <row r="60" spans="1:2" ht="15" x14ac:dyDescent="0.25">
      <c r="A60" s="344" t="s">
        <v>420</v>
      </c>
      <c r="B60" s="345" t="s">
        <v>181</v>
      </c>
    </row>
    <row r="61" spans="1:2" ht="57" x14ac:dyDescent="0.2">
      <c r="A61" s="344"/>
      <c r="B61" s="403" t="s">
        <v>815</v>
      </c>
    </row>
    <row r="62" spans="1:2" ht="15" x14ac:dyDescent="0.25">
      <c r="A62" s="344" t="s">
        <v>421</v>
      </c>
      <c r="B62" s="345" t="s">
        <v>416</v>
      </c>
    </row>
    <row r="63" spans="1:2" ht="57" x14ac:dyDescent="0.2">
      <c r="A63" s="344"/>
      <c r="B63" s="403" t="s">
        <v>785</v>
      </c>
    </row>
    <row r="64" spans="1:2" ht="15" x14ac:dyDescent="0.25">
      <c r="A64" s="344" t="s">
        <v>422</v>
      </c>
      <c r="B64" s="345" t="s">
        <v>417</v>
      </c>
    </row>
    <row r="65" spans="1:2" ht="28.5" x14ac:dyDescent="0.2">
      <c r="A65" s="147"/>
      <c r="B65" s="403" t="s">
        <v>418</v>
      </c>
    </row>
    <row r="66" spans="1:2" x14ac:dyDescent="0.2">
      <c r="A66" s="147"/>
      <c r="B66" s="403"/>
    </row>
    <row r="67" spans="1:2" ht="57" x14ac:dyDescent="0.2">
      <c r="A67" s="147"/>
      <c r="B67" s="403" t="s">
        <v>519</v>
      </c>
    </row>
    <row r="68" spans="1:2" x14ac:dyDescent="0.2">
      <c r="A68" s="147"/>
      <c r="B68" s="346"/>
    </row>
    <row r="69" spans="1:2" ht="18" x14ac:dyDescent="0.25">
      <c r="A69" s="339" t="s">
        <v>369</v>
      </c>
      <c r="B69" s="147"/>
    </row>
    <row r="70" spans="1:2" ht="28.5" x14ac:dyDescent="0.2">
      <c r="A70" s="147"/>
      <c r="B70" s="403" t="s">
        <v>557</v>
      </c>
    </row>
    <row r="71" spans="1:2" ht="71.25" x14ac:dyDescent="0.2">
      <c r="A71" s="147"/>
      <c r="B71" s="403" t="s">
        <v>786</v>
      </c>
    </row>
    <row r="72" spans="1:2" ht="28.5" x14ac:dyDescent="0.2">
      <c r="A72" s="147"/>
      <c r="B72" s="403" t="s">
        <v>787</v>
      </c>
    </row>
    <row r="73" spans="1:2" ht="57" x14ac:dyDescent="0.2">
      <c r="A73" s="147"/>
      <c r="B73" s="403" t="s">
        <v>551</v>
      </c>
    </row>
    <row r="74" spans="1:2" x14ac:dyDescent="0.2">
      <c r="A74" s="147"/>
      <c r="B74" s="147"/>
    </row>
    <row r="75" spans="1:2" x14ac:dyDescent="0.2">
      <c r="A75" s="147"/>
      <c r="B75" s="403" t="s">
        <v>373</v>
      </c>
    </row>
    <row r="76" spans="1:2" ht="15" x14ac:dyDescent="0.2">
      <c r="A76" s="147"/>
      <c r="B76" s="405" t="s">
        <v>793</v>
      </c>
    </row>
    <row r="77" spans="1:2" ht="57" x14ac:dyDescent="0.2">
      <c r="A77" s="147"/>
      <c r="B77" s="403" t="s">
        <v>796</v>
      </c>
    </row>
    <row r="78" spans="1:2" ht="15" x14ac:dyDescent="0.2">
      <c r="A78" s="147"/>
      <c r="B78" s="405" t="s">
        <v>794</v>
      </c>
    </row>
    <row r="79" spans="1:2" ht="57" x14ac:dyDescent="0.2">
      <c r="A79" s="147"/>
      <c r="B79" s="403" t="s">
        <v>797</v>
      </c>
    </row>
    <row r="80" spans="1:2" ht="15" x14ac:dyDescent="0.2">
      <c r="A80" s="147"/>
      <c r="B80" s="405" t="s">
        <v>795</v>
      </c>
    </row>
    <row r="81" spans="1:2" ht="42.75" x14ac:dyDescent="0.2">
      <c r="A81" s="147"/>
      <c r="B81" s="403" t="s">
        <v>798</v>
      </c>
    </row>
    <row r="82" spans="1:2" x14ac:dyDescent="0.2">
      <c r="A82" s="147"/>
      <c r="B82" s="147"/>
    </row>
    <row r="83" spans="1:2" ht="18" x14ac:dyDescent="0.25">
      <c r="A83" s="339" t="s">
        <v>404</v>
      </c>
      <c r="B83" s="338"/>
    </row>
    <row r="84" spans="1:2" ht="57" x14ac:dyDescent="0.2">
      <c r="A84" s="147"/>
      <c r="B84" s="403" t="s">
        <v>558</v>
      </c>
    </row>
    <row r="85" spans="1:2" ht="28.5" x14ac:dyDescent="0.2">
      <c r="A85" s="147"/>
      <c r="B85" s="403" t="s">
        <v>520</v>
      </c>
    </row>
    <row r="86" spans="1:2" ht="42.75" x14ac:dyDescent="0.2">
      <c r="A86" s="147"/>
      <c r="B86" s="403" t="s">
        <v>559</v>
      </c>
    </row>
    <row r="87" spans="1:2" ht="42.75" x14ac:dyDescent="0.2">
      <c r="A87" s="147"/>
      <c r="B87" s="403" t="s">
        <v>560</v>
      </c>
    </row>
    <row r="88" spans="1:2" x14ac:dyDescent="0.2">
      <c r="A88" s="147"/>
      <c r="B88" s="347"/>
    </row>
    <row r="89" spans="1:2" ht="57" customHeight="1" x14ac:dyDescent="0.2">
      <c r="A89" s="147"/>
      <c r="B89" s="403" t="s">
        <v>829</v>
      </c>
    </row>
    <row r="90" spans="1:2" x14ac:dyDescent="0.2">
      <c r="A90" s="147"/>
      <c r="B90" s="335" t="s">
        <v>826</v>
      </c>
    </row>
    <row r="91" spans="1:2" x14ac:dyDescent="0.2">
      <c r="A91" s="147"/>
      <c r="B91" s="347"/>
    </row>
    <row r="92" spans="1:2" ht="28.5" x14ac:dyDescent="0.2">
      <c r="A92" s="147"/>
      <c r="B92" s="403" t="s">
        <v>866</v>
      </c>
    </row>
    <row r="93" spans="1:2" x14ac:dyDescent="0.2">
      <c r="B93" s="324" t="s">
        <v>827</v>
      </c>
    </row>
  </sheetData>
  <sheetProtection selectLockedCells="1"/>
  <mergeCells count="2">
    <mergeCell ref="A1:B3"/>
    <mergeCell ref="A46:B46"/>
  </mergeCells>
  <hyperlinks>
    <hyperlink ref="B90" r:id="rId1"/>
    <hyperlink ref="B93" r:id="rId2"/>
  </hyperlinks>
  <pageMargins left="0.70866141732283472" right="0.70866141732283472" top="0.78740157480314965" bottom="0.78740157480314965" header="0.31496062992125984" footer="0.31496062992125984"/>
  <pageSetup paperSize="9" scale="83" orientation="portrait" r:id="rId3"/>
  <colBreaks count="1" manualBreakCount="1">
    <brk id="2" max="1048575"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rgb="FF00B0F0"/>
  </sheetPr>
  <dimension ref="A1:C93"/>
  <sheetViews>
    <sheetView zoomScaleNormal="100" zoomScalePageLayoutView="125" workbookViewId="0">
      <selection activeCell="W6" sqref="W6"/>
    </sheetView>
  </sheetViews>
  <sheetFormatPr baseColWidth="10" defaultColWidth="10.625" defaultRowHeight="14.25" x14ac:dyDescent="0.2"/>
  <cols>
    <col min="1" max="1" width="12.5" customWidth="1"/>
    <col min="2" max="2" width="91.125" customWidth="1"/>
    <col min="3" max="3" width="13.5" customWidth="1"/>
  </cols>
  <sheetData>
    <row r="1" spans="1:3" x14ac:dyDescent="0.2">
      <c r="A1" s="419"/>
      <c r="B1" s="419"/>
    </row>
    <row r="2" spans="1:3" x14ac:dyDescent="0.2">
      <c r="A2" s="419"/>
      <c r="B2" s="419"/>
    </row>
    <row r="3" spans="1:3" x14ac:dyDescent="0.2">
      <c r="A3" s="419"/>
      <c r="B3" s="419"/>
    </row>
    <row r="4" spans="1:3" x14ac:dyDescent="0.2">
      <c r="A4" s="147"/>
    </row>
    <row r="5" spans="1:3" x14ac:dyDescent="0.2">
      <c r="A5" s="147"/>
      <c r="B5" s="147"/>
    </row>
    <row r="6" spans="1:3" ht="15" x14ac:dyDescent="0.25">
      <c r="A6" s="336" t="s">
        <v>567</v>
      </c>
      <c r="B6" s="147"/>
    </row>
    <row r="7" spans="1:3" ht="20.25" x14ac:dyDescent="0.3">
      <c r="A7" s="337" t="s">
        <v>568</v>
      </c>
      <c r="B7" s="147"/>
    </row>
    <row r="8" spans="1:3" ht="20.25" x14ac:dyDescent="0.3">
      <c r="A8" s="337" t="s">
        <v>569</v>
      </c>
      <c r="B8" s="147"/>
    </row>
    <row r="9" spans="1:3" ht="57" x14ac:dyDescent="0.2">
      <c r="A9" s="147"/>
      <c r="B9" s="338" t="s">
        <v>874</v>
      </c>
    </row>
    <row r="10" spans="1:3" ht="28.5" x14ac:dyDescent="0.2">
      <c r="A10" s="147"/>
      <c r="B10" s="338" t="s">
        <v>799</v>
      </c>
    </row>
    <row r="11" spans="1:3" ht="28.5" x14ac:dyDescent="0.2">
      <c r="A11" s="147"/>
      <c r="B11" s="338" t="s">
        <v>570</v>
      </c>
      <c r="C11" t="s">
        <v>499</v>
      </c>
    </row>
    <row r="12" spans="1:3" ht="31.5" customHeight="1" x14ac:dyDescent="0.2">
      <c r="A12" s="147"/>
      <c r="B12" s="338" t="s">
        <v>800</v>
      </c>
    </row>
    <row r="13" spans="1:3" ht="57" x14ac:dyDescent="0.2">
      <c r="A13" s="147"/>
      <c r="B13" s="338" t="s">
        <v>571</v>
      </c>
    </row>
    <row r="14" spans="1:3" ht="45.75" customHeight="1" x14ac:dyDescent="0.2">
      <c r="A14" s="147"/>
      <c r="B14" s="338" t="s">
        <v>572</v>
      </c>
    </row>
    <row r="15" spans="1:3" ht="28.5" x14ac:dyDescent="0.2">
      <c r="A15" s="147"/>
      <c r="B15" s="338" t="s">
        <v>573</v>
      </c>
    </row>
    <row r="16" spans="1:3" x14ac:dyDescent="0.2">
      <c r="A16" s="147"/>
      <c r="B16" s="147"/>
    </row>
    <row r="17" spans="1:3" ht="18" x14ac:dyDescent="0.25">
      <c r="A17" s="339" t="s">
        <v>574</v>
      </c>
      <c r="B17" s="147"/>
      <c r="C17" t="s">
        <v>499</v>
      </c>
    </row>
    <row r="18" spans="1:3" ht="15" x14ac:dyDescent="0.25">
      <c r="A18" s="336" t="s">
        <v>575</v>
      </c>
      <c r="B18" s="147"/>
    </row>
    <row r="19" spans="1:3" x14ac:dyDescent="0.2">
      <c r="A19" s="340" t="s">
        <v>576</v>
      </c>
      <c r="B19" s="147" t="s">
        <v>577</v>
      </c>
    </row>
    <row r="20" spans="1:3" x14ac:dyDescent="0.2">
      <c r="A20" s="341" t="s">
        <v>578</v>
      </c>
      <c r="B20" s="147" t="s">
        <v>579</v>
      </c>
    </row>
    <row r="21" spans="1:3" x14ac:dyDescent="0.2">
      <c r="A21" s="147" t="s">
        <v>580</v>
      </c>
      <c r="B21" s="147" t="s">
        <v>581</v>
      </c>
    </row>
    <row r="22" spans="1:3" x14ac:dyDescent="0.2">
      <c r="A22" s="147"/>
      <c r="B22" s="147"/>
    </row>
    <row r="23" spans="1:3" x14ac:dyDescent="0.2">
      <c r="A23" s="147"/>
      <c r="B23" s="147" t="s">
        <v>801</v>
      </c>
    </row>
    <row r="24" spans="1:3" x14ac:dyDescent="0.2">
      <c r="A24" s="147"/>
      <c r="B24" s="147" t="s">
        <v>582</v>
      </c>
    </row>
    <row r="25" spans="1:3" x14ac:dyDescent="0.2">
      <c r="A25" s="147"/>
      <c r="B25" s="147" t="s">
        <v>802</v>
      </c>
    </row>
    <row r="26" spans="1:3" x14ac:dyDescent="0.2">
      <c r="A26" s="147"/>
      <c r="B26" s="338" t="s">
        <v>583</v>
      </c>
    </row>
    <row r="27" spans="1:3" x14ac:dyDescent="0.2">
      <c r="A27" s="147"/>
      <c r="B27" s="338" t="s">
        <v>584</v>
      </c>
    </row>
    <row r="28" spans="1:3" x14ac:dyDescent="0.2">
      <c r="A28" s="147"/>
      <c r="B28" s="147" t="s">
        <v>737</v>
      </c>
    </row>
    <row r="29" spans="1:3" x14ac:dyDescent="0.2">
      <c r="A29" s="147"/>
      <c r="B29" s="147"/>
    </row>
    <row r="30" spans="1:3" ht="15" x14ac:dyDescent="0.25">
      <c r="A30" s="336" t="s">
        <v>585</v>
      </c>
      <c r="B30" s="338"/>
    </row>
    <row r="31" spans="1:3" ht="42.75" x14ac:dyDescent="0.2">
      <c r="A31" s="147"/>
      <c r="B31" s="403" t="s">
        <v>586</v>
      </c>
    </row>
    <row r="32" spans="1:3" ht="57" x14ac:dyDescent="0.2">
      <c r="A32" s="147"/>
      <c r="B32" s="403" t="s">
        <v>587</v>
      </c>
    </row>
    <row r="33" spans="1:2" x14ac:dyDescent="0.2">
      <c r="A33" s="147" t="s">
        <v>588</v>
      </c>
      <c r="B33" s="338"/>
    </row>
    <row r="34" spans="1:2" ht="17.25" customHeight="1" x14ac:dyDescent="0.2">
      <c r="A34" s="342" t="s">
        <v>360</v>
      </c>
      <c r="B34" s="343" t="s">
        <v>803</v>
      </c>
    </row>
    <row r="35" spans="1:2" ht="29.25" x14ac:dyDescent="0.2">
      <c r="A35" s="342" t="s">
        <v>361</v>
      </c>
      <c r="B35" s="403" t="s">
        <v>804</v>
      </c>
    </row>
    <row r="36" spans="1:2" ht="29.25" x14ac:dyDescent="0.2">
      <c r="A36" s="342" t="s">
        <v>362</v>
      </c>
      <c r="B36" s="403" t="s">
        <v>805</v>
      </c>
    </row>
    <row r="37" spans="1:2" ht="29.25" x14ac:dyDescent="0.2">
      <c r="A37" s="342" t="s">
        <v>364</v>
      </c>
      <c r="B37" s="403" t="s">
        <v>806</v>
      </c>
    </row>
    <row r="38" spans="1:2" x14ac:dyDescent="0.2">
      <c r="A38" s="147"/>
      <c r="B38" s="343"/>
    </row>
    <row r="39" spans="1:2" ht="57" x14ac:dyDescent="0.2">
      <c r="A39" s="147"/>
      <c r="B39" s="403" t="s">
        <v>807</v>
      </c>
    </row>
    <row r="40" spans="1:2" x14ac:dyDescent="0.2">
      <c r="A40" s="147"/>
      <c r="B40" s="147"/>
    </row>
    <row r="41" spans="1:2" ht="15" x14ac:dyDescent="0.25">
      <c r="A41" s="336" t="s">
        <v>589</v>
      </c>
      <c r="B41" s="147"/>
    </row>
    <row r="42" spans="1:2" x14ac:dyDescent="0.2">
      <c r="A42" s="147"/>
      <c r="B42" s="403" t="s">
        <v>590</v>
      </c>
    </row>
    <row r="43" spans="1:2" ht="28.5" x14ac:dyDescent="0.2">
      <c r="A43" s="147"/>
      <c r="B43" s="403" t="s">
        <v>591</v>
      </c>
    </row>
    <row r="44" spans="1:2" x14ac:dyDescent="0.2">
      <c r="A44" s="147"/>
      <c r="B44" s="403" t="s">
        <v>592</v>
      </c>
    </row>
    <row r="45" spans="1:2" x14ac:dyDescent="0.2">
      <c r="A45" s="147"/>
      <c r="B45" s="147"/>
    </row>
    <row r="46" spans="1:2" ht="30.75" customHeight="1" x14ac:dyDescent="0.2">
      <c r="A46" s="420" t="s">
        <v>593</v>
      </c>
      <c r="B46" s="420"/>
    </row>
    <row r="47" spans="1:2" ht="72" x14ac:dyDescent="0.2">
      <c r="A47" s="342" t="s">
        <v>360</v>
      </c>
      <c r="B47" s="403" t="s">
        <v>809</v>
      </c>
    </row>
    <row r="48" spans="1:2" ht="56.45" customHeight="1" x14ac:dyDescent="0.2">
      <c r="A48" s="342" t="s">
        <v>361</v>
      </c>
      <c r="B48" s="403" t="s">
        <v>594</v>
      </c>
    </row>
    <row r="49" spans="1:2" ht="86.25" x14ac:dyDescent="0.2">
      <c r="A49" s="342" t="s">
        <v>362</v>
      </c>
      <c r="B49" s="403" t="s">
        <v>811</v>
      </c>
    </row>
    <row r="50" spans="1:2" ht="56.45" customHeight="1" x14ac:dyDescent="0.2">
      <c r="A50" s="342" t="s">
        <v>364</v>
      </c>
      <c r="B50" s="403" t="s">
        <v>812</v>
      </c>
    </row>
    <row r="51" spans="1:2" ht="128.25" x14ac:dyDescent="0.2">
      <c r="A51" s="342" t="s">
        <v>366</v>
      </c>
      <c r="B51" s="403" t="s">
        <v>813</v>
      </c>
    </row>
    <row r="52" spans="1:2" x14ac:dyDescent="0.2">
      <c r="A52" s="342"/>
      <c r="B52" s="338"/>
    </row>
    <row r="53" spans="1:2" ht="15" x14ac:dyDescent="0.25">
      <c r="A53" s="336" t="s">
        <v>595</v>
      </c>
      <c r="B53" s="338"/>
    </row>
    <row r="54" spans="1:2" ht="28.5" x14ac:dyDescent="0.2">
      <c r="A54" s="147"/>
      <c r="B54" s="403" t="s">
        <v>596</v>
      </c>
    </row>
    <row r="55" spans="1:2" ht="42.75" x14ac:dyDescent="0.2">
      <c r="A55" s="147"/>
      <c r="B55" s="403" t="s">
        <v>814</v>
      </c>
    </row>
    <row r="56" spans="1:2" ht="28.5" x14ac:dyDescent="0.2">
      <c r="A56" s="147"/>
      <c r="B56" s="403" t="s">
        <v>597</v>
      </c>
    </row>
    <row r="57" spans="1:2" ht="28.5" x14ac:dyDescent="0.2">
      <c r="A57" s="147"/>
      <c r="B57" s="403" t="s">
        <v>598</v>
      </c>
    </row>
    <row r="58" spans="1:2" x14ac:dyDescent="0.2">
      <c r="A58" s="147"/>
      <c r="B58" s="338"/>
    </row>
    <row r="59" spans="1:2" x14ac:dyDescent="0.2">
      <c r="A59" s="147"/>
      <c r="B59" s="338" t="s">
        <v>599</v>
      </c>
    </row>
    <row r="60" spans="1:2" ht="15" x14ac:dyDescent="0.25">
      <c r="A60" s="344" t="s">
        <v>420</v>
      </c>
      <c r="B60" s="345" t="s">
        <v>600</v>
      </c>
    </row>
    <row r="61" spans="1:2" ht="57.6" customHeight="1" x14ac:dyDescent="0.2">
      <c r="A61" s="344"/>
      <c r="B61" s="403" t="s">
        <v>816</v>
      </c>
    </row>
    <row r="62" spans="1:2" ht="15" x14ac:dyDescent="0.25">
      <c r="A62" s="344" t="s">
        <v>421</v>
      </c>
      <c r="B62" s="345" t="s">
        <v>601</v>
      </c>
    </row>
    <row r="63" spans="1:2" ht="60.6" customHeight="1" x14ac:dyDescent="0.2">
      <c r="A63" s="344"/>
      <c r="B63" s="403" t="s">
        <v>817</v>
      </c>
    </row>
    <row r="64" spans="1:2" ht="15" x14ac:dyDescent="0.25">
      <c r="A64" s="344" t="s">
        <v>422</v>
      </c>
      <c r="B64" s="345" t="s">
        <v>602</v>
      </c>
    </row>
    <row r="65" spans="1:2" ht="28.5" x14ac:dyDescent="0.2">
      <c r="A65" s="147"/>
      <c r="B65" s="403" t="s">
        <v>603</v>
      </c>
    </row>
    <row r="66" spans="1:2" x14ac:dyDescent="0.2">
      <c r="A66" s="147"/>
      <c r="B66" s="403"/>
    </row>
    <row r="67" spans="1:2" ht="59.25" x14ac:dyDescent="0.2">
      <c r="A67" s="147"/>
      <c r="B67" s="403" t="s">
        <v>604</v>
      </c>
    </row>
    <row r="68" spans="1:2" x14ac:dyDescent="0.2">
      <c r="A68" s="147"/>
      <c r="B68" s="346"/>
    </row>
    <row r="69" spans="1:2" ht="18" x14ac:dyDescent="0.25">
      <c r="A69" s="339" t="s">
        <v>605</v>
      </c>
      <c r="B69" s="147"/>
    </row>
    <row r="70" spans="1:2" ht="28.5" x14ac:dyDescent="0.2">
      <c r="A70" s="147"/>
      <c r="B70" s="403" t="s">
        <v>606</v>
      </c>
    </row>
    <row r="71" spans="1:2" ht="85.5" x14ac:dyDescent="0.2">
      <c r="A71" s="147"/>
      <c r="B71" s="403" t="s">
        <v>818</v>
      </c>
    </row>
    <row r="72" spans="1:2" ht="28.5" x14ac:dyDescent="0.2">
      <c r="A72" s="147"/>
      <c r="B72" s="403" t="s">
        <v>819</v>
      </c>
    </row>
    <row r="73" spans="1:2" ht="57" x14ac:dyDescent="0.2">
      <c r="A73" s="147"/>
      <c r="B73" s="403" t="s">
        <v>607</v>
      </c>
    </row>
    <row r="74" spans="1:2" x14ac:dyDescent="0.2">
      <c r="A74" s="147"/>
      <c r="B74" s="147"/>
    </row>
    <row r="75" spans="1:2" x14ac:dyDescent="0.2">
      <c r="A75" s="147"/>
      <c r="B75" s="403" t="s">
        <v>608</v>
      </c>
    </row>
    <row r="76" spans="1:2" ht="15" x14ac:dyDescent="0.2">
      <c r="A76" s="147"/>
      <c r="B76" s="405" t="s">
        <v>789</v>
      </c>
    </row>
    <row r="77" spans="1:2" ht="57" x14ac:dyDescent="0.2">
      <c r="A77" s="147"/>
      <c r="B77" s="403" t="s">
        <v>788</v>
      </c>
    </row>
    <row r="78" spans="1:2" ht="15" x14ac:dyDescent="0.2">
      <c r="A78" s="147"/>
      <c r="B78" s="405" t="s">
        <v>790</v>
      </c>
    </row>
    <row r="79" spans="1:2" ht="57" x14ac:dyDescent="0.2">
      <c r="A79" s="147"/>
      <c r="B79" s="403" t="s">
        <v>820</v>
      </c>
    </row>
    <row r="80" spans="1:2" ht="15" x14ac:dyDescent="0.2">
      <c r="A80" s="147"/>
      <c r="B80" s="405" t="s">
        <v>792</v>
      </c>
    </row>
    <row r="81" spans="1:2" ht="57.6" customHeight="1" x14ac:dyDescent="0.2">
      <c r="A81" s="147"/>
      <c r="B81" s="403" t="s">
        <v>791</v>
      </c>
    </row>
    <row r="82" spans="1:2" x14ac:dyDescent="0.2">
      <c r="A82" s="147"/>
      <c r="B82" s="147"/>
    </row>
    <row r="83" spans="1:2" ht="18" x14ac:dyDescent="0.25">
      <c r="A83" s="339" t="s">
        <v>609</v>
      </c>
      <c r="B83" s="338"/>
    </row>
    <row r="84" spans="1:2" ht="57" x14ac:dyDescent="0.2">
      <c r="A84" s="147"/>
      <c r="B84" s="403" t="s">
        <v>821</v>
      </c>
    </row>
    <row r="85" spans="1:2" ht="42.75" x14ac:dyDescent="0.2">
      <c r="A85" s="147"/>
      <c r="B85" s="403" t="s">
        <v>610</v>
      </c>
    </row>
    <row r="86" spans="1:2" ht="57" x14ac:dyDescent="0.2">
      <c r="A86" s="147"/>
      <c r="B86" s="403" t="s">
        <v>611</v>
      </c>
    </row>
    <row r="87" spans="1:2" ht="57" x14ac:dyDescent="0.2">
      <c r="A87" s="147"/>
      <c r="B87" s="403" t="s">
        <v>612</v>
      </c>
    </row>
    <row r="88" spans="1:2" x14ac:dyDescent="0.2">
      <c r="A88" s="147"/>
      <c r="B88" s="347"/>
    </row>
    <row r="89" spans="1:2" ht="57" x14ac:dyDescent="0.2">
      <c r="A89" s="147"/>
      <c r="B89" s="403" t="s">
        <v>830</v>
      </c>
    </row>
    <row r="90" spans="1:2" x14ac:dyDescent="0.2">
      <c r="A90" s="147"/>
      <c r="B90" s="335" t="s">
        <v>826</v>
      </c>
    </row>
    <row r="91" spans="1:2" x14ac:dyDescent="0.2">
      <c r="A91" s="147"/>
      <c r="B91" s="347"/>
    </row>
    <row r="92" spans="1:2" ht="42.75" x14ac:dyDescent="0.2">
      <c r="A92" s="147"/>
      <c r="B92" s="403" t="s">
        <v>867</v>
      </c>
    </row>
    <row r="93" spans="1:2" x14ac:dyDescent="0.2">
      <c r="B93" s="324" t="s">
        <v>827</v>
      </c>
    </row>
  </sheetData>
  <sheetProtection selectLockedCells="1"/>
  <mergeCells count="2">
    <mergeCell ref="A1:B3"/>
    <mergeCell ref="A46:B46"/>
  </mergeCells>
  <hyperlinks>
    <hyperlink ref="B90" r:id="rId1"/>
    <hyperlink ref="B93" r:id="rId2"/>
  </hyperlinks>
  <pageMargins left="0.70866141732283472" right="0.70866141732283472" top="0.78740157480314965" bottom="0.78740157480314965" header="0.31496062992125984" footer="0.31496062992125984"/>
  <pageSetup paperSize="9" scale="83" orientation="portrait" r:id="rId3"/>
  <colBreaks count="1" manualBreakCount="1">
    <brk id="2" max="1048575" man="1"/>
  </col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C000"/>
  </sheetPr>
  <dimension ref="A1:O199"/>
  <sheetViews>
    <sheetView workbookViewId="0">
      <selection activeCell="W6" sqref="W6"/>
    </sheetView>
  </sheetViews>
  <sheetFormatPr baseColWidth="10" defaultRowHeight="14.25" x14ac:dyDescent="0.2"/>
  <cols>
    <col min="1" max="1" width="11.625" customWidth="1"/>
  </cols>
  <sheetData>
    <row r="1" spans="1:2" ht="18" x14ac:dyDescent="0.25">
      <c r="A1" s="1" t="s">
        <v>47</v>
      </c>
    </row>
    <row r="2" spans="1:2" x14ac:dyDescent="0.2">
      <c r="A2" s="393" t="s">
        <v>566</v>
      </c>
    </row>
    <row r="3" spans="1:2" ht="15" x14ac:dyDescent="0.25">
      <c r="A3" s="4" t="s">
        <v>246</v>
      </c>
    </row>
    <row r="4" spans="1:2" x14ac:dyDescent="0.2">
      <c r="A4" s="109" t="s">
        <v>244</v>
      </c>
      <c r="B4" s="139" t="s">
        <v>862</v>
      </c>
    </row>
    <row r="5" spans="1:2" x14ac:dyDescent="0.2">
      <c r="A5" s="109" t="s">
        <v>245</v>
      </c>
      <c r="B5" s="140">
        <v>42821</v>
      </c>
    </row>
    <row r="6" spans="1:2" x14ac:dyDescent="0.2">
      <c r="A6" s="109" t="s">
        <v>247</v>
      </c>
      <c r="B6" s="140" t="s">
        <v>248</v>
      </c>
    </row>
    <row r="7" spans="1:2" x14ac:dyDescent="0.2">
      <c r="A7" s="109" t="s">
        <v>286</v>
      </c>
    </row>
    <row r="8" spans="1:2" x14ac:dyDescent="0.2">
      <c r="A8" s="109"/>
      <c r="B8" s="109" t="s">
        <v>287</v>
      </c>
    </row>
    <row r="9" spans="1:2" x14ac:dyDescent="0.2">
      <c r="A9" s="109"/>
      <c r="B9" s="109" t="s">
        <v>292</v>
      </c>
    </row>
    <row r="10" spans="1:2" x14ac:dyDescent="0.2">
      <c r="A10" s="109"/>
      <c r="B10" s="109" t="s">
        <v>299</v>
      </c>
    </row>
    <row r="11" spans="1:2" x14ac:dyDescent="0.2">
      <c r="A11" s="109"/>
      <c r="B11" s="109" t="s">
        <v>306</v>
      </c>
    </row>
    <row r="12" spans="1:2" x14ac:dyDescent="0.2">
      <c r="A12" s="109"/>
      <c r="B12" s="109" t="s">
        <v>307</v>
      </c>
    </row>
    <row r="13" spans="1:2" x14ac:dyDescent="0.2">
      <c r="A13" s="109"/>
      <c r="B13" s="109" t="s">
        <v>308</v>
      </c>
    </row>
    <row r="14" spans="1:2" x14ac:dyDescent="0.2">
      <c r="A14" s="109"/>
      <c r="B14" s="109" t="s">
        <v>352</v>
      </c>
    </row>
    <row r="15" spans="1:2" x14ac:dyDescent="0.2">
      <c r="A15" s="109"/>
      <c r="B15" s="109" t="s">
        <v>353</v>
      </c>
    </row>
    <row r="16" spans="1:2" x14ac:dyDescent="0.2">
      <c r="A16" s="109" t="s">
        <v>376</v>
      </c>
    </row>
    <row r="17" spans="1:3" x14ac:dyDescent="0.2">
      <c r="A17" s="109"/>
      <c r="B17" s="109" t="s">
        <v>377</v>
      </c>
    </row>
    <row r="18" spans="1:3" x14ac:dyDescent="0.2">
      <c r="A18" s="109"/>
      <c r="B18" s="109"/>
      <c r="C18" s="109" t="s">
        <v>383</v>
      </c>
    </row>
    <row r="19" spans="1:3" x14ac:dyDescent="0.2">
      <c r="A19" s="109"/>
      <c r="C19" s="109" t="s">
        <v>384</v>
      </c>
    </row>
    <row r="20" spans="1:3" x14ac:dyDescent="0.2">
      <c r="A20" s="109" t="s">
        <v>378</v>
      </c>
    </row>
    <row r="21" spans="1:3" x14ac:dyDescent="0.2">
      <c r="A21" s="109"/>
      <c r="B21" s="112" t="s">
        <v>381</v>
      </c>
    </row>
    <row r="22" spans="1:3" x14ac:dyDescent="0.2">
      <c r="A22" s="109"/>
      <c r="B22" s="112" t="s">
        <v>388</v>
      </c>
    </row>
    <row r="23" spans="1:3" x14ac:dyDescent="0.2">
      <c r="A23" s="109"/>
      <c r="B23" s="109" t="s">
        <v>379</v>
      </c>
    </row>
    <row r="24" spans="1:3" x14ac:dyDescent="0.2">
      <c r="A24" s="109"/>
      <c r="B24" s="112" t="s">
        <v>380</v>
      </c>
    </row>
    <row r="25" spans="1:3" x14ac:dyDescent="0.2">
      <c r="A25" s="109"/>
      <c r="B25" s="109" t="s">
        <v>398</v>
      </c>
    </row>
    <row r="26" spans="1:3" x14ac:dyDescent="0.2">
      <c r="A26" s="109" t="s">
        <v>424</v>
      </c>
    </row>
    <row r="27" spans="1:3" x14ac:dyDescent="0.2">
      <c r="A27" s="109"/>
      <c r="B27" s="112" t="s">
        <v>425</v>
      </c>
    </row>
    <row r="28" spans="1:3" x14ac:dyDescent="0.2">
      <c r="A28" s="109" t="s">
        <v>423</v>
      </c>
    </row>
    <row r="29" spans="1:3" x14ac:dyDescent="0.2">
      <c r="A29" s="109"/>
      <c r="B29" s="112" t="s">
        <v>434</v>
      </c>
    </row>
    <row r="30" spans="1:3" x14ac:dyDescent="0.2">
      <c r="A30" s="109"/>
      <c r="C30" s="109" t="s">
        <v>435</v>
      </c>
    </row>
    <row r="31" spans="1:3" x14ac:dyDescent="0.2">
      <c r="A31" s="109"/>
      <c r="C31" s="109" t="s">
        <v>436</v>
      </c>
    </row>
    <row r="32" spans="1:3" x14ac:dyDescent="0.2">
      <c r="A32" s="109"/>
      <c r="B32" s="109" t="s">
        <v>451</v>
      </c>
      <c r="C32" s="109"/>
    </row>
    <row r="33" spans="1:6" x14ac:dyDescent="0.2">
      <c r="A33" s="109"/>
      <c r="C33" s="109" t="s">
        <v>452</v>
      </c>
    </row>
    <row r="34" spans="1:6" x14ac:dyDescent="0.2">
      <c r="A34" s="109"/>
      <c r="C34" s="109" t="s">
        <v>200</v>
      </c>
      <c r="D34" s="109" t="str">
        <f>"- Lastfaktor = Standard-Wert (" &amp; St.Wert_Lastfaktor &amp;"), damit die fehlerhaft eingegebenen Anlagen bei der Sortierung nach Einsparpotential nicht ganz unten (nach den leeren Feldern) erscheinen."</f>
        <v>- Lastfaktor = Standard-Wert (0.5), damit die fehlerhaft eingegebenen Anlagen bei der Sortierung nach Einsparpotential nicht ganz unten (nach den leeren Feldern) erscheinen.</v>
      </c>
    </row>
    <row r="35" spans="1:6" x14ac:dyDescent="0.2">
      <c r="A35" s="109"/>
      <c r="C35" s="109"/>
      <c r="D35" s="109" t="s">
        <v>453</v>
      </c>
    </row>
    <row r="36" spans="1:6" x14ac:dyDescent="0.2">
      <c r="A36" s="109"/>
      <c r="C36" s="109"/>
      <c r="D36" s="109" t="s">
        <v>454</v>
      </c>
    </row>
    <row r="37" spans="1:6" x14ac:dyDescent="0.2">
      <c r="A37" s="109"/>
      <c r="B37" s="112" t="s">
        <v>458</v>
      </c>
    </row>
    <row r="38" spans="1:6" x14ac:dyDescent="0.2">
      <c r="A38" s="109"/>
      <c r="C38" s="283" t="s">
        <v>461</v>
      </c>
    </row>
    <row r="39" spans="1:6" x14ac:dyDescent="0.2">
      <c r="A39" s="109"/>
      <c r="C39" s="109" t="s">
        <v>462</v>
      </c>
    </row>
    <row r="40" spans="1:6" x14ac:dyDescent="0.2">
      <c r="A40" s="109"/>
      <c r="C40" s="109" t="s">
        <v>463</v>
      </c>
    </row>
    <row r="41" spans="1:6" x14ac:dyDescent="0.2">
      <c r="A41" s="109"/>
      <c r="C41" s="109" t="s">
        <v>464</v>
      </c>
    </row>
    <row r="42" spans="1:6" x14ac:dyDescent="0.2">
      <c r="A42" s="109" t="s">
        <v>465</v>
      </c>
      <c r="C42" s="109"/>
    </row>
    <row r="43" spans="1:6" x14ac:dyDescent="0.2">
      <c r="A43" s="109"/>
      <c r="B43" s="109" t="s">
        <v>466</v>
      </c>
      <c r="C43" s="109"/>
    </row>
    <row r="44" spans="1:6" x14ac:dyDescent="0.2">
      <c r="A44" s="109"/>
      <c r="C44" s="109" t="s">
        <v>467</v>
      </c>
    </row>
    <row r="45" spans="1:6" x14ac:dyDescent="0.2">
      <c r="A45" s="109"/>
      <c r="B45" s="109" t="s">
        <v>468</v>
      </c>
      <c r="C45" s="109"/>
    </row>
    <row r="46" spans="1:6" x14ac:dyDescent="0.2">
      <c r="A46" s="109"/>
      <c r="C46" s="109" t="s">
        <v>470</v>
      </c>
    </row>
    <row r="47" spans="1:6" x14ac:dyDescent="0.2">
      <c r="A47" s="112"/>
      <c r="B47" s="111"/>
      <c r="C47" s="112" t="s">
        <v>471</v>
      </c>
      <c r="D47" s="111"/>
      <c r="E47" s="111"/>
      <c r="F47" s="111"/>
    </row>
    <row r="48" spans="1:6" x14ac:dyDescent="0.2">
      <c r="A48" s="292"/>
      <c r="B48" s="292" t="s">
        <v>439</v>
      </c>
      <c r="C48" s="112"/>
      <c r="D48" s="111"/>
      <c r="E48" s="111"/>
      <c r="F48" s="111"/>
    </row>
    <row r="49" spans="1:6" x14ac:dyDescent="0.2">
      <c r="A49" s="293"/>
      <c r="B49" s="290"/>
      <c r="C49" s="112" t="s">
        <v>440</v>
      </c>
      <c r="D49" s="111"/>
      <c r="E49" s="111"/>
      <c r="F49" s="111"/>
    </row>
    <row r="50" spans="1:6" x14ac:dyDescent="0.2">
      <c r="A50" s="112"/>
      <c r="B50" s="111"/>
      <c r="C50" s="111"/>
      <c r="D50" s="112" t="s">
        <v>475</v>
      </c>
      <c r="E50" s="111"/>
      <c r="F50" s="111"/>
    </row>
    <row r="51" spans="1:6" x14ac:dyDescent="0.2">
      <c r="A51" s="112"/>
      <c r="B51" s="111"/>
      <c r="C51" s="111"/>
      <c r="D51" s="112" t="s">
        <v>441</v>
      </c>
      <c r="E51" s="111"/>
      <c r="F51" s="111"/>
    </row>
    <row r="52" spans="1:6" x14ac:dyDescent="0.2">
      <c r="A52" s="112"/>
      <c r="B52" s="111"/>
      <c r="C52" s="112" t="s">
        <v>473</v>
      </c>
      <c r="D52" s="111"/>
      <c r="E52" s="111"/>
      <c r="F52" s="111"/>
    </row>
    <row r="53" spans="1:6" x14ac:dyDescent="0.2">
      <c r="A53" s="112"/>
      <c r="B53" s="111"/>
      <c r="C53" s="111"/>
      <c r="D53" s="112" t="s">
        <v>474</v>
      </c>
      <c r="E53" s="111"/>
      <c r="F53" s="111"/>
    </row>
    <row r="54" spans="1:6" x14ac:dyDescent="0.2">
      <c r="A54" s="112"/>
      <c r="B54" s="111"/>
      <c r="C54" s="112"/>
      <c r="D54" s="112" t="s">
        <v>476</v>
      </c>
      <c r="E54" s="111"/>
      <c r="F54" s="111"/>
    </row>
    <row r="55" spans="1:6" x14ac:dyDescent="0.2">
      <c r="A55" s="112"/>
      <c r="B55" s="112" t="s">
        <v>481</v>
      </c>
      <c r="C55" s="112"/>
      <c r="D55" s="112"/>
      <c r="E55" s="111"/>
      <c r="F55" s="111"/>
    </row>
    <row r="56" spans="1:6" x14ac:dyDescent="0.2">
      <c r="A56" s="112"/>
      <c r="B56" s="111"/>
      <c r="C56" s="112" t="s">
        <v>482</v>
      </c>
      <c r="D56" s="112"/>
      <c r="E56" s="111"/>
      <c r="F56" s="111"/>
    </row>
    <row r="57" spans="1:6" x14ac:dyDescent="0.2">
      <c r="A57" s="112"/>
      <c r="B57" s="112" t="s">
        <v>489</v>
      </c>
      <c r="C57" s="112"/>
      <c r="D57" s="112"/>
      <c r="E57" s="111"/>
      <c r="F57" s="111"/>
    </row>
    <row r="58" spans="1:6" x14ac:dyDescent="0.2">
      <c r="A58" s="112"/>
      <c r="B58" s="111"/>
      <c r="C58" s="112" t="s">
        <v>506</v>
      </c>
      <c r="D58" s="112"/>
      <c r="E58" s="111"/>
      <c r="F58" s="111"/>
    </row>
    <row r="59" spans="1:6" x14ac:dyDescent="0.2">
      <c r="A59" s="112"/>
      <c r="B59" s="111"/>
      <c r="C59" s="112" t="s">
        <v>507</v>
      </c>
      <c r="D59" s="112"/>
      <c r="E59" s="111"/>
      <c r="F59" s="111"/>
    </row>
    <row r="60" spans="1:6" x14ac:dyDescent="0.2">
      <c r="A60" s="112"/>
      <c r="B60" s="111"/>
      <c r="C60" s="112" t="s">
        <v>508</v>
      </c>
      <c r="D60" s="112"/>
      <c r="E60" s="111"/>
      <c r="F60" s="111"/>
    </row>
    <row r="61" spans="1:6" x14ac:dyDescent="0.2">
      <c r="A61" s="112"/>
      <c r="B61" s="111"/>
      <c r="C61" s="112" t="s">
        <v>510</v>
      </c>
      <c r="D61" s="112"/>
      <c r="E61" s="111"/>
      <c r="F61" s="111"/>
    </row>
    <row r="62" spans="1:6" x14ac:dyDescent="0.2">
      <c r="A62" s="112"/>
      <c r="B62" s="112" t="s">
        <v>501</v>
      </c>
      <c r="C62" s="112"/>
      <c r="D62" s="112"/>
      <c r="E62" s="111"/>
      <c r="F62" s="111"/>
    </row>
    <row r="63" spans="1:6" x14ac:dyDescent="0.2">
      <c r="A63" s="112"/>
      <c r="B63" s="112" t="s">
        <v>500</v>
      </c>
      <c r="C63" s="112"/>
      <c r="D63" s="112"/>
      <c r="E63" s="111"/>
      <c r="F63" s="111"/>
    </row>
    <row r="64" spans="1:6" x14ac:dyDescent="0.2">
      <c r="A64" s="112"/>
      <c r="B64" s="111"/>
      <c r="C64" s="112" t="s">
        <v>490</v>
      </c>
      <c r="D64" s="112"/>
      <c r="E64" s="111"/>
      <c r="F64" s="111"/>
    </row>
    <row r="65" spans="1:6" x14ac:dyDescent="0.2">
      <c r="A65" s="112"/>
      <c r="B65" s="112" t="s">
        <v>502</v>
      </c>
      <c r="C65" s="112"/>
      <c r="D65" s="112"/>
      <c r="E65" s="111"/>
      <c r="F65" s="111"/>
    </row>
    <row r="66" spans="1:6" x14ac:dyDescent="0.2">
      <c r="A66" s="112"/>
      <c r="B66" s="112" t="s">
        <v>509</v>
      </c>
      <c r="C66" s="112"/>
      <c r="D66" s="112"/>
      <c r="E66" s="111"/>
      <c r="F66" s="111"/>
    </row>
    <row r="67" spans="1:6" x14ac:dyDescent="0.2">
      <c r="A67" s="112"/>
      <c r="B67" s="112" t="s">
        <v>511</v>
      </c>
      <c r="C67" s="112"/>
      <c r="D67" s="112"/>
      <c r="E67" s="111"/>
      <c r="F67" s="111"/>
    </row>
    <row r="68" spans="1:6" x14ac:dyDescent="0.2">
      <c r="A68" s="112"/>
      <c r="B68" s="112" t="s">
        <v>518</v>
      </c>
      <c r="C68" s="112"/>
      <c r="D68" s="112"/>
      <c r="E68" s="111"/>
      <c r="F68" s="111"/>
    </row>
    <row r="69" spans="1:6" x14ac:dyDescent="0.2">
      <c r="A69" s="112"/>
      <c r="B69" s="112" t="s">
        <v>517</v>
      </c>
      <c r="C69" s="112"/>
      <c r="D69" s="112"/>
      <c r="E69" s="111"/>
      <c r="F69" s="111"/>
    </row>
    <row r="70" spans="1:6" x14ac:dyDescent="0.2">
      <c r="A70" s="109" t="s">
        <v>521</v>
      </c>
      <c r="C70" s="112"/>
      <c r="D70" s="112"/>
      <c r="E70" s="111"/>
      <c r="F70" s="111"/>
    </row>
    <row r="71" spans="1:6" x14ac:dyDescent="0.2">
      <c r="A71" s="109"/>
      <c r="B71" s="109" t="s">
        <v>522</v>
      </c>
      <c r="C71" s="112"/>
      <c r="D71" s="112"/>
      <c r="E71" s="111"/>
      <c r="F71" s="111"/>
    </row>
    <row r="72" spans="1:6" x14ac:dyDescent="0.2">
      <c r="A72" s="112"/>
      <c r="B72" s="112" t="s">
        <v>525</v>
      </c>
      <c r="C72" s="112"/>
      <c r="D72" s="112"/>
      <c r="E72" s="111"/>
      <c r="F72" s="111"/>
    </row>
    <row r="73" spans="1:6" x14ac:dyDescent="0.2">
      <c r="A73" s="112"/>
      <c r="B73" s="112" t="s">
        <v>526</v>
      </c>
      <c r="C73" s="112"/>
      <c r="D73" s="112"/>
      <c r="E73" s="111"/>
      <c r="F73" s="111"/>
    </row>
    <row r="74" spans="1:6" x14ac:dyDescent="0.2">
      <c r="A74" s="109" t="s">
        <v>527</v>
      </c>
      <c r="C74" s="112"/>
      <c r="D74" s="112"/>
      <c r="E74" s="111"/>
      <c r="F74" s="111"/>
    </row>
    <row r="75" spans="1:6" x14ac:dyDescent="0.2">
      <c r="A75" s="109"/>
      <c r="B75" s="109" t="s">
        <v>530</v>
      </c>
      <c r="C75" s="112"/>
      <c r="D75" s="112"/>
      <c r="E75" s="111"/>
      <c r="F75" s="111"/>
    </row>
    <row r="76" spans="1:6" x14ac:dyDescent="0.2">
      <c r="A76" s="112"/>
      <c r="B76" s="112"/>
      <c r="C76" s="112" t="s">
        <v>528</v>
      </c>
      <c r="D76" s="112"/>
      <c r="E76" s="111"/>
      <c r="F76" s="111"/>
    </row>
    <row r="77" spans="1:6" x14ac:dyDescent="0.2">
      <c r="A77" s="112"/>
      <c r="B77" s="112"/>
      <c r="C77" s="112" t="s">
        <v>529</v>
      </c>
      <c r="D77" s="112"/>
      <c r="E77" s="111"/>
      <c r="F77" s="111"/>
    </row>
    <row r="78" spans="1:6" x14ac:dyDescent="0.2">
      <c r="A78" s="112"/>
      <c r="B78" s="112" t="s">
        <v>531</v>
      </c>
      <c r="C78" s="112"/>
      <c r="D78" s="112"/>
      <c r="E78" s="111"/>
      <c r="F78" s="111"/>
    </row>
    <row r="79" spans="1:6" x14ac:dyDescent="0.2">
      <c r="A79" s="112"/>
      <c r="B79" s="112"/>
      <c r="C79" s="331" t="s">
        <v>532</v>
      </c>
      <c r="D79" s="112"/>
      <c r="E79" s="111"/>
      <c r="F79" s="111"/>
    </row>
    <row r="80" spans="1:6" x14ac:dyDescent="0.2">
      <c r="A80" s="112"/>
      <c r="B80" s="112"/>
      <c r="C80" s="332" t="s">
        <v>533</v>
      </c>
      <c r="D80" s="112"/>
      <c r="E80" s="111"/>
      <c r="F80" s="111"/>
    </row>
    <row r="81" spans="1:6" x14ac:dyDescent="0.2">
      <c r="A81" s="112"/>
      <c r="B81" s="112"/>
      <c r="C81" s="332" t="s">
        <v>535</v>
      </c>
      <c r="D81" s="112"/>
      <c r="E81" s="111"/>
      <c r="F81" s="111"/>
    </row>
    <row r="82" spans="1:6" x14ac:dyDescent="0.2">
      <c r="A82" s="112"/>
      <c r="B82" s="112"/>
      <c r="C82" s="332" t="s">
        <v>536</v>
      </c>
      <c r="D82" s="112"/>
      <c r="E82" s="111"/>
      <c r="F82" s="111"/>
    </row>
    <row r="83" spans="1:6" x14ac:dyDescent="0.2">
      <c r="A83" s="112"/>
      <c r="B83" s="112" t="s">
        <v>538</v>
      </c>
      <c r="C83" s="332"/>
      <c r="D83" s="112"/>
      <c r="E83" s="111"/>
      <c r="F83" s="111"/>
    </row>
    <row r="84" spans="1:6" x14ac:dyDescent="0.2">
      <c r="A84" s="112"/>
      <c r="B84" s="112" t="s">
        <v>540</v>
      </c>
      <c r="C84" s="332"/>
      <c r="D84" s="112"/>
      <c r="E84" s="111"/>
      <c r="F84" s="111"/>
    </row>
    <row r="85" spans="1:6" x14ac:dyDescent="0.2">
      <c r="A85" s="112"/>
      <c r="B85" s="112" t="s">
        <v>541</v>
      </c>
      <c r="C85" s="332"/>
      <c r="D85" s="112"/>
      <c r="E85" s="111"/>
      <c r="F85" s="111"/>
    </row>
    <row r="86" spans="1:6" x14ac:dyDescent="0.2">
      <c r="A86" s="112"/>
      <c r="B86" s="112" t="s">
        <v>543</v>
      </c>
      <c r="C86" s="332"/>
      <c r="D86" s="112"/>
      <c r="E86" s="111"/>
      <c r="F86" s="111"/>
    </row>
    <row r="87" spans="1:6" x14ac:dyDescent="0.2">
      <c r="A87" s="112"/>
      <c r="B87" s="112" t="s">
        <v>539</v>
      </c>
      <c r="C87" s="332"/>
      <c r="D87" s="112"/>
      <c r="E87" s="111"/>
      <c r="F87" s="111"/>
    </row>
    <row r="88" spans="1:6" x14ac:dyDescent="0.2">
      <c r="A88" s="112"/>
      <c r="B88" s="112" t="s">
        <v>544</v>
      </c>
      <c r="C88" s="332"/>
      <c r="D88" s="112"/>
      <c r="E88" s="111"/>
      <c r="F88" s="111"/>
    </row>
    <row r="89" spans="1:6" x14ac:dyDescent="0.2">
      <c r="A89" s="112"/>
      <c r="B89" s="112" t="s">
        <v>552</v>
      </c>
      <c r="C89" s="332"/>
      <c r="D89" s="112"/>
      <c r="E89" s="111"/>
      <c r="F89" s="111"/>
    </row>
    <row r="90" spans="1:6" x14ac:dyDescent="0.2">
      <c r="A90" s="109" t="s">
        <v>562</v>
      </c>
      <c r="C90" s="332"/>
      <c r="D90" s="112"/>
      <c r="E90" s="111"/>
      <c r="F90" s="111"/>
    </row>
    <row r="91" spans="1:6" x14ac:dyDescent="0.2">
      <c r="A91" s="109"/>
      <c r="B91" s="109" t="s">
        <v>718</v>
      </c>
      <c r="C91" s="332"/>
      <c r="D91" s="112"/>
      <c r="E91" s="111"/>
      <c r="F91" s="111"/>
    </row>
    <row r="92" spans="1:6" x14ac:dyDescent="0.2">
      <c r="A92" s="112"/>
      <c r="B92" s="112"/>
      <c r="C92" s="332" t="s">
        <v>719</v>
      </c>
      <c r="D92" s="112"/>
      <c r="E92" s="111"/>
      <c r="F92" s="111"/>
    </row>
    <row r="93" spans="1:6" x14ac:dyDescent="0.2">
      <c r="A93" s="112"/>
      <c r="B93" s="112"/>
      <c r="C93" s="332" t="s">
        <v>720</v>
      </c>
      <c r="D93" s="112"/>
      <c r="E93" s="111"/>
      <c r="F93" s="111"/>
    </row>
    <row r="94" spans="1:6" x14ac:dyDescent="0.2">
      <c r="A94" s="112"/>
      <c r="B94" s="112" t="s">
        <v>721</v>
      </c>
      <c r="C94" s="332"/>
      <c r="D94" s="112"/>
      <c r="E94" s="111"/>
      <c r="F94" s="111"/>
    </row>
    <row r="95" spans="1:6" x14ac:dyDescent="0.2">
      <c r="A95" s="112"/>
      <c r="B95" s="112"/>
      <c r="C95" s="332" t="s">
        <v>722</v>
      </c>
      <c r="D95" s="112"/>
      <c r="E95" s="111"/>
      <c r="F95" s="111"/>
    </row>
    <row r="96" spans="1:6" x14ac:dyDescent="0.2">
      <c r="A96" s="112"/>
      <c r="B96" s="112" t="s">
        <v>723</v>
      </c>
      <c r="C96" s="332"/>
      <c r="D96" s="112"/>
      <c r="E96" s="111"/>
      <c r="F96" s="111"/>
    </row>
    <row r="97" spans="1:6" ht="15" x14ac:dyDescent="0.25">
      <c r="A97" s="112"/>
      <c r="B97" s="112" t="s">
        <v>724</v>
      </c>
      <c r="C97" s="332"/>
      <c r="D97" s="112"/>
      <c r="E97" s="111"/>
      <c r="F97" s="111"/>
    </row>
    <row r="98" spans="1:6" x14ac:dyDescent="0.2">
      <c r="A98" s="109" t="s">
        <v>727</v>
      </c>
      <c r="C98" s="332"/>
      <c r="D98" s="112"/>
      <c r="E98" s="111"/>
      <c r="F98" s="111"/>
    </row>
    <row r="99" spans="1:6" x14ac:dyDescent="0.2">
      <c r="A99" s="109"/>
      <c r="B99" s="112" t="s">
        <v>728</v>
      </c>
      <c r="C99" s="332"/>
      <c r="D99" s="112"/>
      <c r="E99" s="111"/>
      <c r="F99" s="111"/>
    </row>
    <row r="100" spans="1:6" x14ac:dyDescent="0.2">
      <c r="A100" s="112"/>
      <c r="B100" s="112" t="s">
        <v>776</v>
      </c>
      <c r="C100" s="332"/>
      <c r="D100" s="112"/>
      <c r="E100" s="111"/>
      <c r="F100" s="111"/>
    </row>
    <row r="101" spans="1:6" x14ac:dyDescent="0.2">
      <c r="A101" s="112"/>
      <c r="B101" s="112" t="s">
        <v>777</v>
      </c>
      <c r="C101" s="332"/>
      <c r="D101" s="112"/>
      <c r="E101" s="111"/>
      <c r="F101" s="111"/>
    </row>
    <row r="102" spans="1:6" x14ac:dyDescent="0.2">
      <c r="A102" s="112"/>
      <c r="B102" s="112" t="s">
        <v>778</v>
      </c>
      <c r="C102" s="332"/>
      <c r="D102" s="112"/>
      <c r="E102" s="111"/>
      <c r="F102" s="111"/>
    </row>
    <row r="103" spans="1:6" x14ac:dyDescent="0.2">
      <c r="A103" s="112"/>
      <c r="B103" s="112" t="s">
        <v>822</v>
      </c>
      <c r="C103" s="332"/>
      <c r="D103" s="112"/>
      <c r="E103" s="111"/>
      <c r="F103" s="111"/>
    </row>
    <row r="104" spans="1:6" x14ac:dyDescent="0.2">
      <c r="A104" s="112"/>
      <c r="B104" s="112" t="s">
        <v>825</v>
      </c>
      <c r="C104" s="332"/>
      <c r="D104" s="112"/>
      <c r="E104" s="111"/>
      <c r="F104" s="111"/>
    </row>
    <row r="105" spans="1:6" x14ac:dyDescent="0.2">
      <c r="A105" s="109" t="s">
        <v>823</v>
      </c>
      <c r="C105" s="332"/>
      <c r="D105" s="112"/>
      <c r="E105" s="111"/>
      <c r="F105" s="111"/>
    </row>
    <row r="106" spans="1:6" x14ac:dyDescent="0.2">
      <c r="A106" s="109"/>
      <c r="B106" s="112" t="s">
        <v>824</v>
      </c>
      <c r="C106" s="332"/>
      <c r="D106" s="112"/>
      <c r="E106" s="111"/>
      <c r="F106" s="111"/>
    </row>
    <row r="107" spans="1:6" x14ac:dyDescent="0.2">
      <c r="A107" s="109"/>
      <c r="B107" s="112" t="s">
        <v>828</v>
      </c>
      <c r="C107" s="332"/>
      <c r="D107" s="112"/>
      <c r="E107" s="111"/>
      <c r="F107" s="111"/>
    </row>
    <row r="108" spans="1:6" x14ac:dyDescent="0.2">
      <c r="A108" s="109"/>
      <c r="B108" s="112" t="s">
        <v>831</v>
      </c>
      <c r="C108" s="332"/>
      <c r="D108" s="112"/>
      <c r="E108" s="111"/>
      <c r="F108" s="111"/>
    </row>
    <row r="109" spans="1:6" x14ac:dyDescent="0.2">
      <c r="A109" s="109"/>
      <c r="B109" s="112" t="s">
        <v>832</v>
      </c>
      <c r="C109" s="332"/>
      <c r="D109" s="112"/>
      <c r="E109" s="111"/>
      <c r="F109" s="111"/>
    </row>
    <row r="110" spans="1:6" x14ac:dyDescent="0.2">
      <c r="A110" s="109" t="s">
        <v>843</v>
      </c>
      <c r="C110" s="332"/>
      <c r="D110" s="112"/>
      <c r="E110" s="111"/>
      <c r="F110" s="111"/>
    </row>
    <row r="111" spans="1:6" x14ac:dyDescent="0.2">
      <c r="A111" s="109"/>
      <c r="B111" s="112" t="s">
        <v>844</v>
      </c>
      <c r="C111" s="332"/>
      <c r="D111" s="112"/>
      <c r="E111" s="111"/>
      <c r="F111" s="111"/>
    </row>
    <row r="112" spans="1:6" x14ac:dyDescent="0.2">
      <c r="A112" s="109"/>
      <c r="B112" s="112" t="s">
        <v>845</v>
      </c>
      <c r="C112" s="332"/>
      <c r="D112" s="112"/>
      <c r="E112" s="111"/>
      <c r="F112" s="111"/>
    </row>
    <row r="113" spans="1:15" x14ac:dyDescent="0.2">
      <c r="A113" s="109"/>
      <c r="B113" s="112"/>
      <c r="C113" s="332" t="s">
        <v>847</v>
      </c>
      <c r="D113" s="112"/>
      <c r="E113" s="111"/>
      <c r="F113" s="111"/>
    </row>
    <row r="114" spans="1:15" x14ac:dyDescent="0.2">
      <c r="A114" s="109"/>
      <c r="B114" s="112"/>
      <c r="C114" s="332" t="s">
        <v>846</v>
      </c>
      <c r="D114" s="112"/>
      <c r="E114" s="111"/>
      <c r="F114" s="111"/>
    </row>
    <row r="115" spans="1:15" x14ac:dyDescent="0.2">
      <c r="A115" s="109"/>
      <c r="B115" s="112" t="s">
        <v>848</v>
      </c>
      <c r="C115" s="332"/>
      <c r="D115" s="112"/>
      <c r="E115" s="111"/>
      <c r="F115" s="111"/>
    </row>
    <row r="116" spans="1:15" x14ac:dyDescent="0.2">
      <c r="A116" s="109"/>
      <c r="B116" s="112"/>
      <c r="C116" s="332" t="s">
        <v>849</v>
      </c>
      <c r="D116" s="112"/>
      <c r="E116" s="111"/>
      <c r="F116" s="111"/>
    </row>
    <row r="117" spans="1:15" x14ac:dyDescent="0.2">
      <c r="A117" s="109"/>
      <c r="B117" s="112"/>
      <c r="C117" s="332" t="s">
        <v>850</v>
      </c>
      <c r="D117" s="112"/>
      <c r="E117" s="111"/>
      <c r="F117" s="111"/>
    </row>
    <row r="118" spans="1:15" x14ac:dyDescent="0.2">
      <c r="A118" s="109"/>
      <c r="B118" s="112" t="s">
        <v>851</v>
      </c>
      <c r="C118" s="332"/>
      <c r="D118" s="112"/>
      <c r="E118" s="111"/>
      <c r="F118" s="111"/>
    </row>
    <row r="119" spans="1:15" x14ac:dyDescent="0.2">
      <c r="A119" s="109"/>
      <c r="B119" s="112" t="s">
        <v>855</v>
      </c>
      <c r="C119" s="332"/>
      <c r="D119" s="112"/>
      <c r="E119" s="111"/>
      <c r="F119" s="111"/>
    </row>
    <row r="120" spans="1:15" x14ac:dyDescent="0.2">
      <c r="A120" s="109"/>
      <c r="B120" s="112" t="s">
        <v>857</v>
      </c>
      <c r="C120" s="332"/>
      <c r="D120" s="112"/>
      <c r="E120" s="111"/>
      <c r="F120" s="111"/>
    </row>
    <row r="121" spans="1:15" x14ac:dyDescent="0.2">
      <c r="A121" s="109"/>
      <c r="B121" s="112"/>
      <c r="C121" s="332" t="s">
        <v>858</v>
      </c>
      <c r="D121" s="112"/>
      <c r="E121" s="111"/>
      <c r="F121" s="111"/>
    </row>
    <row r="122" spans="1:15" x14ac:dyDescent="0.2">
      <c r="A122" s="294"/>
      <c r="B122" s="294"/>
      <c r="C122" s="294" t="s">
        <v>859</v>
      </c>
      <c r="D122" s="294"/>
      <c r="E122" s="295"/>
      <c r="F122" s="295"/>
      <c r="G122" s="296"/>
      <c r="H122" s="296"/>
      <c r="I122" s="296"/>
      <c r="J122" s="296"/>
      <c r="K122" s="296"/>
      <c r="L122" s="296"/>
      <c r="M122" s="296"/>
      <c r="N122" s="296"/>
      <c r="O122" s="296"/>
    </row>
    <row r="123" spans="1:15" x14ac:dyDescent="0.2">
      <c r="A123" s="332"/>
      <c r="B123" s="332" t="s">
        <v>860</v>
      </c>
      <c r="C123" s="332"/>
      <c r="D123" s="332"/>
      <c r="E123" s="416"/>
      <c r="F123" s="416"/>
      <c r="G123" s="417"/>
      <c r="H123" s="417"/>
      <c r="I123" s="417"/>
      <c r="J123" s="417"/>
      <c r="K123" s="417"/>
      <c r="L123" s="417"/>
      <c r="M123" s="417"/>
      <c r="N123" s="417"/>
      <c r="O123" s="417"/>
    </row>
    <row r="124" spans="1:15" x14ac:dyDescent="0.2">
      <c r="A124" s="109" t="s">
        <v>863</v>
      </c>
      <c r="C124" s="332"/>
      <c r="D124" s="112"/>
      <c r="E124" s="111"/>
      <c r="F124" s="111"/>
    </row>
    <row r="125" spans="1:15" x14ac:dyDescent="0.2">
      <c r="A125" s="109"/>
      <c r="B125" s="112" t="s">
        <v>865</v>
      </c>
      <c r="C125" s="332"/>
      <c r="D125" s="112"/>
      <c r="E125" s="111"/>
      <c r="F125" s="111"/>
    </row>
    <row r="126" spans="1:15" x14ac:dyDescent="0.2">
      <c r="A126" s="332"/>
      <c r="B126" s="112" t="s">
        <v>864</v>
      </c>
      <c r="C126" s="332"/>
      <c r="D126" s="332"/>
      <c r="E126" s="416"/>
      <c r="F126" s="416"/>
      <c r="G126" s="417"/>
      <c r="H126" s="417"/>
      <c r="I126" s="417"/>
      <c r="J126" s="417"/>
      <c r="K126" s="417"/>
      <c r="L126" s="417"/>
      <c r="M126" s="417"/>
      <c r="N126" s="417"/>
      <c r="O126" s="417"/>
    </row>
    <row r="127" spans="1:15" x14ac:dyDescent="0.2">
      <c r="A127" s="332"/>
      <c r="B127" s="112" t="s">
        <v>868</v>
      </c>
      <c r="C127" s="332"/>
      <c r="D127" s="332"/>
      <c r="E127" s="416"/>
      <c r="F127" s="416"/>
      <c r="G127" s="417"/>
      <c r="H127" s="417"/>
      <c r="I127" s="417"/>
      <c r="J127" s="417"/>
      <c r="K127" s="417"/>
      <c r="L127" s="417"/>
      <c r="M127" s="417"/>
      <c r="N127" s="417"/>
      <c r="O127" s="417"/>
    </row>
    <row r="128" spans="1:15" x14ac:dyDescent="0.2">
      <c r="A128" s="332"/>
      <c r="B128" s="332"/>
      <c r="C128" s="332"/>
      <c r="D128" s="332"/>
      <c r="E128" s="416"/>
      <c r="F128" s="416"/>
      <c r="G128" s="417"/>
      <c r="H128" s="417"/>
      <c r="I128" s="417"/>
      <c r="J128" s="417"/>
      <c r="K128" s="417"/>
      <c r="L128" s="417"/>
      <c r="M128" s="417"/>
      <c r="N128" s="417"/>
      <c r="O128" s="417"/>
    </row>
    <row r="129" spans="1:6" x14ac:dyDescent="0.2">
      <c r="A129" s="112"/>
      <c r="B129" s="111"/>
      <c r="C129" s="112"/>
      <c r="D129" s="112"/>
      <c r="E129" s="111"/>
      <c r="F129" s="111"/>
    </row>
    <row r="130" spans="1:6" x14ac:dyDescent="0.2">
      <c r="A130" s="112" t="s">
        <v>238</v>
      </c>
      <c r="B130" s="111"/>
      <c r="C130" s="111"/>
      <c r="D130" s="111"/>
      <c r="E130" s="111"/>
      <c r="F130" s="111"/>
    </row>
    <row r="131" spans="1:6" x14ac:dyDescent="0.2">
      <c r="A131" s="109"/>
      <c r="B131" t="s">
        <v>212</v>
      </c>
    </row>
    <row r="132" spans="1:6" x14ac:dyDescent="0.2">
      <c r="A132" s="109"/>
      <c r="B132" s="137" t="s">
        <v>239</v>
      </c>
      <c r="C132" t="str">
        <f>"Punkte = Pkte(Alter) + " &amp; Wert_1.2.3.Test.Faktor.A &amp; " * Pkte(t) * Pkte(P)"</f>
        <v>Punkte = Pkte(Alter) + 2 * Pkte(t) * Pkte(P)</v>
      </c>
    </row>
    <row r="133" spans="1:6" x14ac:dyDescent="0.2">
      <c r="A133" s="109" t="s">
        <v>234</v>
      </c>
    </row>
    <row r="134" spans="1:6" x14ac:dyDescent="0.2">
      <c r="A134" s="109"/>
      <c r="B134" s="109" t="s">
        <v>237</v>
      </c>
    </row>
    <row r="135" spans="1:6" x14ac:dyDescent="0.2">
      <c r="A135" s="109"/>
      <c r="B135" s="109" t="s">
        <v>242</v>
      </c>
    </row>
    <row r="136" spans="1:6" x14ac:dyDescent="0.2">
      <c r="B136" s="109"/>
    </row>
    <row r="137" spans="1:6" ht="15" x14ac:dyDescent="0.25">
      <c r="A137" s="4" t="s">
        <v>48</v>
      </c>
    </row>
    <row r="138" spans="1:6" x14ac:dyDescent="0.2">
      <c r="A138" s="52" t="s">
        <v>49</v>
      </c>
    </row>
    <row r="139" spans="1:6" x14ac:dyDescent="0.2">
      <c r="A139" s="53" t="s">
        <v>50</v>
      </c>
    </row>
    <row r="140" spans="1:6" x14ac:dyDescent="0.2">
      <c r="A140" s="54" t="s">
        <v>268</v>
      </c>
    </row>
    <row r="142" spans="1:6" ht="15" x14ac:dyDescent="0.25">
      <c r="A142" s="4" t="s">
        <v>243</v>
      </c>
    </row>
    <row r="143" spans="1:6" x14ac:dyDescent="0.2">
      <c r="A143" s="148" t="s">
        <v>266</v>
      </c>
      <c r="B143" s="147"/>
    </row>
    <row r="144" spans="1:6" x14ac:dyDescent="0.2">
      <c r="A144" s="149" t="s">
        <v>267</v>
      </c>
      <c r="B144" s="147"/>
    </row>
    <row r="145" spans="1:3" x14ac:dyDescent="0.2">
      <c r="A145" s="150" t="s">
        <v>269</v>
      </c>
      <c r="B145" s="147"/>
    </row>
    <row r="146" spans="1:3" x14ac:dyDescent="0.2">
      <c r="A146" s="154" t="s">
        <v>852</v>
      </c>
    </row>
    <row r="147" spans="1:3" x14ac:dyDescent="0.2">
      <c r="A147" s="410" t="s">
        <v>853</v>
      </c>
    </row>
    <row r="148" spans="1:3" x14ac:dyDescent="0.2">
      <c r="A148" s="409" t="s">
        <v>854</v>
      </c>
    </row>
    <row r="149" spans="1:3" x14ac:dyDescent="0.2">
      <c r="A149" s="191" t="s">
        <v>293</v>
      </c>
    </row>
    <row r="150" spans="1:3" x14ac:dyDescent="0.2">
      <c r="A150" s="190" t="s">
        <v>294</v>
      </c>
    </row>
    <row r="151" spans="1:3" x14ac:dyDescent="0.2">
      <c r="A151" s="208" t="s">
        <v>310</v>
      </c>
    </row>
    <row r="153" spans="1:3" ht="15" x14ac:dyDescent="0.25">
      <c r="A153" s="4" t="s">
        <v>205</v>
      </c>
    </row>
    <row r="154" spans="1:3" x14ac:dyDescent="0.2">
      <c r="A154" s="109" t="s">
        <v>206</v>
      </c>
    </row>
    <row r="155" spans="1:3" x14ac:dyDescent="0.2">
      <c r="A155" s="109"/>
      <c r="B155" s="109" t="s">
        <v>250</v>
      </c>
    </row>
    <row r="156" spans="1:3" x14ac:dyDescent="0.2">
      <c r="A156" s="109"/>
      <c r="B156" s="109" t="s">
        <v>251</v>
      </c>
    </row>
    <row r="157" spans="1:3" x14ac:dyDescent="0.2">
      <c r="A157" s="109" t="s">
        <v>260</v>
      </c>
    </row>
    <row r="158" spans="1:3" x14ac:dyDescent="0.2">
      <c r="A158" s="109"/>
      <c r="B158" s="109" t="s">
        <v>254</v>
      </c>
    </row>
    <row r="159" spans="1:3" x14ac:dyDescent="0.2">
      <c r="A159" s="109"/>
      <c r="B159" s="109"/>
      <c r="C159" s="109" t="s">
        <v>255</v>
      </c>
    </row>
    <row r="160" spans="1:3" x14ac:dyDescent="0.2">
      <c r="A160" s="109"/>
      <c r="B160" s="109"/>
      <c r="C160" s="109" t="s">
        <v>256</v>
      </c>
    </row>
    <row r="161" spans="1:8" x14ac:dyDescent="0.2">
      <c r="A161" s="109"/>
      <c r="B161" s="109"/>
      <c r="C161" s="109" t="s">
        <v>257</v>
      </c>
    </row>
    <row r="162" spans="1:8" x14ac:dyDescent="0.2">
      <c r="B162" s="109" t="s">
        <v>253</v>
      </c>
    </row>
    <row r="163" spans="1:8" x14ac:dyDescent="0.2">
      <c r="B163" s="109"/>
      <c r="C163" s="109" t="s">
        <v>259</v>
      </c>
    </row>
    <row r="164" spans="1:8" x14ac:dyDescent="0.2">
      <c r="A164" s="109"/>
      <c r="C164" s="109" t="s">
        <v>258</v>
      </c>
    </row>
    <row r="165" spans="1:8" x14ac:dyDescent="0.2">
      <c r="A165" s="109" t="s">
        <v>261</v>
      </c>
      <c r="C165" s="109"/>
    </row>
    <row r="166" spans="1:8" x14ac:dyDescent="0.2">
      <c r="A166" s="109"/>
      <c r="B166" s="109" t="s">
        <v>262</v>
      </c>
      <c r="C166" s="109"/>
    </row>
    <row r="167" spans="1:8" x14ac:dyDescent="0.2">
      <c r="A167" s="109"/>
      <c r="B167" s="109" t="s">
        <v>263</v>
      </c>
      <c r="C167" s="109"/>
    </row>
    <row r="168" spans="1:8" x14ac:dyDescent="0.2">
      <c r="A168" s="109" t="s">
        <v>264</v>
      </c>
      <c r="B168" s="109"/>
      <c r="C168" s="109"/>
    </row>
    <row r="169" spans="1:8" x14ac:dyDescent="0.2">
      <c r="A169" s="109"/>
      <c r="B169" s="109" t="s">
        <v>265</v>
      </c>
      <c r="C169" s="109"/>
    </row>
    <row r="170" spans="1:8" x14ac:dyDescent="0.2">
      <c r="A170" s="109" t="s">
        <v>271</v>
      </c>
      <c r="B170" s="109"/>
      <c r="C170" s="109"/>
    </row>
    <row r="171" spans="1:8" x14ac:dyDescent="0.2">
      <c r="A171" s="109"/>
      <c r="B171" s="109" t="s">
        <v>272</v>
      </c>
      <c r="C171" s="109"/>
    </row>
    <row r="172" spans="1:8" x14ac:dyDescent="0.2">
      <c r="A172" s="157" t="s">
        <v>207</v>
      </c>
      <c r="B172" s="153"/>
      <c r="C172" s="153"/>
      <c r="D172" s="153"/>
      <c r="E172" s="153"/>
      <c r="F172" s="153"/>
      <c r="G172" s="153"/>
      <c r="H172" s="153"/>
    </row>
    <row r="173" spans="1:8" x14ac:dyDescent="0.2">
      <c r="A173" s="153"/>
      <c r="B173" s="153" t="s">
        <v>208</v>
      </c>
      <c r="C173" s="153"/>
      <c r="D173" s="153"/>
      <c r="E173" s="153"/>
      <c r="F173" s="153"/>
      <c r="G173" s="153"/>
      <c r="H173" s="153"/>
    </row>
    <row r="174" spans="1:8" x14ac:dyDescent="0.2">
      <c r="A174" s="157" t="s">
        <v>319</v>
      </c>
      <c r="B174" s="153"/>
      <c r="C174" s="153"/>
      <c r="D174" s="153"/>
      <c r="E174" s="153"/>
      <c r="F174" s="153"/>
      <c r="G174" s="153"/>
      <c r="H174" s="153"/>
    </row>
    <row r="175" spans="1:8" x14ac:dyDescent="0.2">
      <c r="A175" s="153"/>
      <c r="B175" s="157" t="s">
        <v>321</v>
      </c>
      <c r="C175" s="153"/>
      <c r="D175" s="153"/>
      <c r="E175" s="153"/>
      <c r="F175" s="153"/>
      <c r="G175" s="153"/>
      <c r="H175" s="153"/>
    </row>
    <row r="176" spans="1:8" x14ac:dyDescent="0.2">
      <c r="A176" s="153"/>
      <c r="B176" s="157" t="s">
        <v>320</v>
      </c>
      <c r="C176" s="153"/>
      <c r="D176" s="153"/>
      <c r="E176" s="153"/>
      <c r="F176" s="153"/>
      <c r="G176" s="153"/>
      <c r="H176" s="153"/>
    </row>
    <row r="177" spans="1:8" x14ac:dyDescent="0.2">
      <c r="A177" s="153"/>
      <c r="B177" s="157" t="s">
        <v>322</v>
      </c>
      <c r="C177" s="153"/>
      <c r="D177" s="153"/>
      <c r="E177" s="153"/>
      <c r="F177" s="153"/>
      <c r="G177" s="153"/>
      <c r="H177" s="153"/>
    </row>
    <row r="178" spans="1:8" x14ac:dyDescent="0.2">
      <c r="A178" s="109" t="s">
        <v>209</v>
      </c>
    </row>
    <row r="179" spans="1:8" x14ac:dyDescent="0.2">
      <c r="B179" s="153" t="s">
        <v>210</v>
      </c>
      <c r="C179" s="153"/>
      <c r="D179" s="153"/>
      <c r="E179" s="153"/>
      <c r="F179" s="153"/>
      <c r="G179" s="153"/>
      <c r="H179" s="153"/>
    </row>
    <row r="180" spans="1:8" x14ac:dyDescent="0.2">
      <c r="A180" s="109" t="s">
        <v>211</v>
      </c>
    </row>
    <row r="181" spans="1:8" x14ac:dyDescent="0.2">
      <c r="B181" s="111" t="s">
        <v>212</v>
      </c>
    </row>
    <row r="182" spans="1:8" x14ac:dyDescent="0.2">
      <c r="B182" s="111" t="s">
        <v>213</v>
      </c>
    </row>
    <row r="183" spans="1:8" x14ac:dyDescent="0.2">
      <c r="B183" s="112" t="s">
        <v>214</v>
      </c>
    </row>
    <row r="184" spans="1:8" x14ac:dyDescent="0.2">
      <c r="B184" s="112" t="s">
        <v>215</v>
      </c>
    </row>
    <row r="185" spans="1:8" x14ac:dyDescent="0.2">
      <c r="B185" s="112" t="s">
        <v>216</v>
      </c>
    </row>
    <row r="189" spans="1:8" x14ac:dyDescent="0.2">
      <c r="B189" s="112"/>
    </row>
    <row r="191" spans="1:8" ht="15" x14ac:dyDescent="0.25">
      <c r="A191" s="4" t="s">
        <v>241</v>
      </c>
    </row>
    <row r="192" spans="1:8" x14ac:dyDescent="0.2">
      <c r="A192" s="109" t="s">
        <v>234</v>
      </c>
    </row>
    <row r="193" spans="1:2" x14ac:dyDescent="0.2">
      <c r="A193" s="109"/>
      <c r="B193" s="109" t="s">
        <v>237</v>
      </c>
    </row>
    <row r="194" spans="1:2" x14ac:dyDescent="0.2">
      <c r="A194" s="109"/>
      <c r="B194" s="109" t="s">
        <v>235</v>
      </c>
    </row>
    <row r="195" spans="1:2" x14ac:dyDescent="0.2">
      <c r="B195" s="109" t="s">
        <v>236</v>
      </c>
    </row>
    <row r="196" spans="1:2" x14ac:dyDescent="0.2">
      <c r="A196" s="109" t="s">
        <v>304</v>
      </c>
      <c r="B196" s="112"/>
    </row>
    <row r="197" spans="1:2" x14ac:dyDescent="0.2">
      <c r="B197" s="112" t="s">
        <v>302</v>
      </c>
    </row>
    <row r="198" spans="1:2" x14ac:dyDescent="0.2">
      <c r="B198" s="112" t="s">
        <v>303</v>
      </c>
    </row>
    <row r="199" spans="1:2" x14ac:dyDescent="0.2">
      <c r="B199" s="112" t="s">
        <v>305</v>
      </c>
    </row>
  </sheetData>
  <dataValidations count="1">
    <dataValidation type="list" allowBlank="1" showInputMessage="1" showErrorMessage="1" sqref="A2">
      <formula1>Liste.Dropdown_Sprachen</formula1>
    </dataValidation>
  </dataValidations>
  <hyperlinks>
    <hyperlink ref="C79" r:id="rId1"/>
  </hyperlinks>
  <pageMargins left="0.7" right="0.7" top="0.78740157499999996" bottom="0.78740157499999996" header="0.3" footer="0.3"/>
  <pageSetup paperSize="9" orientation="portrait"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L308"/>
  <sheetViews>
    <sheetView showGridLines="0" zoomScaleNormal="100" workbookViewId="0">
      <pane xSplit="10" ySplit="7" topLeftCell="K8" activePane="bottomRight" state="frozen"/>
      <selection activeCell="A7" sqref="A7"/>
      <selection pane="topRight" activeCell="A7" sqref="A7"/>
      <selection pane="bottomLeft" activeCell="A7" sqref="A7"/>
      <selection pane="bottomRight" activeCell="D2" sqref="D2:I2"/>
    </sheetView>
  </sheetViews>
  <sheetFormatPr baseColWidth="10" defaultColWidth="10.75" defaultRowHeight="14.25" x14ac:dyDescent="0.2"/>
  <cols>
    <col min="1" max="1" width="3.375" style="2" customWidth="1"/>
    <col min="2" max="3" width="28.625" style="2" customWidth="1"/>
    <col min="4" max="4" width="12.625" style="2" customWidth="1"/>
    <col min="5" max="6" width="5.75" style="2" customWidth="1"/>
    <col min="7" max="7" width="6.125" style="2" customWidth="1"/>
    <col min="8" max="8" width="8.125" style="2" customWidth="1"/>
    <col min="9" max="9" width="26.375" style="2" customWidth="1"/>
    <col min="10" max="10" width="11" style="185" hidden="1" customWidth="1"/>
    <col min="11" max="16384" width="10.75" style="2"/>
  </cols>
  <sheetData>
    <row r="1" spans="1:12" ht="18" x14ac:dyDescent="0.25">
      <c r="A1" s="1" t="str">
        <f>Sprachen!C15</f>
        <v>Outil d'analyse grossière ProEPA - installations de pompage efficaces (énergie)</v>
      </c>
      <c r="I1" s="141" t="str">
        <f>"Version " &amp; Tool.Info_Version &amp; ", " &amp; TEXT(Tool.Info_Datum,"JJJJ-MM-TT")</f>
        <v>Version 1.4.03, 2017-03-27</v>
      </c>
    </row>
    <row r="2" spans="1:12" ht="15.75" x14ac:dyDescent="0.25">
      <c r="A2" s="3" t="str">
        <f>Sprachen!C16</f>
        <v>Etape 1</v>
      </c>
      <c r="C2" s="228" t="str">
        <f>Sprachen!C17</f>
        <v>Entreprise (nom, adresse, responsable, etc.):</v>
      </c>
      <c r="D2" s="421" t="s">
        <v>382</v>
      </c>
      <c r="E2" s="421"/>
      <c r="F2" s="421"/>
      <c r="G2" s="421"/>
      <c r="H2" s="421"/>
      <c r="I2" s="421"/>
    </row>
    <row r="3" spans="1:12" ht="4.5" customHeight="1" x14ac:dyDescent="0.2"/>
    <row r="4" spans="1:12" x14ac:dyDescent="0.2">
      <c r="A4" s="2" t="str">
        <f>Sprachen!C18</f>
        <v>Dans cette "Etape 1", seules quelques informations sont nécessaires. L'Etape 1 sert à une 1ère sélection des installations de pompage.</v>
      </c>
    </row>
    <row r="5" spans="1:12" ht="4.5" customHeight="1" x14ac:dyDescent="0.2"/>
    <row r="6" spans="1:12" x14ac:dyDescent="0.2">
      <c r="A6" s="72" t="str">
        <f>Sprachen!C19</f>
        <v>N°</v>
      </c>
      <c r="B6" s="72" t="str">
        <f>Sprachen!C20</f>
        <v>Dénomination</v>
      </c>
      <c r="C6" s="72" t="str">
        <f>Sprachen!C21</f>
        <v>Autres dénominations personnelles</v>
      </c>
      <c r="D6" s="72" t="str">
        <f>Sprachen!C22</f>
        <v>Lieu</v>
      </c>
      <c r="E6" s="74" t="str">
        <f>Sprachen!C23</f>
        <v>P</v>
      </c>
      <c r="F6" s="74" t="str">
        <f>Sprachen!C24</f>
        <v>t</v>
      </c>
      <c r="G6" s="74" t="str">
        <f>Sprachen!C25</f>
        <v>Année</v>
      </c>
      <c r="H6" s="142" t="str">
        <f>Sprachen!C26</f>
        <v>Etape 2</v>
      </c>
      <c r="I6" s="143" t="str">
        <f>Sprachen!C27</f>
        <v>Résultat étape 1</v>
      </c>
      <c r="J6" s="195" t="s">
        <v>138</v>
      </c>
    </row>
    <row r="7" spans="1:12" s="73" customFormat="1" ht="10.5" customHeight="1" x14ac:dyDescent="0.15">
      <c r="A7" s="334"/>
      <c r="B7" s="334"/>
      <c r="C7" s="334"/>
      <c r="D7" s="334"/>
      <c r="E7" s="213" t="str">
        <f>Sprachen!C28</f>
        <v>[kW]</v>
      </c>
      <c r="F7" s="213" t="str">
        <f>Sprachen!C29</f>
        <v>[h/a]</v>
      </c>
      <c r="G7" s="213" t="str">
        <f>Sprachen!C30</f>
        <v>construction</v>
      </c>
      <c r="H7" s="213" t="str">
        <f>Sprachen!C31</f>
        <v>Forcer étape 2 ?</v>
      </c>
      <c r="I7" s="334"/>
      <c r="J7" s="196"/>
    </row>
    <row r="8" spans="1:12" x14ac:dyDescent="0.2">
      <c r="A8" s="71">
        <v>1</v>
      </c>
      <c r="B8" s="80" t="s">
        <v>835</v>
      </c>
      <c r="C8" s="144" t="s">
        <v>289</v>
      </c>
      <c r="D8" s="144" t="s">
        <v>184</v>
      </c>
      <c r="E8" s="203">
        <v>10</v>
      </c>
      <c r="F8" s="82">
        <v>2000</v>
      </c>
      <c r="G8" s="81"/>
      <c r="H8" s="83"/>
      <c r="I8" s="65" t="str">
        <f ca="1">'Berechnungen 1'!P12</f>
        <v>analyser évtl. plus en détail</v>
      </c>
      <c r="J8" s="185">
        <f ca="1">IF(OR(ISBLANK(E8),ISBLANK(F8)),IF(AND(ISBLANK(B8),ISBLANK(C8),ISBLANK(D8),ISBLANK(E8),ISBLANK(F8),ISBLANK(G8),ISBLANK(H8)),St.Wert_Schritt2.keineAngaben,St.Wert_Schritt2.fehlendeAngaben),'Berechnungen 1'!O12)</f>
        <v>2</v>
      </c>
    </row>
    <row r="9" spans="1:12" x14ac:dyDescent="0.2">
      <c r="A9" s="71">
        <v>2</v>
      </c>
      <c r="B9" s="80" t="s">
        <v>836</v>
      </c>
      <c r="C9" s="144" t="s">
        <v>290</v>
      </c>
      <c r="D9" s="144" t="s">
        <v>185</v>
      </c>
      <c r="E9" s="203">
        <v>136</v>
      </c>
      <c r="F9" s="82">
        <v>3000</v>
      </c>
      <c r="G9" s="81">
        <v>1900</v>
      </c>
      <c r="H9" s="83"/>
      <c r="I9" s="65" t="str">
        <f ca="1">'Berechnungen 1'!P13</f>
        <v>analyser plus en détail</v>
      </c>
      <c r="J9" s="185">
        <f ca="1">IF(OR(ISBLANK(E9),ISBLANK(F9)),IF(AND(ISBLANK(B9),ISBLANK(C9),ISBLANK(D9),ISBLANK(E9),ISBLANK(F9),ISBLANK(G9),ISBLANK(H9)),St.Wert_Schritt2.keineAngaben,St.Wert_Schritt2.fehlendeAngaben),'Berechnungen 1'!O13)</f>
        <v>1</v>
      </c>
    </row>
    <row r="10" spans="1:12" x14ac:dyDescent="0.2">
      <c r="A10" s="71">
        <v>3</v>
      </c>
      <c r="B10" s="80" t="s">
        <v>837</v>
      </c>
      <c r="C10" s="144" t="s">
        <v>291</v>
      </c>
      <c r="D10" s="144"/>
      <c r="E10" s="203">
        <v>250</v>
      </c>
      <c r="F10" s="82">
        <v>100</v>
      </c>
      <c r="G10" s="81">
        <v>1980</v>
      </c>
      <c r="H10" s="83"/>
      <c r="I10" s="65" t="str">
        <f ca="1">'Berechnungen 1'!P14</f>
        <v>aucune mesure nécessaire</v>
      </c>
      <c r="J10" s="185">
        <f ca="1">IF(OR(ISBLANK(E10),ISBLANK(F10)),IF(AND(ISBLANK(B10),ISBLANK(C10),ISBLANK(D10),ISBLANK(E10),ISBLANK(F10),ISBLANK(G10),ISBLANK(H10)),St.Wert_Schritt2.keineAngaben,St.Wert_Schritt2.fehlendeAngaben),'Berechnungen 1'!O14)</f>
        <v>0</v>
      </c>
    </row>
    <row r="11" spans="1:12" x14ac:dyDescent="0.2">
      <c r="A11" s="71">
        <v>4</v>
      </c>
      <c r="B11" s="80"/>
      <c r="C11" s="144"/>
      <c r="D11" s="144"/>
      <c r="E11" s="203"/>
      <c r="F11" s="82"/>
      <c r="G11" s="81"/>
      <c r="H11" s="83"/>
      <c r="I11" s="65" t="str">
        <f>'Berechnungen 1'!P15</f>
        <v/>
      </c>
      <c r="J11" s="185">
        <f>IF(OR(ISBLANK(E11),ISBLANK(F11)),IF(AND(ISBLANK(B11),ISBLANK(C11),ISBLANK(D11),ISBLANK(E11),ISBLANK(F11),ISBLANK(G11),ISBLANK(H11)),St.Wert_Schritt2.keineAngaben,St.Wert_Schritt2.fehlendeAngaben),'Berechnungen 1'!O15)</f>
        <v>999</v>
      </c>
    </row>
    <row r="12" spans="1:12" x14ac:dyDescent="0.2">
      <c r="A12" s="71">
        <v>5</v>
      </c>
      <c r="B12" s="80"/>
      <c r="C12" s="144"/>
      <c r="D12" s="144"/>
      <c r="E12" s="203"/>
      <c r="F12" s="82"/>
      <c r="G12" s="81"/>
      <c r="H12" s="83"/>
      <c r="I12" s="65" t="str">
        <f>'Berechnungen 1'!P16</f>
        <v/>
      </c>
      <c r="J12" s="185">
        <f>IF(OR(ISBLANK(E12),ISBLANK(F12)),IF(AND(ISBLANK(B12),ISBLANK(C12),ISBLANK(D12),ISBLANK(E12),ISBLANK(F12),ISBLANK(G12),ISBLANK(H12)),St.Wert_Schritt2.keineAngaben,St.Wert_Schritt2.fehlendeAngaben),'Berechnungen 1'!O16)</f>
        <v>999</v>
      </c>
      <c r="L12" s="227"/>
    </row>
    <row r="13" spans="1:12" x14ac:dyDescent="0.2">
      <c r="A13" s="71">
        <v>6</v>
      </c>
      <c r="B13" s="80"/>
      <c r="C13" s="144"/>
      <c r="D13" s="144"/>
      <c r="E13" s="203"/>
      <c r="F13" s="82"/>
      <c r="G13" s="81"/>
      <c r="H13" s="83"/>
      <c r="I13" s="65" t="str">
        <f>'Berechnungen 1'!P17</f>
        <v/>
      </c>
      <c r="J13" s="185">
        <f>IF(OR(ISBLANK(E13),ISBLANK(F13)),IF(AND(ISBLANK(B13),ISBLANK(C13),ISBLANK(D13),ISBLANK(E13),ISBLANK(F13),ISBLANK(G13),ISBLANK(H13)),St.Wert_Schritt2.keineAngaben,St.Wert_Schritt2.fehlendeAngaben),'Berechnungen 1'!O17)</f>
        <v>999</v>
      </c>
    </row>
    <row r="14" spans="1:12" x14ac:dyDescent="0.2">
      <c r="A14" s="71">
        <v>7</v>
      </c>
      <c r="B14" s="80"/>
      <c r="C14" s="144"/>
      <c r="D14" s="144"/>
      <c r="E14" s="203"/>
      <c r="F14" s="82"/>
      <c r="G14" s="81"/>
      <c r="H14" s="83"/>
      <c r="I14" s="65" t="str">
        <f>'Berechnungen 1'!P18</f>
        <v/>
      </c>
      <c r="J14" s="185">
        <f>IF(OR(ISBLANK(E14),ISBLANK(F14)),IF(AND(ISBLANK(B14),ISBLANK(C14),ISBLANK(D14),ISBLANK(E14),ISBLANK(F14),ISBLANK(G14),ISBLANK(H14)),St.Wert_Schritt2.keineAngaben,St.Wert_Schritt2.fehlendeAngaben),'Berechnungen 1'!O18)</f>
        <v>999</v>
      </c>
    </row>
    <row r="15" spans="1:12" x14ac:dyDescent="0.2">
      <c r="A15" s="71">
        <v>8</v>
      </c>
      <c r="B15" s="80"/>
      <c r="C15" s="144"/>
      <c r="D15" s="144"/>
      <c r="E15" s="203"/>
      <c r="F15" s="82"/>
      <c r="G15" s="81"/>
      <c r="H15" s="83"/>
      <c r="I15" s="65" t="str">
        <f>'Berechnungen 1'!P19</f>
        <v/>
      </c>
      <c r="J15" s="185">
        <f>IF(OR(ISBLANK(E15),ISBLANK(F15)),IF(AND(ISBLANK(B15),ISBLANK(C15),ISBLANK(D15),ISBLANK(E15),ISBLANK(F15),ISBLANK(G15),ISBLANK(H15)),St.Wert_Schritt2.keineAngaben,St.Wert_Schritt2.fehlendeAngaben),'Berechnungen 1'!O19)</f>
        <v>999</v>
      </c>
    </row>
    <row r="16" spans="1:12" x14ac:dyDescent="0.2">
      <c r="A16" s="71">
        <v>9</v>
      </c>
      <c r="B16" s="80"/>
      <c r="C16" s="144"/>
      <c r="D16" s="144"/>
      <c r="E16" s="203"/>
      <c r="F16" s="82"/>
      <c r="G16" s="81"/>
      <c r="H16" s="83"/>
      <c r="I16" s="65" t="str">
        <f>'Berechnungen 1'!P20</f>
        <v/>
      </c>
      <c r="J16" s="185">
        <f>IF(OR(ISBLANK(E16),ISBLANK(F16)),IF(AND(ISBLANK(B16),ISBLANK(C16),ISBLANK(D16),ISBLANK(E16),ISBLANK(F16),ISBLANK(G16),ISBLANK(H16)),St.Wert_Schritt2.keineAngaben,St.Wert_Schritt2.fehlendeAngaben),'Berechnungen 1'!O20)</f>
        <v>999</v>
      </c>
    </row>
    <row r="17" spans="1:10" x14ac:dyDescent="0.2">
      <c r="A17" s="71">
        <v>10</v>
      </c>
      <c r="B17" s="80"/>
      <c r="C17" s="144"/>
      <c r="D17" s="144"/>
      <c r="E17" s="81"/>
      <c r="F17" s="82"/>
      <c r="G17" s="81"/>
      <c r="H17" s="83"/>
      <c r="I17" s="65" t="str">
        <f>'Berechnungen 1'!P21</f>
        <v/>
      </c>
      <c r="J17" s="185">
        <f>IF(OR(ISBLANK(E17),ISBLANK(F17)),IF(AND(ISBLANK(B17),ISBLANK(C17),ISBLANK(D17),ISBLANK(E17),ISBLANK(F17),ISBLANK(G17),ISBLANK(H17)),St.Wert_Schritt2.keineAngaben,St.Wert_Schritt2.fehlendeAngaben),'Berechnungen 1'!O21)</f>
        <v>999</v>
      </c>
    </row>
    <row r="18" spans="1:10" x14ac:dyDescent="0.2">
      <c r="A18" s="71">
        <v>11</v>
      </c>
      <c r="B18" s="80"/>
      <c r="C18" s="144"/>
      <c r="D18" s="144"/>
      <c r="E18" s="81"/>
      <c r="F18" s="82"/>
      <c r="G18" s="81"/>
      <c r="H18" s="83"/>
      <c r="I18" s="65" t="str">
        <f>'Berechnungen 1'!P22</f>
        <v/>
      </c>
      <c r="J18" s="185">
        <f>IF(OR(ISBLANK(E18),ISBLANK(F18)),IF(AND(ISBLANK(B18),ISBLANK(C18),ISBLANK(D18),ISBLANK(E18),ISBLANK(F18),ISBLANK(G18),ISBLANK(H18)),St.Wert_Schritt2.keineAngaben,St.Wert_Schritt2.fehlendeAngaben),'Berechnungen 1'!O22)</f>
        <v>999</v>
      </c>
    </row>
    <row r="19" spans="1:10" x14ac:dyDescent="0.2">
      <c r="A19" s="71">
        <v>12</v>
      </c>
      <c r="B19" s="80"/>
      <c r="C19" s="144"/>
      <c r="D19" s="144"/>
      <c r="E19" s="81"/>
      <c r="F19" s="82"/>
      <c r="G19" s="81"/>
      <c r="H19" s="83"/>
      <c r="I19" s="65" t="str">
        <f>'Berechnungen 1'!P23</f>
        <v/>
      </c>
      <c r="J19" s="185">
        <f>IF(OR(ISBLANK(E19),ISBLANK(F19)),IF(AND(ISBLANK(B19),ISBLANK(C19),ISBLANK(D19),ISBLANK(E19),ISBLANK(F19),ISBLANK(G19),ISBLANK(H19)),St.Wert_Schritt2.keineAngaben,St.Wert_Schritt2.fehlendeAngaben),'Berechnungen 1'!O23)</f>
        <v>999</v>
      </c>
    </row>
    <row r="20" spans="1:10" x14ac:dyDescent="0.2">
      <c r="A20" s="71">
        <v>13</v>
      </c>
      <c r="B20" s="80"/>
      <c r="C20" s="144"/>
      <c r="D20" s="144"/>
      <c r="E20" s="81"/>
      <c r="F20" s="82"/>
      <c r="G20" s="81"/>
      <c r="H20" s="83"/>
      <c r="I20" s="65" t="str">
        <f>'Berechnungen 1'!P24</f>
        <v/>
      </c>
      <c r="J20" s="185">
        <f>IF(OR(ISBLANK(E20),ISBLANK(F20)),IF(AND(ISBLANK(B20),ISBLANK(C20),ISBLANK(D20),ISBLANK(E20),ISBLANK(F20),ISBLANK(G20),ISBLANK(H20)),St.Wert_Schritt2.keineAngaben,St.Wert_Schritt2.fehlendeAngaben),'Berechnungen 1'!O24)</f>
        <v>999</v>
      </c>
    </row>
    <row r="21" spans="1:10" x14ac:dyDescent="0.2">
      <c r="A21" s="71">
        <v>14</v>
      </c>
      <c r="B21" s="80"/>
      <c r="C21" s="144"/>
      <c r="D21" s="144"/>
      <c r="E21" s="81"/>
      <c r="F21" s="82"/>
      <c r="G21" s="81"/>
      <c r="H21" s="83"/>
      <c r="I21" s="65" t="str">
        <f>'Berechnungen 1'!P25</f>
        <v/>
      </c>
      <c r="J21" s="185">
        <f>IF(OR(ISBLANK(E21),ISBLANK(F21)),IF(AND(ISBLANK(B21),ISBLANK(C21),ISBLANK(D21),ISBLANK(E21),ISBLANK(F21),ISBLANK(G21),ISBLANK(H21)),St.Wert_Schritt2.keineAngaben,St.Wert_Schritt2.fehlendeAngaben),'Berechnungen 1'!O25)</f>
        <v>999</v>
      </c>
    </row>
    <row r="22" spans="1:10" x14ac:dyDescent="0.2">
      <c r="A22" s="71">
        <v>15</v>
      </c>
      <c r="B22" s="80"/>
      <c r="C22" s="144"/>
      <c r="D22" s="144"/>
      <c r="E22" s="81"/>
      <c r="F22" s="82"/>
      <c r="G22" s="81"/>
      <c r="H22" s="83"/>
      <c r="I22" s="65" t="str">
        <f>'Berechnungen 1'!P26</f>
        <v/>
      </c>
      <c r="J22" s="185">
        <f>IF(OR(ISBLANK(E22),ISBLANK(F22)),IF(AND(ISBLANK(B22),ISBLANK(C22),ISBLANK(D22),ISBLANK(E22),ISBLANK(F22),ISBLANK(G22),ISBLANK(H22)),St.Wert_Schritt2.keineAngaben,St.Wert_Schritt2.fehlendeAngaben),'Berechnungen 1'!O26)</f>
        <v>999</v>
      </c>
    </row>
    <row r="23" spans="1:10" x14ac:dyDescent="0.2">
      <c r="A23" s="71">
        <v>16</v>
      </c>
      <c r="B23" s="80"/>
      <c r="C23" s="144"/>
      <c r="D23" s="144"/>
      <c r="E23" s="81"/>
      <c r="F23" s="82"/>
      <c r="G23" s="81"/>
      <c r="H23" s="83"/>
      <c r="I23" s="65" t="str">
        <f>'Berechnungen 1'!P27</f>
        <v/>
      </c>
      <c r="J23" s="185">
        <f>IF(OR(ISBLANK(E23),ISBLANK(F23)),IF(AND(ISBLANK(B23),ISBLANK(C23),ISBLANK(D23),ISBLANK(E23),ISBLANK(F23),ISBLANK(G23),ISBLANK(H23)),St.Wert_Schritt2.keineAngaben,St.Wert_Schritt2.fehlendeAngaben),'Berechnungen 1'!O27)</f>
        <v>999</v>
      </c>
    </row>
    <row r="24" spans="1:10" x14ac:dyDescent="0.2">
      <c r="A24" s="71">
        <v>17</v>
      </c>
      <c r="B24" s="80"/>
      <c r="C24" s="144"/>
      <c r="D24" s="144"/>
      <c r="E24" s="81"/>
      <c r="F24" s="82"/>
      <c r="G24" s="81"/>
      <c r="H24" s="83"/>
      <c r="I24" s="65" t="str">
        <f>'Berechnungen 1'!P28</f>
        <v/>
      </c>
      <c r="J24" s="185">
        <f>IF(OR(ISBLANK(E24),ISBLANK(F24)),IF(AND(ISBLANK(B24),ISBLANK(C24),ISBLANK(D24),ISBLANK(E24),ISBLANK(F24),ISBLANK(G24),ISBLANK(H24)),St.Wert_Schritt2.keineAngaben,St.Wert_Schritt2.fehlendeAngaben),'Berechnungen 1'!O28)</f>
        <v>999</v>
      </c>
    </row>
    <row r="25" spans="1:10" x14ac:dyDescent="0.2">
      <c r="A25" s="71">
        <v>18</v>
      </c>
      <c r="B25" s="80"/>
      <c r="C25" s="144"/>
      <c r="D25" s="144"/>
      <c r="E25" s="81"/>
      <c r="F25" s="82"/>
      <c r="G25" s="81"/>
      <c r="H25" s="83"/>
      <c r="I25" s="65" t="str">
        <f>'Berechnungen 1'!P29</f>
        <v/>
      </c>
      <c r="J25" s="185">
        <f>IF(OR(ISBLANK(E25),ISBLANK(F25)),IF(AND(ISBLANK(B25),ISBLANK(C25),ISBLANK(D25),ISBLANK(E25),ISBLANK(F25),ISBLANK(G25),ISBLANK(H25)),St.Wert_Schritt2.keineAngaben,St.Wert_Schritt2.fehlendeAngaben),'Berechnungen 1'!O29)</f>
        <v>999</v>
      </c>
    </row>
    <row r="26" spans="1:10" x14ac:dyDescent="0.2">
      <c r="A26" s="71">
        <v>19</v>
      </c>
      <c r="B26" s="80"/>
      <c r="C26" s="144"/>
      <c r="D26" s="144"/>
      <c r="E26" s="81"/>
      <c r="F26" s="82"/>
      <c r="G26" s="81"/>
      <c r="H26" s="83"/>
      <c r="I26" s="65" t="str">
        <f>'Berechnungen 1'!P30</f>
        <v/>
      </c>
      <c r="J26" s="185">
        <f>IF(OR(ISBLANK(E26),ISBLANK(F26)),IF(AND(ISBLANK(B26),ISBLANK(C26),ISBLANK(D26),ISBLANK(E26),ISBLANK(F26),ISBLANK(G26),ISBLANK(H26)),St.Wert_Schritt2.keineAngaben,St.Wert_Schritt2.fehlendeAngaben),'Berechnungen 1'!O30)</f>
        <v>999</v>
      </c>
    </row>
    <row r="27" spans="1:10" x14ac:dyDescent="0.2">
      <c r="A27" s="71">
        <v>20</v>
      </c>
      <c r="B27" s="80"/>
      <c r="C27" s="144"/>
      <c r="D27" s="144"/>
      <c r="E27" s="81"/>
      <c r="F27" s="82"/>
      <c r="G27" s="81"/>
      <c r="H27" s="83"/>
      <c r="I27" s="65" t="str">
        <f>'Berechnungen 1'!P31</f>
        <v/>
      </c>
      <c r="J27" s="185">
        <f>IF(OR(ISBLANK(E27),ISBLANK(F27)),IF(AND(ISBLANK(B27),ISBLANK(C27),ISBLANK(D27),ISBLANK(E27),ISBLANK(F27),ISBLANK(G27),ISBLANK(H27)),St.Wert_Schritt2.keineAngaben,St.Wert_Schritt2.fehlendeAngaben),'Berechnungen 1'!O31)</f>
        <v>999</v>
      </c>
    </row>
    <row r="28" spans="1:10" x14ac:dyDescent="0.2">
      <c r="A28" s="71">
        <v>21</v>
      </c>
      <c r="B28" s="80"/>
      <c r="C28" s="144"/>
      <c r="D28" s="144"/>
      <c r="E28" s="81"/>
      <c r="F28" s="82"/>
      <c r="G28" s="81"/>
      <c r="H28" s="83"/>
      <c r="I28" s="65" t="str">
        <f>'Berechnungen 1'!P32</f>
        <v/>
      </c>
      <c r="J28" s="185">
        <f>IF(OR(ISBLANK(E28),ISBLANK(F28)),IF(AND(ISBLANK(B28),ISBLANK(C28),ISBLANK(D28),ISBLANK(E28),ISBLANK(F28),ISBLANK(G28),ISBLANK(H28)),St.Wert_Schritt2.keineAngaben,St.Wert_Schritt2.fehlendeAngaben),'Berechnungen 1'!O32)</f>
        <v>999</v>
      </c>
    </row>
    <row r="29" spans="1:10" x14ac:dyDescent="0.2">
      <c r="A29" s="71">
        <v>22</v>
      </c>
      <c r="B29" s="80"/>
      <c r="C29" s="144"/>
      <c r="D29" s="144"/>
      <c r="E29" s="81"/>
      <c r="F29" s="82"/>
      <c r="G29" s="81"/>
      <c r="H29" s="83"/>
      <c r="I29" s="65" t="str">
        <f>'Berechnungen 1'!P33</f>
        <v/>
      </c>
      <c r="J29" s="185">
        <f>IF(OR(ISBLANK(E29),ISBLANK(F29)),IF(AND(ISBLANK(B29),ISBLANK(C29),ISBLANK(D29),ISBLANK(E29),ISBLANK(F29),ISBLANK(G29),ISBLANK(H29)),St.Wert_Schritt2.keineAngaben,St.Wert_Schritt2.fehlendeAngaben),'Berechnungen 1'!O33)</f>
        <v>999</v>
      </c>
    </row>
    <row r="30" spans="1:10" x14ac:dyDescent="0.2">
      <c r="A30" s="71">
        <v>23</v>
      </c>
      <c r="B30" s="80"/>
      <c r="C30" s="144"/>
      <c r="D30" s="144"/>
      <c r="E30" s="81"/>
      <c r="F30" s="82"/>
      <c r="G30" s="81"/>
      <c r="H30" s="83"/>
      <c r="I30" s="65" t="str">
        <f>'Berechnungen 1'!P34</f>
        <v/>
      </c>
      <c r="J30" s="185">
        <f>IF(OR(ISBLANK(E30),ISBLANK(F30)),IF(AND(ISBLANK(B30),ISBLANK(C30),ISBLANK(D30),ISBLANK(E30),ISBLANK(F30),ISBLANK(G30),ISBLANK(H30)),St.Wert_Schritt2.keineAngaben,St.Wert_Schritt2.fehlendeAngaben),'Berechnungen 1'!O34)</f>
        <v>999</v>
      </c>
    </row>
    <row r="31" spans="1:10" x14ac:dyDescent="0.2">
      <c r="A31" s="71">
        <v>24</v>
      </c>
      <c r="B31" s="80"/>
      <c r="C31" s="144"/>
      <c r="D31" s="144"/>
      <c r="E31" s="81"/>
      <c r="F31" s="82"/>
      <c r="G31" s="81"/>
      <c r="H31" s="83"/>
      <c r="I31" s="65" t="str">
        <f>'Berechnungen 1'!P35</f>
        <v/>
      </c>
      <c r="J31" s="185">
        <f>IF(OR(ISBLANK(E31),ISBLANK(F31)),IF(AND(ISBLANK(B31),ISBLANK(C31),ISBLANK(D31),ISBLANK(E31),ISBLANK(F31),ISBLANK(G31),ISBLANK(H31)),St.Wert_Schritt2.keineAngaben,St.Wert_Schritt2.fehlendeAngaben),'Berechnungen 1'!O35)</f>
        <v>999</v>
      </c>
    </row>
    <row r="32" spans="1:10" x14ac:dyDescent="0.2">
      <c r="A32" s="71">
        <v>25</v>
      </c>
      <c r="B32" s="80"/>
      <c r="C32" s="144"/>
      <c r="D32" s="144"/>
      <c r="E32" s="81"/>
      <c r="F32" s="82"/>
      <c r="G32" s="81"/>
      <c r="H32" s="83"/>
      <c r="I32" s="65" t="str">
        <f>'Berechnungen 1'!P36</f>
        <v/>
      </c>
      <c r="J32" s="185">
        <f>IF(OR(ISBLANK(E32),ISBLANK(F32)),IF(AND(ISBLANK(B32),ISBLANK(C32),ISBLANK(D32),ISBLANK(E32),ISBLANK(F32),ISBLANK(G32),ISBLANK(H32)),St.Wert_Schritt2.keineAngaben,St.Wert_Schritt2.fehlendeAngaben),'Berechnungen 1'!O36)</f>
        <v>999</v>
      </c>
    </row>
    <row r="33" spans="1:10" x14ac:dyDescent="0.2">
      <c r="A33" s="71">
        <v>26</v>
      </c>
      <c r="B33" s="80"/>
      <c r="C33" s="144"/>
      <c r="D33" s="144"/>
      <c r="E33" s="81"/>
      <c r="F33" s="82"/>
      <c r="G33" s="81"/>
      <c r="H33" s="83"/>
      <c r="I33" s="65" t="str">
        <f>'Berechnungen 1'!P37</f>
        <v/>
      </c>
      <c r="J33" s="185">
        <f>IF(OR(ISBLANK(E33),ISBLANK(F33)),IF(AND(ISBLANK(B33),ISBLANK(C33),ISBLANK(D33),ISBLANK(E33),ISBLANK(F33),ISBLANK(G33),ISBLANK(H33)),St.Wert_Schritt2.keineAngaben,St.Wert_Schritt2.fehlendeAngaben),'Berechnungen 1'!O37)</f>
        <v>999</v>
      </c>
    </row>
    <row r="34" spans="1:10" x14ac:dyDescent="0.2">
      <c r="A34" s="71">
        <v>27</v>
      </c>
      <c r="B34" s="80"/>
      <c r="C34" s="144"/>
      <c r="D34" s="144"/>
      <c r="E34" s="81"/>
      <c r="F34" s="82"/>
      <c r="G34" s="81"/>
      <c r="H34" s="83"/>
      <c r="I34" s="65" t="str">
        <f>'Berechnungen 1'!P38</f>
        <v/>
      </c>
      <c r="J34" s="185">
        <f>IF(OR(ISBLANK(E34),ISBLANK(F34)),IF(AND(ISBLANK(B34),ISBLANK(C34),ISBLANK(D34),ISBLANK(E34),ISBLANK(F34),ISBLANK(G34),ISBLANK(H34)),St.Wert_Schritt2.keineAngaben,St.Wert_Schritt2.fehlendeAngaben),'Berechnungen 1'!O38)</f>
        <v>999</v>
      </c>
    </row>
    <row r="35" spans="1:10" x14ac:dyDescent="0.2">
      <c r="A35" s="71">
        <v>28</v>
      </c>
      <c r="B35" s="80"/>
      <c r="C35" s="144"/>
      <c r="D35" s="144"/>
      <c r="E35" s="81"/>
      <c r="F35" s="82"/>
      <c r="G35" s="81"/>
      <c r="H35" s="83"/>
      <c r="I35" s="65" t="str">
        <f>'Berechnungen 1'!P39</f>
        <v/>
      </c>
      <c r="J35" s="185">
        <f>IF(OR(ISBLANK(E35),ISBLANK(F35)),IF(AND(ISBLANK(B35),ISBLANK(C35),ISBLANK(D35),ISBLANK(E35),ISBLANK(F35),ISBLANK(G35),ISBLANK(H35)),St.Wert_Schritt2.keineAngaben,St.Wert_Schritt2.fehlendeAngaben),'Berechnungen 1'!O39)</f>
        <v>999</v>
      </c>
    </row>
    <row r="36" spans="1:10" x14ac:dyDescent="0.2">
      <c r="A36" s="71">
        <v>29</v>
      </c>
      <c r="B36" s="80"/>
      <c r="C36" s="144"/>
      <c r="D36" s="144"/>
      <c r="E36" s="81"/>
      <c r="F36" s="82"/>
      <c r="G36" s="81"/>
      <c r="H36" s="83"/>
      <c r="I36" s="65" t="str">
        <f>'Berechnungen 1'!P40</f>
        <v/>
      </c>
      <c r="J36" s="185">
        <f>IF(OR(ISBLANK(E36),ISBLANK(F36)),IF(AND(ISBLANK(B36),ISBLANK(C36),ISBLANK(D36),ISBLANK(E36),ISBLANK(F36),ISBLANK(G36),ISBLANK(H36)),St.Wert_Schritt2.keineAngaben,St.Wert_Schritt2.fehlendeAngaben),'Berechnungen 1'!O40)</f>
        <v>999</v>
      </c>
    </row>
    <row r="37" spans="1:10" x14ac:dyDescent="0.2">
      <c r="A37" s="71">
        <v>30</v>
      </c>
      <c r="B37" s="80"/>
      <c r="C37" s="144"/>
      <c r="D37" s="144"/>
      <c r="E37" s="81"/>
      <c r="F37" s="82"/>
      <c r="G37" s="81"/>
      <c r="H37" s="83"/>
      <c r="I37" s="65" t="str">
        <f>'Berechnungen 1'!P41</f>
        <v/>
      </c>
      <c r="J37" s="185">
        <f>IF(OR(ISBLANK(E37),ISBLANK(F37)),IF(AND(ISBLANK(B37),ISBLANK(C37),ISBLANK(D37),ISBLANK(E37),ISBLANK(F37),ISBLANK(G37),ISBLANK(H37)),St.Wert_Schritt2.keineAngaben,St.Wert_Schritt2.fehlendeAngaben),'Berechnungen 1'!O41)</f>
        <v>999</v>
      </c>
    </row>
    <row r="38" spans="1:10" x14ac:dyDescent="0.2">
      <c r="A38" s="71">
        <v>31</v>
      </c>
      <c r="B38" s="80"/>
      <c r="C38" s="144"/>
      <c r="D38" s="144"/>
      <c r="E38" s="81"/>
      <c r="F38" s="82"/>
      <c r="G38" s="81"/>
      <c r="H38" s="83"/>
      <c r="I38" s="65" t="str">
        <f>'Berechnungen 1'!P42</f>
        <v/>
      </c>
      <c r="J38" s="185">
        <f>IF(OR(ISBLANK(E38),ISBLANK(F38)),IF(AND(ISBLANK(B38),ISBLANK(C38),ISBLANK(D38),ISBLANK(E38),ISBLANK(F38),ISBLANK(G38),ISBLANK(H38)),St.Wert_Schritt2.keineAngaben,St.Wert_Schritt2.fehlendeAngaben),'Berechnungen 1'!O42)</f>
        <v>999</v>
      </c>
    </row>
    <row r="39" spans="1:10" x14ac:dyDescent="0.2">
      <c r="A39" s="71">
        <v>32</v>
      </c>
      <c r="B39" s="80"/>
      <c r="C39" s="144"/>
      <c r="D39" s="144"/>
      <c r="E39" s="81"/>
      <c r="F39" s="82"/>
      <c r="G39" s="81"/>
      <c r="H39" s="83"/>
      <c r="I39" s="65" t="str">
        <f>'Berechnungen 1'!P43</f>
        <v/>
      </c>
      <c r="J39" s="185">
        <f>IF(OR(ISBLANK(E39),ISBLANK(F39)),IF(AND(ISBLANK(B39),ISBLANK(C39),ISBLANK(D39),ISBLANK(E39),ISBLANK(F39),ISBLANK(G39),ISBLANK(H39)),St.Wert_Schritt2.keineAngaben,St.Wert_Schritt2.fehlendeAngaben),'Berechnungen 1'!O43)</f>
        <v>999</v>
      </c>
    </row>
    <row r="40" spans="1:10" x14ac:dyDescent="0.2">
      <c r="A40" s="71">
        <v>33</v>
      </c>
      <c r="B40" s="80"/>
      <c r="C40" s="144"/>
      <c r="D40" s="144"/>
      <c r="E40" s="81"/>
      <c r="F40" s="82"/>
      <c r="G40" s="81"/>
      <c r="H40" s="83"/>
      <c r="I40" s="65" t="str">
        <f>'Berechnungen 1'!P44</f>
        <v/>
      </c>
      <c r="J40" s="185">
        <f>IF(OR(ISBLANK(E40),ISBLANK(F40)),IF(AND(ISBLANK(B40),ISBLANK(C40),ISBLANK(D40),ISBLANK(E40),ISBLANK(F40),ISBLANK(G40),ISBLANK(H40)),St.Wert_Schritt2.keineAngaben,St.Wert_Schritt2.fehlendeAngaben),'Berechnungen 1'!O44)</f>
        <v>999</v>
      </c>
    </row>
    <row r="41" spans="1:10" x14ac:dyDescent="0.2">
      <c r="A41" s="71">
        <v>34</v>
      </c>
      <c r="B41" s="80"/>
      <c r="C41" s="144"/>
      <c r="D41" s="144"/>
      <c r="E41" s="81"/>
      <c r="F41" s="82"/>
      <c r="G41" s="81"/>
      <c r="H41" s="83"/>
      <c r="I41" s="65" t="str">
        <f>'Berechnungen 1'!P45</f>
        <v/>
      </c>
      <c r="J41" s="185">
        <f>IF(OR(ISBLANK(E41),ISBLANK(F41)),IF(AND(ISBLANK(B41),ISBLANK(C41),ISBLANK(D41),ISBLANK(E41),ISBLANK(F41),ISBLANK(G41),ISBLANK(H41)),St.Wert_Schritt2.keineAngaben,St.Wert_Schritt2.fehlendeAngaben),'Berechnungen 1'!O45)</f>
        <v>999</v>
      </c>
    </row>
    <row r="42" spans="1:10" x14ac:dyDescent="0.2">
      <c r="A42" s="71">
        <v>35</v>
      </c>
      <c r="B42" s="80"/>
      <c r="C42" s="144"/>
      <c r="D42" s="144"/>
      <c r="E42" s="81"/>
      <c r="F42" s="82"/>
      <c r="G42" s="81"/>
      <c r="H42" s="83"/>
      <c r="I42" s="65" t="str">
        <f>'Berechnungen 1'!P46</f>
        <v/>
      </c>
      <c r="J42" s="185">
        <f>IF(OR(ISBLANK(E42),ISBLANK(F42)),IF(AND(ISBLANK(B42),ISBLANK(C42),ISBLANK(D42),ISBLANK(E42),ISBLANK(F42),ISBLANK(G42),ISBLANK(H42)),St.Wert_Schritt2.keineAngaben,St.Wert_Schritt2.fehlendeAngaben),'Berechnungen 1'!O46)</f>
        <v>999</v>
      </c>
    </row>
    <row r="43" spans="1:10" x14ac:dyDescent="0.2">
      <c r="A43" s="71">
        <v>36</v>
      </c>
      <c r="B43" s="80"/>
      <c r="C43" s="144"/>
      <c r="D43" s="144"/>
      <c r="E43" s="81"/>
      <c r="F43" s="82"/>
      <c r="G43" s="81"/>
      <c r="H43" s="83"/>
      <c r="I43" s="65" t="str">
        <f>'Berechnungen 1'!P47</f>
        <v/>
      </c>
      <c r="J43" s="185">
        <f>IF(OR(ISBLANK(E43),ISBLANK(F43)),IF(AND(ISBLANK(B43),ISBLANK(C43),ISBLANK(D43),ISBLANK(E43),ISBLANK(F43),ISBLANK(G43),ISBLANK(H43)),St.Wert_Schritt2.keineAngaben,St.Wert_Schritt2.fehlendeAngaben),'Berechnungen 1'!O47)</f>
        <v>999</v>
      </c>
    </row>
    <row r="44" spans="1:10" x14ac:dyDescent="0.2">
      <c r="A44" s="71">
        <v>37</v>
      </c>
      <c r="B44" s="80"/>
      <c r="C44" s="144"/>
      <c r="D44" s="144"/>
      <c r="E44" s="81"/>
      <c r="F44" s="82"/>
      <c r="G44" s="81"/>
      <c r="H44" s="83"/>
      <c r="I44" s="65" t="str">
        <f>'Berechnungen 1'!P48</f>
        <v/>
      </c>
      <c r="J44" s="185">
        <f>IF(OR(ISBLANK(E44),ISBLANK(F44)),IF(AND(ISBLANK(B44),ISBLANK(C44),ISBLANK(D44),ISBLANK(E44),ISBLANK(F44),ISBLANK(G44),ISBLANK(H44)),St.Wert_Schritt2.keineAngaben,St.Wert_Schritt2.fehlendeAngaben),'Berechnungen 1'!O48)</f>
        <v>999</v>
      </c>
    </row>
    <row r="45" spans="1:10" x14ac:dyDescent="0.2">
      <c r="A45" s="71">
        <v>38</v>
      </c>
      <c r="B45" s="80"/>
      <c r="C45" s="144"/>
      <c r="D45" s="144"/>
      <c r="E45" s="81"/>
      <c r="F45" s="82"/>
      <c r="G45" s="81"/>
      <c r="H45" s="83"/>
      <c r="I45" s="65" t="str">
        <f>'Berechnungen 1'!P49</f>
        <v/>
      </c>
      <c r="J45" s="185">
        <f>IF(OR(ISBLANK(E45),ISBLANK(F45)),IF(AND(ISBLANK(B45),ISBLANK(C45),ISBLANK(D45),ISBLANK(E45),ISBLANK(F45),ISBLANK(G45),ISBLANK(H45)),St.Wert_Schritt2.keineAngaben,St.Wert_Schritt2.fehlendeAngaben),'Berechnungen 1'!O49)</f>
        <v>999</v>
      </c>
    </row>
    <row r="46" spans="1:10" x14ac:dyDescent="0.2">
      <c r="A46" s="71">
        <v>39</v>
      </c>
      <c r="B46" s="80"/>
      <c r="C46" s="144"/>
      <c r="D46" s="144"/>
      <c r="E46" s="81"/>
      <c r="F46" s="82"/>
      <c r="G46" s="81"/>
      <c r="H46" s="83"/>
      <c r="I46" s="65" t="str">
        <f>'Berechnungen 1'!P50</f>
        <v/>
      </c>
      <c r="J46" s="185">
        <f>IF(OR(ISBLANK(E46),ISBLANK(F46)),IF(AND(ISBLANK(B46),ISBLANK(C46),ISBLANK(D46),ISBLANK(E46),ISBLANK(F46),ISBLANK(G46),ISBLANK(H46)),St.Wert_Schritt2.keineAngaben,St.Wert_Schritt2.fehlendeAngaben),'Berechnungen 1'!O50)</f>
        <v>999</v>
      </c>
    </row>
    <row r="47" spans="1:10" x14ac:dyDescent="0.2">
      <c r="A47" s="71">
        <v>40</v>
      </c>
      <c r="B47" s="80"/>
      <c r="C47" s="144"/>
      <c r="D47" s="144"/>
      <c r="E47" s="81"/>
      <c r="F47" s="82"/>
      <c r="G47" s="81"/>
      <c r="H47" s="83"/>
      <c r="I47" s="65" t="str">
        <f>'Berechnungen 1'!P51</f>
        <v/>
      </c>
      <c r="J47" s="185">
        <f>IF(OR(ISBLANK(E47),ISBLANK(F47)),IF(AND(ISBLANK(B47),ISBLANK(C47),ISBLANK(D47),ISBLANK(E47),ISBLANK(F47),ISBLANK(G47),ISBLANK(H47)),St.Wert_Schritt2.keineAngaben,St.Wert_Schritt2.fehlendeAngaben),'Berechnungen 1'!O51)</f>
        <v>999</v>
      </c>
    </row>
    <row r="48" spans="1:10" x14ac:dyDescent="0.2">
      <c r="A48" s="71">
        <v>41</v>
      </c>
      <c r="B48" s="80"/>
      <c r="C48" s="144"/>
      <c r="D48" s="144"/>
      <c r="E48" s="81"/>
      <c r="F48" s="82"/>
      <c r="G48" s="81"/>
      <c r="H48" s="83"/>
      <c r="I48" s="65" t="str">
        <f>'Berechnungen 1'!P52</f>
        <v/>
      </c>
      <c r="J48" s="185">
        <f>IF(OR(ISBLANK(E48),ISBLANK(F48)),IF(AND(ISBLANK(B48),ISBLANK(C48),ISBLANK(D48),ISBLANK(E48),ISBLANK(F48),ISBLANK(G48),ISBLANK(H48)),St.Wert_Schritt2.keineAngaben,St.Wert_Schritt2.fehlendeAngaben),'Berechnungen 1'!O52)</f>
        <v>999</v>
      </c>
    </row>
    <row r="49" spans="1:10" x14ac:dyDescent="0.2">
      <c r="A49" s="71">
        <v>42</v>
      </c>
      <c r="B49" s="80"/>
      <c r="C49" s="144"/>
      <c r="D49" s="144"/>
      <c r="E49" s="81"/>
      <c r="F49" s="82"/>
      <c r="G49" s="81"/>
      <c r="H49" s="83"/>
      <c r="I49" s="65" t="str">
        <f>'Berechnungen 1'!P53</f>
        <v/>
      </c>
      <c r="J49" s="185">
        <f>IF(OR(ISBLANK(E49),ISBLANK(F49)),IF(AND(ISBLANK(B49),ISBLANK(C49),ISBLANK(D49),ISBLANK(E49),ISBLANK(F49),ISBLANK(G49),ISBLANK(H49)),St.Wert_Schritt2.keineAngaben,St.Wert_Schritt2.fehlendeAngaben),'Berechnungen 1'!O53)</f>
        <v>999</v>
      </c>
    </row>
    <row r="50" spans="1:10" x14ac:dyDescent="0.2">
      <c r="A50" s="71">
        <v>43</v>
      </c>
      <c r="B50" s="80"/>
      <c r="C50" s="144"/>
      <c r="D50" s="144"/>
      <c r="E50" s="81"/>
      <c r="F50" s="82"/>
      <c r="G50" s="81"/>
      <c r="H50" s="83"/>
      <c r="I50" s="65" t="str">
        <f>'Berechnungen 1'!P54</f>
        <v/>
      </c>
      <c r="J50" s="185">
        <f>IF(OR(ISBLANK(E50),ISBLANK(F50)),IF(AND(ISBLANK(B50),ISBLANK(C50),ISBLANK(D50),ISBLANK(E50),ISBLANK(F50),ISBLANK(G50),ISBLANK(H50)),St.Wert_Schritt2.keineAngaben,St.Wert_Schritt2.fehlendeAngaben),'Berechnungen 1'!O54)</f>
        <v>999</v>
      </c>
    </row>
    <row r="51" spans="1:10" x14ac:dyDescent="0.2">
      <c r="A51" s="71">
        <v>44</v>
      </c>
      <c r="B51" s="80"/>
      <c r="C51" s="144"/>
      <c r="D51" s="144"/>
      <c r="E51" s="81"/>
      <c r="F51" s="82"/>
      <c r="G51" s="81"/>
      <c r="H51" s="83"/>
      <c r="I51" s="65" t="str">
        <f>'Berechnungen 1'!P55</f>
        <v/>
      </c>
      <c r="J51" s="185">
        <f>IF(OR(ISBLANK(E51),ISBLANK(F51)),IF(AND(ISBLANK(B51),ISBLANK(C51),ISBLANK(D51),ISBLANK(E51),ISBLANK(F51),ISBLANK(G51),ISBLANK(H51)),St.Wert_Schritt2.keineAngaben,St.Wert_Schritt2.fehlendeAngaben),'Berechnungen 1'!O55)</f>
        <v>999</v>
      </c>
    </row>
    <row r="52" spans="1:10" x14ac:dyDescent="0.2">
      <c r="A52" s="71">
        <v>45</v>
      </c>
      <c r="B52" s="80"/>
      <c r="C52" s="144"/>
      <c r="D52" s="144"/>
      <c r="E52" s="81"/>
      <c r="F52" s="82"/>
      <c r="G52" s="81"/>
      <c r="H52" s="83"/>
      <c r="I52" s="65" t="str">
        <f>'Berechnungen 1'!P56</f>
        <v/>
      </c>
      <c r="J52" s="185">
        <f>IF(OR(ISBLANK(E52),ISBLANK(F52)),IF(AND(ISBLANK(B52),ISBLANK(C52),ISBLANK(D52),ISBLANK(E52),ISBLANK(F52),ISBLANK(G52),ISBLANK(H52)),St.Wert_Schritt2.keineAngaben,St.Wert_Schritt2.fehlendeAngaben),'Berechnungen 1'!O56)</f>
        <v>999</v>
      </c>
    </row>
    <row r="53" spans="1:10" x14ac:dyDescent="0.2">
      <c r="A53" s="71">
        <v>46</v>
      </c>
      <c r="B53" s="80"/>
      <c r="C53" s="144"/>
      <c r="D53" s="144"/>
      <c r="E53" s="81"/>
      <c r="F53" s="82"/>
      <c r="G53" s="81"/>
      <c r="H53" s="83"/>
      <c r="I53" s="65" t="str">
        <f>'Berechnungen 1'!P57</f>
        <v/>
      </c>
      <c r="J53" s="185">
        <f>IF(OR(ISBLANK(E53),ISBLANK(F53)),IF(AND(ISBLANK(B53),ISBLANK(C53),ISBLANK(D53),ISBLANK(E53),ISBLANK(F53),ISBLANK(G53),ISBLANK(H53)),St.Wert_Schritt2.keineAngaben,St.Wert_Schritt2.fehlendeAngaben),'Berechnungen 1'!O57)</f>
        <v>999</v>
      </c>
    </row>
    <row r="54" spans="1:10" x14ac:dyDescent="0.2">
      <c r="A54" s="71">
        <v>47</v>
      </c>
      <c r="B54" s="80"/>
      <c r="C54" s="144"/>
      <c r="D54" s="144"/>
      <c r="E54" s="81"/>
      <c r="F54" s="82"/>
      <c r="G54" s="81"/>
      <c r="H54" s="83"/>
      <c r="I54" s="65" t="str">
        <f>'Berechnungen 1'!P58</f>
        <v/>
      </c>
      <c r="J54" s="185">
        <f>IF(OR(ISBLANK(E54),ISBLANK(F54)),IF(AND(ISBLANK(B54),ISBLANK(C54),ISBLANK(D54),ISBLANK(E54),ISBLANK(F54),ISBLANK(G54),ISBLANK(H54)),St.Wert_Schritt2.keineAngaben,St.Wert_Schritt2.fehlendeAngaben),'Berechnungen 1'!O58)</f>
        <v>999</v>
      </c>
    </row>
    <row r="55" spans="1:10" x14ac:dyDescent="0.2">
      <c r="A55" s="71">
        <v>48</v>
      </c>
      <c r="B55" s="80"/>
      <c r="C55" s="144"/>
      <c r="D55" s="144"/>
      <c r="E55" s="81"/>
      <c r="F55" s="82"/>
      <c r="G55" s="81"/>
      <c r="H55" s="83"/>
      <c r="I55" s="65" t="str">
        <f>'Berechnungen 1'!P59</f>
        <v/>
      </c>
      <c r="J55" s="185">
        <f>IF(OR(ISBLANK(E55),ISBLANK(F55)),IF(AND(ISBLANK(B55),ISBLANK(C55),ISBLANK(D55),ISBLANK(E55),ISBLANK(F55),ISBLANK(G55),ISBLANK(H55)),St.Wert_Schritt2.keineAngaben,St.Wert_Schritt2.fehlendeAngaben),'Berechnungen 1'!O59)</f>
        <v>999</v>
      </c>
    </row>
    <row r="56" spans="1:10" x14ac:dyDescent="0.2">
      <c r="A56" s="71">
        <v>49</v>
      </c>
      <c r="B56" s="80"/>
      <c r="C56" s="144"/>
      <c r="D56" s="144"/>
      <c r="E56" s="81"/>
      <c r="F56" s="82"/>
      <c r="G56" s="81"/>
      <c r="H56" s="83"/>
      <c r="I56" s="65" t="str">
        <f>'Berechnungen 1'!P60</f>
        <v/>
      </c>
      <c r="J56" s="185">
        <f>IF(OR(ISBLANK(E56),ISBLANK(F56)),IF(AND(ISBLANK(B56),ISBLANK(C56),ISBLANK(D56),ISBLANK(E56),ISBLANK(F56),ISBLANK(G56),ISBLANK(H56)),St.Wert_Schritt2.keineAngaben,St.Wert_Schritt2.fehlendeAngaben),'Berechnungen 1'!O60)</f>
        <v>999</v>
      </c>
    </row>
    <row r="57" spans="1:10" x14ac:dyDescent="0.2">
      <c r="A57" s="71">
        <v>50</v>
      </c>
      <c r="B57" s="80"/>
      <c r="C57" s="144"/>
      <c r="D57" s="144"/>
      <c r="E57" s="81"/>
      <c r="F57" s="82"/>
      <c r="G57" s="81"/>
      <c r="H57" s="83"/>
      <c r="I57" s="65" t="str">
        <f>'Berechnungen 1'!P61</f>
        <v/>
      </c>
      <c r="J57" s="185">
        <f>IF(OR(ISBLANK(E57),ISBLANK(F57)),IF(AND(ISBLANK(B57),ISBLANK(C57),ISBLANK(D57),ISBLANK(E57),ISBLANK(F57),ISBLANK(G57),ISBLANK(H57)),St.Wert_Schritt2.keineAngaben,St.Wert_Schritt2.fehlendeAngaben),'Berechnungen 1'!O61)</f>
        <v>999</v>
      </c>
    </row>
    <row r="58" spans="1:10" x14ac:dyDescent="0.2">
      <c r="A58" s="71">
        <v>51</v>
      </c>
      <c r="B58" s="80"/>
      <c r="C58" s="144"/>
      <c r="D58" s="144"/>
      <c r="E58" s="81"/>
      <c r="F58" s="82"/>
      <c r="G58" s="81"/>
      <c r="H58" s="83"/>
      <c r="I58" s="65" t="str">
        <f>'Berechnungen 1'!P62</f>
        <v/>
      </c>
      <c r="J58" s="185">
        <f>IF(OR(ISBLANK(E58),ISBLANK(F58)),IF(AND(ISBLANK(B58),ISBLANK(C58),ISBLANK(D58),ISBLANK(E58),ISBLANK(F58),ISBLANK(G58),ISBLANK(H58)),St.Wert_Schritt2.keineAngaben,St.Wert_Schritt2.fehlendeAngaben),'Berechnungen 1'!O62)</f>
        <v>999</v>
      </c>
    </row>
    <row r="59" spans="1:10" x14ac:dyDescent="0.2">
      <c r="A59" s="71">
        <v>52</v>
      </c>
      <c r="B59" s="80"/>
      <c r="C59" s="144"/>
      <c r="D59" s="144"/>
      <c r="E59" s="81"/>
      <c r="F59" s="82"/>
      <c r="G59" s="81"/>
      <c r="H59" s="83"/>
      <c r="I59" s="65" t="str">
        <f>'Berechnungen 1'!P63</f>
        <v/>
      </c>
      <c r="J59" s="185">
        <f>IF(OR(ISBLANK(E59),ISBLANK(F59)),IF(AND(ISBLANK(B59),ISBLANK(C59),ISBLANK(D59),ISBLANK(E59),ISBLANK(F59),ISBLANK(G59),ISBLANK(H59)),St.Wert_Schritt2.keineAngaben,St.Wert_Schritt2.fehlendeAngaben),'Berechnungen 1'!O63)</f>
        <v>999</v>
      </c>
    </row>
    <row r="60" spans="1:10" x14ac:dyDescent="0.2">
      <c r="A60" s="71">
        <v>53</v>
      </c>
      <c r="B60" s="80"/>
      <c r="C60" s="144"/>
      <c r="D60" s="144"/>
      <c r="E60" s="81"/>
      <c r="F60" s="82"/>
      <c r="G60" s="81"/>
      <c r="H60" s="83"/>
      <c r="I60" s="65" t="str">
        <f>'Berechnungen 1'!P64</f>
        <v/>
      </c>
      <c r="J60" s="185">
        <f>IF(OR(ISBLANK(E60),ISBLANK(F60)),IF(AND(ISBLANK(B60),ISBLANK(C60),ISBLANK(D60),ISBLANK(E60),ISBLANK(F60),ISBLANK(G60),ISBLANK(H60)),St.Wert_Schritt2.keineAngaben,St.Wert_Schritt2.fehlendeAngaben),'Berechnungen 1'!O64)</f>
        <v>999</v>
      </c>
    </row>
    <row r="61" spans="1:10" x14ac:dyDescent="0.2">
      <c r="A61" s="71">
        <v>54</v>
      </c>
      <c r="B61" s="80"/>
      <c r="C61" s="144"/>
      <c r="D61" s="144"/>
      <c r="E61" s="81"/>
      <c r="F61" s="82"/>
      <c r="G61" s="81"/>
      <c r="H61" s="83"/>
      <c r="I61" s="65" t="str">
        <f>'Berechnungen 1'!P65</f>
        <v/>
      </c>
      <c r="J61" s="185">
        <f>IF(OR(ISBLANK(E61),ISBLANK(F61)),IF(AND(ISBLANK(B61),ISBLANK(C61),ISBLANK(D61),ISBLANK(E61),ISBLANK(F61),ISBLANK(G61),ISBLANK(H61)),St.Wert_Schritt2.keineAngaben,St.Wert_Schritt2.fehlendeAngaben),'Berechnungen 1'!O65)</f>
        <v>999</v>
      </c>
    </row>
    <row r="62" spans="1:10" x14ac:dyDescent="0.2">
      <c r="A62" s="71">
        <v>55</v>
      </c>
      <c r="B62" s="80"/>
      <c r="C62" s="144"/>
      <c r="D62" s="144"/>
      <c r="E62" s="81"/>
      <c r="F62" s="82"/>
      <c r="G62" s="81"/>
      <c r="H62" s="83"/>
      <c r="I62" s="65" t="str">
        <f>'Berechnungen 1'!P66</f>
        <v/>
      </c>
      <c r="J62" s="185">
        <f>IF(OR(ISBLANK(E62),ISBLANK(F62)),IF(AND(ISBLANK(B62),ISBLANK(C62),ISBLANK(D62),ISBLANK(E62),ISBLANK(F62),ISBLANK(G62),ISBLANK(H62)),St.Wert_Schritt2.keineAngaben,St.Wert_Schritt2.fehlendeAngaben),'Berechnungen 1'!O66)</f>
        <v>999</v>
      </c>
    </row>
    <row r="63" spans="1:10" x14ac:dyDescent="0.2">
      <c r="A63" s="71">
        <v>56</v>
      </c>
      <c r="B63" s="80"/>
      <c r="C63" s="144"/>
      <c r="D63" s="144"/>
      <c r="E63" s="81"/>
      <c r="F63" s="82"/>
      <c r="G63" s="81"/>
      <c r="H63" s="83"/>
      <c r="I63" s="65" t="str">
        <f>'Berechnungen 1'!P67</f>
        <v/>
      </c>
      <c r="J63" s="185">
        <f>IF(OR(ISBLANK(E63),ISBLANK(F63)),IF(AND(ISBLANK(B63),ISBLANK(C63),ISBLANK(D63),ISBLANK(E63),ISBLANK(F63),ISBLANK(G63),ISBLANK(H63)),St.Wert_Schritt2.keineAngaben,St.Wert_Schritt2.fehlendeAngaben),'Berechnungen 1'!O67)</f>
        <v>999</v>
      </c>
    </row>
    <row r="64" spans="1:10" x14ac:dyDescent="0.2">
      <c r="A64" s="71">
        <v>57</v>
      </c>
      <c r="B64" s="80"/>
      <c r="C64" s="144"/>
      <c r="D64" s="144"/>
      <c r="E64" s="81"/>
      <c r="F64" s="82"/>
      <c r="G64" s="81"/>
      <c r="H64" s="83"/>
      <c r="I64" s="65" t="str">
        <f>'Berechnungen 1'!P68</f>
        <v/>
      </c>
      <c r="J64" s="185">
        <f>IF(OR(ISBLANK(E64),ISBLANK(F64)),IF(AND(ISBLANK(B64),ISBLANK(C64),ISBLANK(D64),ISBLANK(E64),ISBLANK(F64),ISBLANK(G64),ISBLANK(H64)),St.Wert_Schritt2.keineAngaben,St.Wert_Schritt2.fehlendeAngaben),'Berechnungen 1'!O68)</f>
        <v>999</v>
      </c>
    </row>
    <row r="65" spans="1:10" x14ac:dyDescent="0.2">
      <c r="A65" s="71">
        <v>58</v>
      </c>
      <c r="B65" s="80"/>
      <c r="C65" s="144"/>
      <c r="D65" s="144"/>
      <c r="E65" s="81"/>
      <c r="F65" s="82"/>
      <c r="G65" s="81"/>
      <c r="H65" s="83"/>
      <c r="I65" s="65" t="str">
        <f>'Berechnungen 1'!P69</f>
        <v/>
      </c>
      <c r="J65" s="185">
        <f>IF(OR(ISBLANK(E65),ISBLANK(F65)),IF(AND(ISBLANK(B65),ISBLANK(C65),ISBLANK(D65),ISBLANK(E65),ISBLANK(F65),ISBLANK(G65),ISBLANK(H65)),St.Wert_Schritt2.keineAngaben,St.Wert_Schritt2.fehlendeAngaben),'Berechnungen 1'!O69)</f>
        <v>999</v>
      </c>
    </row>
    <row r="66" spans="1:10" x14ac:dyDescent="0.2">
      <c r="A66" s="71">
        <v>59</v>
      </c>
      <c r="B66" s="80"/>
      <c r="C66" s="144"/>
      <c r="D66" s="144"/>
      <c r="E66" s="81"/>
      <c r="F66" s="82"/>
      <c r="G66" s="81"/>
      <c r="H66" s="83"/>
      <c r="I66" s="65" t="str">
        <f>'Berechnungen 1'!P70</f>
        <v/>
      </c>
      <c r="J66" s="185">
        <f>IF(OR(ISBLANK(E66),ISBLANK(F66)),IF(AND(ISBLANK(B66),ISBLANK(C66),ISBLANK(D66),ISBLANK(E66),ISBLANK(F66),ISBLANK(G66),ISBLANK(H66)),St.Wert_Schritt2.keineAngaben,St.Wert_Schritt2.fehlendeAngaben),'Berechnungen 1'!O70)</f>
        <v>999</v>
      </c>
    </row>
    <row r="67" spans="1:10" x14ac:dyDescent="0.2">
      <c r="A67" s="71">
        <v>60</v>
      </c>
      <c r="B67" s="80"/>
      <c r="C67" s="144"/>
      <c r="D67" s="144"/>
      <c r="E67" s="81"/>
      <c r="F67" s="82"/>
      <c r="G67" s="81"/>
      <c r="H67" s="83"/>
      <c r="I67" s="65" t="str">
        <f>'Berechnungen 1'!P71</f>
        <v/>
      </c>
      <c r="J67" s="185">
        <f>IF(OR(ISBLANK(E67),ISBLANK(F67)),IF(AND(ISBLANK(B67),ISBLANK(C67),ISBLANK(D67),ISBLANK(E67),ISBLANK(F67),ISBLANK(G67),ISBLANK(H67)),St.Wert_Schritt2.keineAngaben,St.Wert_Schritt2.fehlendeAngaben),'Berechnungen 1'!O71)</f>
        <v>999</v>
      </c>
    </row>
    <row r="68" spans="1:10" x14ac:dyDescent="0.2">
      <c r="A68" s="71">
        <v>61</v>
      </c>
      <c r="B68" s="80"/>
      <c r="C68" s="144"/>
      <c r="D68" s="144"/>
      <c r="E68" s="81"/>
      <c r="F68" s="82"/>
      <c r="G68" s="81"/>
      <c r="H68" s="83"/>
      <c r="I68" s="65" t="str">
        <f>'Berechnungen 1'!P72</f>
        <v/>
      </c>
      <c r="J68" s="185">
        <f>IF(OR(ISBLANK(E68),ISBLANK(F68)),IF(AND(ISBLANK(B68),ISBLANK(C68),ISBLANK(D68),ISBLANK(E68),ISBLANK(F68),ISBLANK(G68),ISBLANK(H68)),St.Wert_Schritt2.keineAngaben,St.Wert_Schritt2.fehlendeAngaben),'Berechnungen 1'!O72)</f>
        <v>999</v>
      </c>
    </row>
    <row r="69" spans="1:10" x14ac:dyDescent="0.2">
      <c r="A69" s="71">
        <v>62</v>
      </c>
      <c r="B69" s="80"/>
      <c r="C69" s="144"/>
      <c r="D69" s="144"/>
      <c r="E69" s="81"/>
      <c r="F69" s="82"/>
      <c r="G69" s="81"/>
      <c r="H69" s="83"/>
      <c r="I69" s="65" t="str">
        <f>'Berechnungen 1'!P73</f>
        <v/>
      </c>
      <c r="J69" s="185">
        <f>IF(OR(ISBLANK(E69),ISBLANK(F69)),IF(AND(ISBLANK(B69),ISBLANK(C69),ISBLANK(D69),ISBLANK(E69),ISBLANK(F69),ISBLANK(G69),ISBLANK(H69)),St.Wert_Schritt2.keineAngaben,St.Wert_Schritt2.fehlendeAngaben),'Berechnungen 1'!O73)</f>
        <v>999</v>
      </c>
    </row>
    <row r="70" spans="1:10" x14ac:dyDescent="0.2">
      <c r="A70" s="71">
        <v>63</v>
      </c>
      <c r="B70" s="80"/>
      <c r="C70" s="144"/>
      <c r="D70" s="144"/>
      <c r="E70" s="81"/>
      <c r="F70" s="82"/>
      <c r="G70" s="81"/>
      <c r="H70" s="83"/>
      <c r="I70" s="65" t="str">
        <f>'Berechnungen 1'!P74</f>
        <v/>
      </c>
      <c r="J70" s="185">
        <f>IF(OR(ISBLANK(E70),ISBLANK(F70)),IF(AND(ISBLANK(B70),ISBLANK(C70),ISBLANK(D70),ISBLANK(E70),ISBLANK(F70),ISBLANK(G70),ISBLANK(H70)),St.Wert_Schritt2.keineAngaben,St.Wert_Schritt2.fehlendeAngaben),'Berechnungen 1'!O74)</f>
        <v>999</v>
      </c>
    </row>
    <row r="71" spans="1:10" x14ac:dyDescent="0.2">
      <c r="A71" s="71">
        <v>64</v>
      </c>
      <c r="B71" s="80"/>
      <c r="C71" s="144"/>
      <c r="D71" s="144"/>
      <c r="E71" s="81"/>
      <c r="F71" s="82"/>
      <c r="G71" s="81"/>
      <c r="H71" s="83"/>
      <c r="I71" s="65" t="str">
        <f>'Berechnungen 1'!P75</f>
        <v/>
      </c>
      <c r="J71" s="185">
        <f>IF(OR(ISBLANK(E71),ISBLANK(F71)),IF(AND(ISBLANK(B71),ISBLANK(C71),ISBLANK(D71),ISBLANK(E71),ISBLANK(F71),ISBLANK(G71),ISBLANK(H71)),St.Wert_Schritt2.keineAngaben,St.Wert_Schritt2.fehlendeAngaben),'Berechnungen 1'!O75)</f>
        <v>999</v>
      </c>
    </row>
    <row r="72" spans="1:10" x14ac:dyDescent="0.2">
      <c r="A72" s="71">
        <v>65</v>
      </c>
      <c r="B72" s="80"/>
      <c r="C72" s="144"/>
      <c r="D72" s="144"/>
      <c r="E72" s="81"/>
      <c r="F72" s="82"/>
      <c r="G72" s="81"/>
      <c r="H72" s="83"/>
      <c r="I72" s="65" t="str">
        <f>'Berechnungen 1'!P76</f>
        <v/>
      </c>
      <c r="J72" s="185">
        <f>IF(OR(ISBLANK(E72),ISBLANK(F72)),IF(AND(ISBLANK(B72),ISBLANK(C72),ISBLANK(D72),ISBLANK(E72),ISBLANK(F72),ISBLANK(G72),ISBLANK(H72)),St.Wert_Schritt2.keineAngaben,St.Wert_Schritt2.fehlendeAngaben),'Berechnungen 1'!O76)</f>
        <v>999</v>
      </c>
    </row>
    <row r="73" spans="1:10" x14ac:dyDescent="0.2">
      <c r="A73" s="71">
        <v>66</v>
      </c>
      <c r="B73" s="80"/>
      <c r="C73" s="144"/>
      <c r="D73" s="144"/>
      <c r="E73" s="81"/>
      <c r="F73" s="82"/>
      <c r="G73" s="81"/>
      <c r="H73" s="83"/>
      <c r="I73" s="65" t="str">
        <f>'Berechnungen 1'!P77</f>
        <v/>
      </c>
      <c r="J73" s="185">
        <f>IF(OR(ISBLANK(E73),ISBLANK(F73)),IF(AND(ISBLANK(B73),ISBLANK(C73),ISBLANK(D73),ISBLANK(E73),ISBLANK(F73),ISBLANK(G73),ISBLANK(H73)),St.Wert_Schritt2.keineAngaben,St.Wert_Schritt2.fehlendeAngaben),'Berechnungen 1'!O77)</f>
        <v>999</v>
      </c>
    </row>
    <row r="74" spans="1:10" x14ac:dyDescent="0.2">
      <c r="A74" s="71">
        <v>67</v>
      </c>
      <c r="B74" s="80"/>
      <c r="C74" s="144"/>
      <c r="D74" s="144"/>
      <c r="E74" s="81"/>
      <c r="F74" s="82"/>
      <c r="G74" s="81"/>
      <c r="H74" s="83"/>
      <c r="I74" s="65" t="str">
        <f>'Berechnungen 1'!P78</f>
        <v/>
      </c>
      <c r="J74" s="185">
        <f>IF(OR(ISBLANK(E74),ISBLANK(F74)),IF(AND(ISBLANK(B74),ISBLANK(C74),ISBLANK(D74),ISBLANK(E74),ISBLANK(F74),ISBLANK(G74),ISBLANK(H74)),St.Wert_Schritt2.keineAngaben,St.Wert_Schritt2.fehlendeAngaben),'Berechnungen 1'!O78)</f>
        <v>999</v>
      </c>
    </row>
    <row r="75" spans="1:10" x14ac:dyDescent="0.2">
      <c r="A75" s="71">
        <v>68</v>
      </c>
      <c r="B75" s="80"/>
      <c r="C75" s="144"/>
      <c r="D75" s="144"/>
      <c r="E75" s="81"/>
      <c r="F75" s="82"/>
      <c r="G75" s="81"/>
      <c r="H75" s="83"/>
      <c r="I75" s="65" t="str">
        <f>'Berechnungen 1'!P79</f>
        <v/>
      </c>
      <c r="J75" s="185">
        <f>IF(OR(ISBLANK(E75),ISBLANK(F75)),IF(AND(ISBLANK(B75),ISBLANK(C75),ISBLANK(D75),ISBLANK(E75),ISBLANK(F75),ISBLANK(G75),ISBLANK(H75)),St.Wert_Schritt2.keineAngaben,St.Wert_Schritt2.fehlendeAngaben),'Berechnungen 1'!O79)</f>
        <v>999</v>
      </c>
    </row>
    <row r="76" spans="1:10" x14ac:dyDescent="0.2">
      <c r="A76" s="71">
        <v>69</v>
      </c>
      <c r="B76" s="80"/>
      <c r="C76" s="144"/>
      <c r="D76" s="144"/>
      <c r="E76" s="81"/>
      <c r="F76" s="82"/>
      <c r="G76" s="81"/>
      <c r="H76" s="83"/>
      <c r="I76" s="65" t="str">
        <f>'Berechnungen 1'!P80</f>
        <v/>
      </c>
      <c r="J76" s="185">
        <f>IF(OR(ISBLANK(E76),ISBLANK(F76)),IF(AND(ISBLANK(B76),ISBLANK(C76),ISBLANK(D76),ISBLANK(E76),ISBLANK(F76),ISBLANK(G76),ISBLANK(H76)),St.Wert_Schritt2.keineAngaben,St.Wert_Schritt2.fehlendeAngaben),'Berechnungen 1'!O80)</f>
        <v>999</v>
      </c>
    </row>
    <row r="77" spans="1:10" x14ac:dyDescent="0.2">
      <c r="A77" s="71">
        <v>70</v>
      </c>
      <c r="B77" s="80"/>
      <c r="C77" s="144"/>
      <c r="D77" s="144"/>
      <c r="E77" s="81"/>
      <c r="F77" s="82"/>
      <c r="G77" s="81"/>
      <c r="H77" s="83"/>
      <c r="I77" s="65" t="str">
        <f>'Berechnungen 1'!P81</f>
        <v/>
      </c>
      <c r="J77" s="185">
        <f>IF(OR(ISBLANK(E77),ISBLANK(F77)),IF(AND(ISBLANK(B77),ISBLANK(C77),ISBLANK(D77),ISBLANK(E77),ISBLANK(F77),ISBLANK(G77),ISBLANK(H77)),St.Wert_Schritt2.keineAngaben,St.Wert_Schritt2.fehlendeAngaben),'Berechnungen 1'!O81)</f>
        <v>999</v>
      </c>
    </row>
    <row r="78" spans="1:10" x14ac:dyDescent="0.2">
      <c r="A78" s="71">
        <v>71</v>
      </c>
      <c r="B78" s="80"/>
      <c r="C78" s="144"/>
      <c r="D78" s="144"/>
      <c r="E78" s="81"/>
      <c r="F78" s="82"/>
      <c r="G78" s="81"/>
      <c r="H78" s="83"/>
      <c r="I78" s="65" t="str">
        <f>'Berechnungen 1'!P82</f>
        <v/>
      </c>
      <c r="J78" s="185">
        <f>IF(OR(ISBLANK(E78),ISBLANK(F78)),IF(AND(ISBLANK(B78),ISBLANK(C78),ISBLANK(D78),ISBLANK(E78),ISBLANK(F78),ISBLANK(G78),ISBLANK(H78)),St.Wert_Schritt2.keineAngaben,St.Wert_Schritt2.fehlendeAngaben),'Berechnungen 1'!O82)</f>
        <v>999</v>
      </c>
    </row>
    <row r="79" spans="1:10" x14ac:dyDescent="0.2">
      <c r="A79" s="71">
        <v>72</v>
      </c>
      <c r="B79" s="80"/>
      <c r="C79" s="144"/>
      <c r="D79" s="144"/>
      <c r="E79" s="81"/>
      <c r="F79" s="82"/>
      <c r="G79" s="81"/>
      <c r="H79" s="83"/>
      <c r="I79" s="65" t="str">
        <f>'Berechnungen 1'!P83</f>
        <v/>
      </c>
      <c r="J79" s="185">
        <f>IF(OR(ISBLANK(E79),ISBLANK(F79)),IF(AND(ISBLANK(B79),ISBLANK(C79),ISBLANK(D79),ISBLANK(E79),ISBLANK(F79),ISBLANK(G79),ISBLANK(H79)),St.Wert_Schritt2.keineAngaben,St.Wert_Schritt2.fehlendeAngaben),'Berechnungen 1'!O83)</f>
        <v>999</v>
      </c>
    </row>
    <row r="80" spans="1:10" x14ac:dyDescent="0.2">
      <c r="A80" s="71">
        <v>73</v>
      </c>
      <c r="B80" s="80"/>
      <c r="C80" s="144"/>
      <c r="D80" s="144"/>
      <c r="E80" s="81"/>
      <c r="F80" s="82"/>
      <c r="G80" s="81"/>
      <c r="H80" s="83"/>
      <c r="I80" s="65" t="str">
        <f>'Berechnungen 1'!P84</f>
        <v/>
      </c>
      <c r="J80" s="185">
        <f>IF(OR(ISBLANK(E80),ISBLANK(F80)),IF(AND(ISBLANK(B80),ISBLANK(C80),ISBLANK(D80),ISBLANK(E80),ISBLANK(F80),ISBLANK(G80),ISBLANK(H80)),St.Wert_Schritt2.keineAngaben,St.Wert_Schritt2.fehlendeAngaben),'Berechnungen 1'!O84)</f>
        <v>999</v>
      </c>
    </row>
    <row r="81" spans="1:10" x14ac:dyDescent="0.2">
      <c r="A81" s="71">
        <v>74</v>
      </c>
      <c r="B81" s="80"/>
      <c r="C81" s="144"/>
      <c r="D81" s="144"/>
      <c r="E81" s="81"/>
      <c r="F81" s="82"/>
      <c r="G81" s="81"/>
      <c r="H81" s="83"/>
      <c r="I81" s="65" t="str">
        <f>'Berechnungen 1'!P85</f>
        <v/>
      </c>
      <c r="J81" s="185">
        <f>IF(OR(ISBLANK(E81),ISBLANK(F81)),IF(AND(ISBLANK(B81),ISBLANK(C81),ISBLANK(D81),ISBLANK(E81),ISBLANK(F81),ISBLANK(G81),ISBLANK(H81)),St.Wert_Schritt2.keineAngaben,St.Wert_Schritt2.fehlendeAngaben),'Berechnungen 1'!O85)</f>
        <v>999</v>
      </c>
    </row>
    <row r="82" spans="1:10" x14ac:dyDescent="0.2">
      <c r="A82" s="71">
        <v>75</v>
      </c>
      <c r="B82" s="80"/>
      <c r="C82" s="144"/>
      <c r="D82" s="144"/>
      <c r="E82" s="81"/>
      <c r="F82" s="82"/>
      <c r="G82" s="81"/>
      <c r="H82" s="83"/>
      <c r="I82" s="65" t="str">
        <f>'Berechnungen 1'!P86</f>
        <v/>
      </c>
      <c r="J82" s="185">
        <f>IF(OR(ISBLANK(E82),ISBLANK(F82)),IF(AND(ISBLANK(B82),ISBLANK(C82),ISBLANK(D82),ISBLANK(E82),ISBLANK(F82),ISBLANK(G82),ISBLANK(H82)),St.Wert_Schritt2.keineAngaben,St.Wert_Schritt2.fehlendeAngaben),'Berechnungen 1'!O86)</f>
        <v>999</v>
      </c>
    </row>
    <row r="83" spans="1:10" x14ac:dyDescent="0.2">
      <c r="A83" s="71">
        <v>76</v>
      </c>
      <c r="B83" s="80"/>
      <c r="C83" s="144"/>
      <c r="D83" s="144"/>
      <c r="E83" s="81"/>
      <c r="F83" s="82"/>
      <c r="G83" s="81"/>
      <c r="H83" s="83"/>
      <c r="I83" s="65" t="str">
        <f>'Berechnungen 1'!P87</f>
        <v/>
      </c>
      <c r="J83" s="185">
        <f>IF(OR(ISBLANK(E83),ISBLANK(F83)),IF(AND(ISBLANK(B83),ISBLANK(C83),ISBLANK(D83),ISBLANK(E83),ISBLANK(F83),ISBLANK(G83),ISBLANK(H83)),St.Wert_Schritt2.keineAngaben,St.Wert_Schritt2.fehlendeAngaben),'Berechnungen 1'!O87)</f>
        <v>999</v>
      </c>
    </row>
    <row r="84" spans="1:10" x14ac:dyDescent="0.2">
      <c r="A84" s="71">
        <v>77</v>
      </c>
      <c r="B84" s="80"/>
      <c r="C84" s="144"/>
      <c r="D84" s="144"/>
      <c r="E84" s="81"/>
      <c r="F84" s="82"/>
      <c r="G84" s="81"/>
      <c r="H84" s="83"/>
      <c r="I84" s="65" t="str">
        <f>'Berechnungen 1'!P88</f>
        <v/>
      </c>
      <c r="J84" s="185">
        <f>IF(OR(ISBLANK(E84),ISBLANK(F84)),IF(AND(ISBLANK(B84),ISBLANK(C84),ISBLANK(D84),ISBLANK(E84),ISBLANK(F84),ISBLANK(G84),ISBLANK(H84)),St.Wert_Schritt2.keineAngaben,St.Wert_Schritt2.fehlendeAngaben),'Berechnungen 1'!O88)</f>
        <v>999</v>
      </c>
    </row>
    <row r="85" spans="1:10" x14ac:dyDescent="0.2">
      <c r="A85" s="71">
        <v>78</v>
      </c>
      <c r="B85" s="80"/>
      <c r="C85" s="144"/>
      <c r="D85" s="144"/>
      <c r="E85" s="81"/>
      <c r="F85" s="82"/>
      <c r="G85" s="81"/>
      <c r="H85" s="83"/>
      <c r="I85" s="65" t="str">
        <f>'Berechnungen 1'!P89</f>
        <v/>
      </c>
      <c r="J85" s="185">
        <f>IF(OR(ISBLANK(E85),ISBLANK(F85)),IF(AND(ISBLANK(B85),ISBLANK(C85),ISBLANK(D85),ISBLANK(E85),ISBLANK(F85),ISBLANK(G85),ISBLANK(H85)),St.Wert_Schritt2.keineAngaben,St.Wert_Schritt2.fehlendeAngaben),'Berechnungen 1'!O89)</f>
        <v>999</v>
      </c>
    </row>
    <row r="86" spans="1:10" x14ac:dyDescent="0.2">
      <c r="A86" s="71">
        <v>79</v>
      </c>
      <c r="B86" s="80"/>
      <c r="C86" s="144"/>
      <c r="D86" s="144"/>
      <c r="E86" s="81"/>
      <c r="F86" s="82"/>
      <c r="G86" s="81"/>
      <c r="H86" s="83"/>
      <c r="I86" s="65" t="str">
        <f>'Berechnungen 1'!P90</f>
        <v/>
      </c>
      <c r="J86" s="185">
        <f>IF(OR(ISBLANK(E86),ISBLANK(F86)),IF(AND(ISBLANK(B86),ISBLANK(C86),ISBLANK(D86),ISBLANK(E86),ISBLANK(F86),ISBLANK(G86),ISBLANK(H86)),St.Wert_Schritt2.keineAngaben,St.Wert_Schritt2.fehlendeAngaben),'Berechnungen 1'!O90)</f>
        <v>999</v>
      </c>
    </row>
    <row r="87" spans="1:10" x14ac:dyDescent="0.2">
      <c r="A87" s="71">
        <v>80</v>
      </c>
      <c r="B87" s="80"/>
      <c r="C87" s="144"/>
      <c r="D87" s="144"/>
      <c r="E87" s="81"/>
      <c r="F87" s="82"/>
      <c r="G87" s="81"/>
      <c r="H87" s="83"/>
      <c r="I87" s="65" t="str">
        <f>'Berechnungen 1'!P91</f>
        <v/>
      </c>
      <c r="J87" s="185">
        <f>IF(OR(ISBLANK(E87),ISBLANK(F87)),IF(AND(ISBLANK(B87),ISBLANK(C87),ISBLANK(D87),ISBLANK(E87),ISBLANK(F87),ISBLANK(G87),ISBLANK(H87)),St.Wert_Schritt2.keineAngaben,St.Wert_Schritt2.fehlendeAngaben),'Berechnungen 1'!O91)</f>
        <v>999</v>
      </c>
    </row>
    <row r="88" spans="1:10" x14ac:dyDescent="0.2">
      <c r="A88" s="71">
        <v>81</v>
      </c>
      <c r="B88" s="80"/>
      <c r="C88" s="144"/>
      <c r="D88" s="144"/>
      <c r="E88" s="81"/>
      <c r="F88" s="82"/>
      <c r="G88" s="81"/>
      <c r="H88" s="83"/>
      <c r="I88" s="65" t="str">
        <f>'Berechnungen 1'!P92</f>
        <v/>
      </c>
      <c r="J88" s="185">
        <f>IF(OR(ISBLANK(E88),ISBLANK(F88)),IF(AND(ISBLANK(B88),ISBLANK(C88),ISBLANK(D88),ISBLANK(E88),ISBLANK(F88),ISBLANK(G88),ISBLANK(H88)),St.Wert_Schritt2.keineAngaben,St.Wert_Schritt2.fehlendeAngaben),'Berechnungen 1'!O92)</f>
        <v>999</v>
      </c>
    </row>
    <row r="89" spans="1:10" x14ac:dyDescent="0.2">
      <c r="A89" s="71">
        <v>82</v>
      </c>
      <c r="B89" s="80"/>
      <c r="C89" s="144"/>
      <c r="D89" s="144"/>
      <c r="E89" s="81"/>
      <c r="F89" s="82"/>
      <c r="G89" s="81"/>
      <c r="H89" s="83"/>
      <c r="I89" s="65" t="str">
        <f>'Berechnungen 1'!P93</f>
        <v/>
      </c>
      <c r="J89" s="185">
        <f>IF(OR(ISBLANK(E89),ISBLANK(F89)),IF(AND(ISBLANK(B89),ISBLANK(C89),ISBLANK(D89),ISBLANK(E89),ISBLANK(F89),ISBLANK(G89),ISBLANK(H89)),St.Wert_Schritt2.keineAngaben,St.Wert_Schritt2.fehlendeAngaben),'Berechnungen 1'!O93)</f>
        <v>999</v>
      </c>
    </row>
    <row r="90" spans="1:10" x14ac:dyDescent="0.2">
      <c r="A90" s="71">
        <v>83</v>
      </c>
      <c r="B90" s="80"/>
      <c r="C90" s="144"/>
      <c r="D90" s="144"/>
      <c r="E90" s="81"/>
      <c r="F90" s="82"/>
      <c r="G90" s="81"/>
      <c r="H90" s="83"/>
      <c r="I90" s="65" t="str">
        <f>'Berechnungen 1'!P94</f>
        <v/>
      </c>
      <c r="J90" s="185">
        <f>IF(OR(ISBLANK(E90),ISBLANK(F90)),IF(AND(ISBLANK(B90),ISBLANK(C90),ISBLANK(D90),ISBLANK(E90),ISBLANK(F90),ISBLANK(G90),ISBLANK(H90)),St.Wert_Schritt2.keineAngaben,St.Wert_Schritt2.fehlendeAngaben),'Berechnungen 1'!O94)</f>
        <v>999</v>
      </c>
    </row>
    <row r="91" spans="1:10" x14ac:dyDescent="0.2">
      <c r="A91" s="71">
        <v>84</v>
      </c>
      <c r="B91" s="80"/>
      <c r="C91" s="144"/>
      <c r="D91" s="144"/>
      <c r="E91" s="81"/>
      <c r="F91" s="82"/>
      <c r="G91" s="81"/>
      <c r="H91" s="83"/>
      <c r="I91" s="65" t="str">
        <f>'Berechnungen 1'!P95</f>
        <v/>
      </c>
      <c r="J91" s="185">
        <f>IF(OR(ISBLANK(E91),ISBLANK(F91)),IF(AND(ISBLANK(B91),ISBLANK(C91),ISBLANK(D91),ISBLANK(E91),ISBLANK(F91),ISBLANK(G91),ISBLANK(H91)),St.Wert_Schritt2.keineAngaben,St.Wert_Schritt2.fehlendeAngaben),'Berechnungen 1'!O95)</f>
        <v>999</v>
      </c>
    </row>
    <row r="92" spans="1:10" x14ac:dyDescent="0.2">
      <c r="A92" s="71">
        <v>85</v>
      </c>
      <c r="B92" s="80"/>
      <c r="C92" s="144"/>
      <c r="D92" s="144"/>
      <c r="E92" s="81"/>
      <c r="F92" s="82"/>
      <c r="G92" s="81"/>
      <c r="H92" s="83"/>
      <c r="I92" s="65" t="str">
        <f>'Berechnungen 1'!P96</f>
        <v/>
      </c>
      <c r="J92" s="185">
        <f>IF(OR(ISBLANK(E92),ISBLANK(F92)),IF(AND(ISBLANK(B92),ISBLANK(C92),ISBLANK(D92),ISBLANK(E92),ISBLANK(F92),ISBLANK(G92),ISBLANK(H92)),St.Wert_Schritt2.keineAngaben,St.Wert_Schritt2.fehlendeAngaben),'Berechnungen 1'!O96)</f>
        <v>999</v>
      </c>
    </row>
    <row r="93" spans="1:10" x14ac:dyDescent="0.2">
      <c r="A93" s="71">
        <v>86</v>
      </c>
      <c r="B93" s="80"/>
      <c r="C93" s="144"/>
      <c r="D93" s="144"/>
      <c r="E93" s="81"/>
      <c r="F93" s="82"/>
      <c r="G93" s="81"/>
      <c r="H93" s="83"/>
      <c r="I93" s="65" t="str">
        <f>'Berechnungen 1'!P97</f>
        <v/>
      </c>
      <c r="J93" s="185">
        <f>IF(OR(ISBLANK(E93),ISBLANK(F93)),IF(AND(ISBLANK(B93),ISBLANK(C93),ISBLANK(D93),ISBLANK(E93),ISBLANK(F93),ISBLANK(G93),ISBLANK(H93)),St.Wert_Schritt2.keineAngaben,St.Wert_Schritt2.fehlendeAngaben),'Berechnungen 1'!O97)</f>
        <v>999</v>
      </c>
    </row>
    <row r="94" spans="1:10" x14ac:dyDescent="0.2">
      <c r="A94" s="71">
        <v>87</v>
      </c>
      <c r="B94" s="80"/>
      <c r="C94" s="144"/>
      <c r="D94" s="144"/>
      <c r="E94" s="81"/>
      <c r="F94" s="82"/>
      <c r="G94" s="81"/>
      <c r="H94" s="83"/>
      <c r="I94" s="65" t="str">
        <f>'Berechnungen 1'!P98</f>
        <v/>
      </c>
      <c r="J94" s="185">
        <f>IF(OR(ISBLANK(E94),ISBLANK(F94)),IF(AND(ISBLANK(B94),ISBLANK(C94),ISBLANK(D94),ISBLANK(E94),ISBLANK(F94),ISBLANK(G94),ISBLANK(H94)),St.Wert_Schritt2.keineAngaben,St.Wert_Schritt2.fehlendeAngaben),'Berechnungen 1'!O98)</f>
        <v>999</v>
      </c>
    </row>
    <row r="95" spans="1:10" x14ac:dyDescent="0.2">
      <c r="A95" s="71">
        <v>88</v>
      </c>
      <c r="B95" s="80"/>
      <c r="C95" s="144"/>
      <c r="D95" s="144"/>
      <c r="E95" s="81"/>
      <c r="F95" s="82"/>
      <c r="G95" s="81"/>
      <c r="H95" s="83"/>
      <c r="I95" s="65" t="str">
        <f>'Berechnungen 1'!P99</f>
        <v/>
      </c>
      <c r="J95" s="185">
        <f>IF(OR(ISBLANK(E95),ISBLANK(F95)),IF(AND(ISBLANK(B95),ISBLANK(C95),ISBLANK(D95),ISBLANK(E95),ISBLANK(F95),ISBLANK(G95),ISBLANK(H95)),St.Wert_Schritt2.keineAngaben,St.Wert_Schritt2.fehlendeAngaben),'Berechnungen 1'!O99)</f>
        <v>999</v>
      </c>
    </row>
    <row r="96" spans="1:10" x14ac:dyDescent="0.2">
      <c r="A96" s="71">
        <v>89</v>
      </c>
      <c r="B96" s="80"/>
      <c r="C96" s="144"/>
      <c r="D96" s="144"/>
      <c r="E96" s="81"/>
      <c r="F96" s="82"/>
      <c r="G96" s="81"/>
      <c r="H96" s="83"/>
      <c r="I96" s="65" t="str">
        <f>'Berechnungen 1'!P100</f>
        <v/>
      </c>
      <c r="J96" s="185">
        <f>IF(OR(ISBLANK(E96),ISBLANK(F96)),IF(AND(ISBLANK(B96),ISBLANK(C96),ISBLANK(D96),ISBLANK(E96),ISBLANK(F96),ISBLANK(G96),ISBLANK(H96)),St.Wert_Schritt2.keineAngaben,St.Wert_Schritt2.fehlendeAngaben),'Berechnungen 1'!O100)</f>
        <v>999</v>
      </c>
    </row>
    <row r="97" spans="1:10" x14ac:dyDescent="0.2">
      <c r="A97" s="71">
        <v>90</v>
      </c>
      <c r="B97" s="80"/>
      <c r="C97" s="144"/>
      <c r="D97" s="144"/>
      <c r="E97" s="81"/>
      <c r="F97" s="82"/>
      <c r="G97" s="81"/>
      <c r="H97" s="83"/>
      <c r="I97" s="65" t="str">
        <f>'Berechnungen 1'!P101</f>
        <v/>
      </c>
      <c r="J97" s="185">
        <f>IF(OR(ISBLANK(E97),ISBLANK(F97)),IF(AND(ISBLANK(B97),ISBLANK(C97),ISBLANK(D97),ISBLANK(E97),ISBLANK(F97),ISBLANK(G97),ISBLANK(H97)),St.Wert_Schritt2.keineAngaben,St.Wert_Schritt2.fehlendeAngaben),'Berechnungen 1'!O101)</f>
        <v>999</v>
      </c>
    </row>
    <row r="98" spans="1:10" x14ac:dyDescent="0.2">
      <c r="A98" s="71">
        <v>91</v>
      </c>
      <c r="B98" s="80"/>
      <c r="C98" s="144"/>
      <c r="D98" s="144"/>
      <c r="E98" s="81"/>
      <c r="F98" s="82"/>
      <c r="G98" s="81"/>
      <c r="H98" s="83"/>
      <c r="I98" s="65" t="str">
        <f>'Berechnungen 1'!P102</f>
        <v/>
      </c>
      <c r="J98" s="185">
        <f>IF(OR(ISBLANK(E98),ISBLANK(F98)),IF(AND(ISBLANK(B98),ISBLANK(C98),ISBLANK(D98),ISBLANK(E98),ISBLANK(F98),ISBLANK(G98),ISBLANK(H98)),St.Wert_Schritt2.keineAngaben,St.Wert_Schritt2.fehlendeAngaben),'Berechnungen 1'!O102)</f>
        <v>999</v>
      </c>
    </row>
    <row r="99" spans="1:10" x14ac:dyDescent="0.2">
      <c r="A99" s="71">
        <v>92</v>
      </c>
      <c r="B99" s="80"/>
      <c r="C99" s="144"/>
      <c r="D99" s="144"/>
      <c r="E99" s="81"/>
      <c r="F99" s="82"/>
      <c r="G99" s="81"/>
      <c r="H99" s="83"/>
      <c r="I99" s="65" t="str">
        <f>'Berechnungen 1'!P103</f>
        <v/>
      </c>
      <c r="J99" s="185">
        <f>IF(OR(ISBLANK(E99),ISBLANK(F99)),IF(AND(ISBLANK(B99),ISBLANK(C99),ISBLANK(D99),ISBLANK(E99),ISBLANK(F99),ISBLANK(G99),ISBLANK(H99)),St.Wert_Schritt2.keineAngaben,St.Wert_Schritt2.fehlendeAngaben),'Berechnungen 1'!O103)</f>
        <v>999</v>
      </c>
    </row>
    <row r="100" spans="1:10" x14ac:dyDescent="0.2">
      <c r="A100" s="71">
        <v>93</v>
      </c>
      <c r="B100" s="80"/>
      <c r="C100" s="144"/>
      <c r="D100" s="144"/>
      <c r="E100" s="81"/>
      <c r="F100" s="82"/>
      <c r="G100" s="81"/>
      <c r="H100" s="83"/>
      <c r="I100" s="65" t="str">
        <f>'Berechnungen 1'!P104</f>
        <v/>
      </c>
      <c r="J100" s="185">
        <f>IF(OR(ISBLANK(E100),ISBLANK(F100)),IF(AND(ISBLANK(B100),ISBLANK(C100),ISBLANK(D100),ISBLANK(E100),ISBLANK(F100),ISBLANK(G100),ISBLANK(H100)),St.Wert_Schritt2.keineAngaben,St.Wert_Schritt2.fehlendeAngaben),'Berechnungen 1'!O104)</f>
        <v>999</v>
      </c>
    </row>
    <row r="101" spans="1:10" x14ac:dyDescent="0.2">
      <c r="A101" s="71">
        <v>94</v>
      </c>
      <c r="B101" s="80"/>
      <c r="C101" s="144"/>
      <c r="D101" s="144"/>
      <c r="E101" s="81"/>
      <c r="F101" s="82"/>
      <c r="G101" s="81"/>
      <c r="H101" s="83"/>
      <c r="I101" s="65" t="str">
        <f>'Berechnungen 1'!P105</f>
        <v/>
      </c>
      <c r="J101" s="185">
        <f>IF(OR(ISBLANK(E101),ISBLANK(F101)),IF(AND(ISBLANK(B101),ISBLANK(C101),ISBLANK(D101),ISBLANK(E101),ISBLANK(F101),ISBLANK(G101),ISBLANK(H101)),St.Wert_Schritt2.keineAngaben,St.Wert_Schritt2.fehlendeAngaben),'Berechnungen 1'!O105)</f>
        <v>999</v>
      </c>
    </row>
    <row r="102" spans="1:10" x14ac:dyDescent="0.2">
      <c r="A102" s="71">
        <v>95</v>
      </c>
      <c r="B102" s="80"/>
      <c r="C102" s="144"/>
      <c r="D102" s="144"/>
      <c r="E102" s="81"/>
      <c r="F102" s="82"/>
      <c r="G102" s="81"/>
      <c r="H102" s="83"/>
      <c r="I102" s="65" t="str">
        <f>'Berechnungen 1'!P106</f>
        <v/>
      </c>
      <c r="J102" s="185">
        <f>IF(OR(ISBLANK(E102),ISBLANK(F102)),IF(AND(ISBLANK(B102),ISBLANK(C102),ISBLANK(D102),ISBLANK(E102),ISBLANK(F102),ISBLANK(G102),ISBLANK(H102)),St.Wert_Schritt2.keineAngaben,St.Wert_Schritt2.fehlendeAngaben),'Berechnungen 1'!O106)</f>
        <v>999</v>
      </c>
    </row>
    <row r="103" spans="1:10" x14ac:dyDescent="0.2">
      <c r="A103" s="71">
        <v>96</v>
      </c>
      <c r="B103" s="80"/>
      <c r="C103" s="144"/>
      <c r="D103" s="144"/>
      <c r="E103" s="81"/>
      <c r="F103" s="82"/>
      <c r="G103" s="81"/>
      <c r="H103" s="83"/>
      <c r="I103" s="65" t="str">
        <f>'Berechnungen 1'!P107</f>
        <v/>
      </c>
      <c r="J103" s="185">
        <f>IF(OR(ISBLANK(E103),ISBLANK(F103)),IF(AND(ISBLANK(B103),ISBLANK(C103),ISBLANK(D103),ISBLANK(E103),ISBLANK(F103),ISBLANK(G103),ISBLANK(H103)),St.Wert_Schritt2.keineAngaben,St.Wert_Schritt2.fehlendeAngaben),'Berechnungen 1'!O107)</f>
        <v>999</v>
      </c>
    </row>
    <row r="104" spans="1:10" x14ac:dyDescent="0.2">
      <c r="A104" s="71">
        <v>97</v>
      </c>
      <c r="B104" s="80"/>
      <c r="C104" s="144"/>
      <c r="D104" s="144"/>
      <c r="E104" s="81"/>
      <c r="F104" s="82"/>
      <c r="G104" s="81"/>
      <c r="H104" s="83"/>
      <c r="I104" s="65" t="str">
        <f>'Berechnungen 1'!P108</f>
        <v/>
      </c>
      <c r="J104" s="185">
        <f>IF(OR(ISBLANK(E104),ISBLANK(F104)),IF(AND(ISBLANK(B104),ISBLANK(C104),ISBLANK(D104),ISBLANK(E104),ISBLANK(F104),ISBLANK(G104),ISBLANK(H104)),St.Wert_Schritt2.keineAngaben,St.Wert_Schritt2.fehlendeAngaben),'Berechnungen 1'!O108)</f>
        <v>999</v>
      </c>
    </row>
    <row r="105" spans="1:10" x14ac:dyDescent="0.2">
      <c r="A105" s="71">
        <v>98</v>
      </c>
      <c r="B105" s="80"/>
      <c r="C105" s="144"/>
      <c r="D105" s="144"/>
      <c r="E105" s="81"/>
      <c r="F105" s="82"/>
      <c r="G105" s="81"/>
      <c r="H105" s="83"/>
      <c r="I105" s="65" t="str">
        <f>'Berechnungen 1'!P109</f>
        <v/>
      </c>
      <c r="J105" s="185">
        <f>IF(OR(ISBLANK(E105),ISBLANK(F105)),IF(AND(ISBLANK(B105),ISBLANK(C105),ISBLANK(D105),ISBLANK(E105),ISBLANK(F105),ISBLANK(G105),ISBLANK(H105)),St.Wert_Schritt2.keineAngaben,St.Wert_Schritt2.fehlendeAngaben),'Berechnungen 1'!O109)</f>
        <v>999</v>
      </c>
    </row>
    <row r="106" spans="1:10" x14ac:dyDescent="0.2">
      <c r="A106" s="71">
        <v>99</v>
      </c>
      <c r="B106" s="80"/>
      <c r="C106" s="144"/>
      <c r="D106" s="144"/>
      <c r="E106" s="81"/>
      <c r="F106" s="82"/>
      <c r="G106" s="81"/>
      <c r="H106" s="83"/>
      <c r="I106" s="65" t="str">
        <f>'Berechnungen 1'!P110</f>
        <v/>
      </c>
      <c r="J106" s="185">
        <f>IF(OR(ISBLANK(E106),ISBLANK(F106)),IF(AND(ISBLANK(B106),ISBLANK(C106),ISBLANK(D106),ISBLANK(E106),ISBLANK(F106),ISBLANK(G106),ISBLANK(H106)),St.Wert_Schritt2.keineAngaben,St.Wert_Schritt2.fehlendeAngaben),'Berechnungen 1'!O110)</f>
        <v>999</v>
      </c>
    </row>
    <row r="107" spans="1:10" x14ac:dyDescent="0.2">
      <c r="A107" s="71">
        <v>100</v>
      </c>
      <c r="B107" s="80"/>
      <c r="C107" s="144"/>
      <c r="D107" s="144"/>
      <c r="E107" s="81"/>
      <c r="F107" s="82"/>
      <c r="G107" s="81"/>
      <c r="H107" s="83"/>
      <c r="I107" s="65" t="str">
        <f>'Berechnungen 1'!P111</f>
        <v/>
      </c>
      <c r="J107" s="185">
        <f>IF(OR(ISBLANK(E107),ISBLANK(F107)),IF(AND(ISBLANK(B107),ISBLANK(C107),ISBLANK(D107),ISBLANK(E107),ISBLANK(F107),ISBLANK(G107),ISBLANK(H107)),St.Wert_Schritt2.keineAngaben,St.Wert_Schritt2.fehlendeAngaben),'Berechnungen 1'!O111)</f>
        <v>999</v>
      </c>
    </row>
    <row r="108" spans="1:10" x14ac:dyDescent="0.2">
      <c r="A108" s="71">
        <v>101</v>
      </c>
      <c r="B108" s="80"/>
      <c r="C108" s="144"/>
      <c r="D108" s="144"/>
      <c r="E108" s="81"/>
      <c r="F108" s="82"/>
      <c r="G108" s="81"/>
      <c r="H108" s="83"/>
      <c r="I108" s="65" t="str">
        <f>'Berechnungen 1'!P112</f>
        <v/>
      </c>
      <c r="J108" s="185">
        <f>IF(OR(ISBLANK(E108),ISBLANK(F108)),IF(AND(ISBLANK(B108),ISBLANK(C108),ISBLANK(D108),ISBLANK(E108),ISBLANK(F108),ISBLANK(G108),ISBLANK(H108)),St.Wert_Schritt2.keineAngaben,St.Wert_Schritt2.fehlendeAngaben),'Berechnungen 1'!O112)</f>
        <v>999</v>
      </c>
    </row>
    <row r="109" spans="1:10" x14ac:dyDescent="0.2">
      <c r="A109" s="71">
        <v>102</v>
      </c>
      <c r="B109" s="80"/>
      <c r="C109" s="144"/>
      <c r="D109" s="144"/>
      <c r="E109" s="81"/>
      <c r="F109" s="82"/>
      <c r="G109" s="81"/>
      <c r="H109" s="83"/>
      <c r="I109" s="65" t="str">
        <f>'Berechnungen 1'!P113</f>
        <v/>
      </c>
      <c r="J109" s="185">
        <f>IF(OR(ISBLANK(E109),ISBLANK(F109)),IF(AND(ISBLANK(B109),ISBLANK(C109),ISBLANK(D109),ISBLANK(E109),ISBLANK(F109),ISBLANK(G109),ISBLANK(H109)),St.Wert_Schritt2.keineAngaben,St.Wert_Schritt2.fehlendeAngaben),'Berechnungen 1'!O113)</f>
        <v>999</v>
      </c>
    </row>
    <row r="110" spans="1:10" x14ac:dyDescent="0.2">
      <c r="A110" s="71">
        <v>103</v>
      </c>
      <c r="B110" s="80"/>
      <c r="C110" s="144"/>
      <c r="D110" s="144"/>
      <c r="E110" s="81"/>
      <c r="F110" s="82"/>
      <c r="G110" s="81"/>
      <c r="H110" s="83"/>
      <c r="I110" s="65" t="str">
        <f>'Berechnungen 1'!P114</f>
        <v/>
      </c>
      <c r="J110" s="185">
        <f>IF(OR(ISBLANK(E110),ISBLANK(F110)),IF(AND(ISBLANK(B110),ISBLANK(C110),ISBLANK(D110),ISBLANK(E110),ISBLANK(F110),ISBLANK(G110),ISBLANK(H110)),St.Wert_Schritt2.keineAngaben,St.Wert_Schritt2.fehlendeAngaben),'Berechnungen 1'!O114)</f>
        <v>999</v>
      </c>
    </row>
    <row r="111" spans="1:10" x14ac:dyDescent="0.2">
      <c r="A111" s="71">
        <v>104</v>
      </c>
      <c r="B111" s="80"/>
      <c r="C111" s="144"/>
      <c r="D111" s="144"/>
      <c r="E111" s="81"/>
      <c r="F111" s="82"/>
      <c r="G111" s="81"/>
      <c r="H111" s="83"/>
      <c r="I111" s="65" t="str">
        <f>'Berechnungen 1'!P115</f>
        <v/>
      </c>
      <c r="J111" s="185">
        <f>IF(OR(ISBLANK(E111),ISBLANK(F111)),IF(AND(ISBLANK(B111),ISBLANK(C111),ISBLANK(D111),ISBLANK(E111),ISBLANK(F111),ISBLANK(G111),ISBLANK(H111)),St.Wert_Schritt2.keineAngaben,St.Wert_Schritt2.fehlendeAngaben),'Berechnungen 1'!O115)</f>
        <v>999</v>
      </c>
    </row>
    <row r="112" spans="1:10" x14ac:dyDescent="0.2">
      <c r="A112" s="71">
        <v>105</v>
      </c>
      <c r="B112" s="80"/>
      <c r="C112" s="144"/>
      <c r="D112" s="144"/>
      <c r="E112" s="81"/>
      <c r="F112" s="82"/>
      <c r="G112" s="81"/>
      <c r="H112" s="83"/>
      <c r="I112" s="65" t="str">
        <f>'Berechnungen 1'!P116</f>
        <v/>
      </c>
      <c r="J112" s="185">
        <f>IF(OR(ISBLANK(E112),ISBLANK(F112)),IF(AND(ISBLANK(B112),ISBLANK(C112),ISBLANK(D112),ISBLANK(E112),ISBLANK(F112),ISBLANK(G112),ISBLANK(H112)),St.Wert_Schritt2.keineAngaben,St.Wert_Schritt2.fehlendeAngaben),'Berechnungen 1'!O116)</f>
        <v>999</v>
      </c>
    </row>
    <row r="113" spans="1:10" x14ac:dyDescent="0.2">
      <c r="A113" s="71">
        <v>106</v>
      </c>
      <c r="B113" s="80"/>
      <c r="C113" s="144"/>
      <c r="D113" s="144"/>
      <c r="E113" s="81"/>
      <c r="F113" s="82"/>
      <c r="G113" s="81"/>
      <c r="H113" s="83"/>
      <c r="I113" s="65" t="str">
        <f>'Berechnungen 1'!P117</f>
        <v/>
      </c>
      <c r="J113" s="185">
        <f>IF(OR(ISBLANK(E113),ISBLANK(F113)),IF(AND(ISBLANK(B113),ISBLANK(C113),ISBLANK(D113),ISBLANK(E113),ISBLANK(F113),ISBLANK(G113),ISBLANK(H113)),St.Wert_Schritt2.keineAngaben,St.Wert_Schritt2.fehlendeAngaben),'Berechnungen 1'!O117)</f>
        <v>999</v>
      </c>
    </row>
    <row r="114" spans="1:10" x14ac:dyDescent="0.2">
      <c r="A114" s="71">
        <v>107</v>
      </c>
      <c r="B114" s="80"/>
      <c r="C114" s="144"/>
      <c r="D114" s="144"/>
      <c r="E114" s="81"/>
      <c r="F114" s="82"/>
      <c r="G114" s="81"/>
      <c r="H114" s="83"/>
      <c r="I114" s="65" t="str">
        <f>'Berechnungen 1'!P118</f>
        <v/>
      </c>
      <c r="J114" s="185">
        <f>IF(OR(ISBLANK(E114),ISBLANK(F114)),IF(AND(ISBLANK(B114),ISBLANK(C114),ISBLANK(D114),ISBLANK(E114),ISBLANK(F114),ISBLANK(G114),ISBLANK(H114)),St.Wert_Schritt2.keineAngaben,St.Wert_Schritt2.fehlendeAngaben),'Berechnungen 1'!O118)</f>
        <v>999</v>
      </c>
    </row>
    <row r="115" spans="1:10" x14ac:dyDescent="0.2">
      <c r="A115" s="71">
        <v>108</v>
      </c>
      <c r="B115" s="80"/>
      <c r="C115" s="144"/>
      <c r="D115" s="144"/>
      <c r="E115" s="81"/>
      <c r="F115" s="82"/>
      <c r="G115" s="81"/>
      <c r="H115" s="83"/>
      <c r="I115" s="65" t="str">
        <f>'Berechnungen 1'!P119</f>
        <v/>
      </c>
      <c r="J115" s="185">
        <f>IF(OR(ISBLANK(E115),ISBLANK(F115)),IF(AND(ISBLANK(B115),ISBLANK(C115),ISBLANK(D115),ISBLANK(E115),ISBLANK(F115),ISBLANK(G115),ISBLANK(H115)),St.Wert_Schritt2.keineAngaben,St.Wert_Schritt2.fehlendeAngaben),'Berechnungen 1'!O119)</f>
        <v>999</v>
      </c>
    </row>
    <row r="116" spans="1:10" x14ac:dyDescent="0.2">
      <c r="A116" s="71">
        <v>109</v>
      </c>
      <c r="B116" s="80"/>
      <c r="C116" s="144"/>
      <c r="D116" s="144"/>
      <c r="E116" s="81"/>
      <c r="F116" s="82"/>
      <c r="G116" s="81"/>
      <c r="H116" s="83"/>
      <c r="I116" s="65" t="str">
        <f>'Berechnungen 1'!P120</f>
        <v/>
      </c>
      <c r="J116" s="185">
        <f>IF(OR(ISBLANK(E116),ISBLANK(F116)),IF(AND(ISBLANK(B116),ISBLANK(C116),ISBLANK(D116),ISBLANK(E116),ISBLANK(F116),ISBLANK(G116),ISBLANK(H116)),St.Wert_Schritt2.keineAngaben,St.Wert_Schritt2.fehlendeAngaben),'Berechnungen 1'!O120)</f>
        <v>999</v>
      </c>
    </row>
    <row r="117" spans="1:10" x14ac:dyDescent="0.2">
      <c r="A117" s="71">
        <v>110</v>
      </c>
      <c r="B117" s="80"/>
      <c r="C117" s="144"/>
      <c r="D117" s="144"/>
      <c r="E117" s="81"/>
      <c r="F117" s="82"/>
      <c r="G117" s="81"/>
      <c r="H117" s="83"/>
      <c r="I117" s="65" t="str">
        <f>'Berechnungen 1'!P121</f>
        <v/>
      </c>
      <c r="J117" s="185">
        <f>IF(OR(ISBLANK(E117),ISBLANK(F117)),IF(AND(ISBLANK(B117),ISBLANK(C117),ISBLANK(D117),ISBLANK(E117),ISBLANK(F117),ISBLANK(G117),ISBLANK(H117)),St.Wert_Schritt2.keineAngaben,St.Wert_Schritt2.fehlendeAngaben),'Berechnungen 1'!O121)</f>
        <v>999</v>
      </c>
    </row>
    <row r="118" spans="1:10" x14ac:dyDescent="0.2">
      <c r="A118" s="71">
        <v>111</v>
      </c>
      <c r="B118" s="80"/>
      <c r="C118" s="144"/>
      <c r="D118" s="144"/>
      <c r="E118" s="81"/>
      <c r="F118" s="82"/>
      <c r="G118" s="81"/>
      <c r="H118" s="83"/>
      <c r="I118" s="65" t="str">
        <f>'Berechnungen 1'!P122</f>
        <v/>
      </c>
      <c r="J118" s="185">
        <f>IF(OR(ISBLANK(E118),ISBLANK(F118)),IF(AND(ISBLANK(B118),ISBLANK(C118),ISBLANK(D118),ISBLANK(E118),ISBLANK(F118),ISBLANK(G118),ISBLANK(H118)),St.Wert_Schritt2.keineAngaben,St.Wert_Schritt2.fehlendeAngaben),'Berechnungen 1'!O122)</f>
        <v>999</v>
      </c>
    </row>
    <row r="119" spans="1:10" x14ac:dyDescent="0.2">
      <c r="A119" s="71">
        <v>112</v>
      </c>
      <c r="B119" s="80"/>
      <c r="C119" s="144"/>
      <c r="D119" s="144"/>
      <c r="E119" s="81"/>
      <c r="F119" s="82"/>
      <c r="G119" s="81"/>
      <c r="H119" s="83"/>
      <c r="I119" s="65" t="str">
        <f>'Berechnungen 1'!P123</f>
        <v/>
      </c>
      <c r="J119" s="185">
        <f>IF(OR(ISBLANK(E119),ISBLANK(F119)),IF(AND(ISBLANK(B119),ISBLANK(C119),ISBLANK(D119),ISBLANK(E119),ISBLANK(F119),ISBLANK(G119),ISBLANK(H119)),St.Wert_Schritt2.keineAngaben,St.Wert_Schritt2.fehlendeAngaben),'Berechnungen 1'!O123)</f>
        <v>999</v>
      </c>
    </row>
    <row r="120" spans="1:10" x14ac:dyDescent="0.2">
      <c r="A120" s="71">
        <v>113</v>
      </c>
      <c r="B120" s="80"/>
      <c r="C120" s="144"/>
      <c r="D120" s="144"/>
      <c r="E120" s="81"/>
      <c r="F120" s="82"/>
      <c r="G120" s="81"/>
      <c r="H120" s="83"/>
      <c r="I120" s="65" t="str">
        <f>'Berechnungen 1'!P124</f>
        <v/>
      </c>
      <c r="J120" s="185">
        <f>IF(OR(ISBLANK(E120),ISBLANK(F120)),IF(AND(ISBLANK(B120),ISBLANK(C120),ISBLANK(D120),ISBLANK(E120),ISBLANK(F120),ISBLANK(G120),ISBLANK(H120)),St.Wert_Schritt2.keineAngaben,St.Wert_Schritt2.fehlendeAngaben),'Berechnungen 1'!O124)</f>
        <v>999</v>
      </c>
    </row>
    <row r="121" spans="1:10" x14ac:dyDescent="0.2">
      <c r="A121" s="71">
        <v>114</v>
      </c>
      <c r="B121" s="80"/>
      <c r="C121" s="144"/>
      <c r="D121" s="144"/>
      <c r="E121" s="81"/>
      <c r="F121" s="82"/>
      <c r="G121" s="81"/>
      <c r="H121" s="83"/>
      <c r="I121" s="65" t="str">
        <f>'Berechnungen 1'!P125</f>
        <v/>
      </c>
      <c r="J121" s="185">
        <f>IF(OR(ISBLANK(E121),ISBLANK(F121)),IF(AND(ISBLANK(B121),ISBLANK(C121),ISBLANK(D121),ISBLANK(E121),ISBLANK(F121),ISBLANK(G121),ISBLANK(H121)),St.Wert_Schritt2.keineAngaben,St.Wert_Schritt2.fehlendeAngaben),'Berechnungen 1'!O125)</f>
        <v>999</v>
      </c>
    </row>
    <row r="122" spans="1:10" x14ac:dyDescent="0.2">
      <c r="A122" s="71">
        <v>115</v>
      </c>
      <c r="B122" s="80"/>
      <c r="C122" s="144"/>
      <c r="D122" s="144"/>
      <c r="E122" s="81"/>
      <c r="F122" s="82"/>
      <c r="G122" s="81"/>
      <c r="H122" s="83"/>
      <c r="I122" s="65" t="str">
        <f>'Berechnungen 1'!P126</f>
        <v/>
      </c>
      <c r="J122" s="185">
        <f>IF(OR(ISBLANK(E122),ISBLANK(F122)),IF(AND(ISBLANK(B122),ISBLANK(C122),ISBLANK(D122),ISBLANK(E122),ISBLANK(F122),ISBLANK(G122),ISBLANK(H122)),St.Wert_Schritt2.keineAngaben,St.Wert_Schritt2.fehlendeAngaben),'Berechnungen 1'!O126)</f>
        <v>999</v>
      </c>
    </row>
    <row r="123" spans="1:10" x14ac:dyDescent="0.2">
      <c r="A123" s="71">
        <v>116</v>
      </c>
      <c r="B123" s="80"/>
      <c r="C123" s="144"/>
      <c r="D123" s="144"/>
      <c r="E123" s="81"/>
      <c r="F123" s="82"/>
      <c r="G123" s="81"/>
      <c r="H123" s="83"/>
      <c r="I123" s="65" t="str">
        <f>'Berechnungen 1'!P127</f>
        <v/>
      </c>
      <c r="J123" s="185">
        <f>IF(OR(ISBLANK(E123),ISBLANK(F123)),IF(AND(ISBLANK(B123),ISBLANK(C123),ISBLANK(D123),ISBLANK(E123),ISBLANK(F123),ISBLANK(G123),ISBLANK(H123)),St.Wert_Schritt2.keineAngaben,St.Wert_Schritt2.fehlendeAngaben),'Berechnungen 1'!O127)</f>
        <v>999</v>
      </c>
    </row>
    <row r="124" spans="1:10" x14ac:dyDescent="0.2">
      <c r="A124" s="71">
        <v>117</v>
      </c>
      <c r="B124" s="80"/>
      <c r="C124" s="144"/>
      <c r="D124" s="144"/>
      <c r="E124" s="81"/>
      <c r="F124" s="82"/>
      <c r="G124" s="81"/>
      <c r="H124" s="83"/>
      <c r="I124" s="65" t="str">
        <f>'Berechnungen 1'!P128</f>
        <v/>
      </c>
      <c r="J124" s="185">
        <f>IF(OR(ISBLANK(E124),ISBLANK(F124)),IF(AND(ISBLANK(B124),ISBLANK(C124),ISBLANK(D124),ISBLANK(E124),ISBLANK(F124),ISBLANK(G124),ISBLANK(H124)),St.Wert_Schritt2.keineAngaben,St.Wert_Schritt2.fehlendeAngaben),'Berechnungen 1'!O128)</f>
        <v>999</v>
      </c>
    </row>
    <row r="125" spans="1:10" x14ac:dyDescent="0.2">
      <c r="A125" s="71">
        <v>118</v>
      </c>
      <c r="B125" s="80"/>
      <c r="C125" s="144"/>
      <c r="D125" s="144"/>
      <c r="E125" s="81"/>
      <c r="F125" s="82"/>
      <c r="G125" s="81"/>
      <c r="H125" s="83"/>
      <c r="I125" s="65" t="str">
        <f>'Berechnungen 1'!P129</f>
        <v/>
      </c>
      <c r="J125" s="185">
        <f>IF(OR(ISBLANK(E125),ISBLANK(F125)),IF(AND(ISBLANK(B125),ISBLANK(C125),ISBLANK(D125),ISBLANK(E125),ISBLANK(F125),ISBLANK(G125),ISBLANK(H125)),St.Wert_Schritt2.keineAngaben,St.Wert_Schritt2.fehlendeAngaben),'Berechnungen 1'!O129)</f>
        <v>999</v>
      </c>
    </row>
    <row r="126" spans="1:10" x14ac:dyDescent="0.2">
      <c r="A126" s="71">
        <v>119</v>
      </c>
      <c r="B126" s="80"/>
      <c r="C126" s="144"/>
      <c r="D126" s="144"/>
      <c r="E126" s="81"/>
      <c r="F126" s="82"/>
      <c r="G126" s="81"/>
      <c r="H126" s="83"/>
      <c r="I126" s="65" t="str">
        <f>'Berechnungen 1'!P130</f>
        <v/>
      </c>
      <c r="J126" s="185">
        <f>IF(OR(ISBLANK(E126),ISBLANK(F126)),IF(AND(ISBLANK(B126),ISBLANK(C126),ISBLANK(D126),ISBLANK(E126),ISBLANK(F126),ISBLANK(G126),ISBLANK(H126)),St.Wert_Schritt2.keineAngaben,St.Wert_Schritt2.fehlendeAngaben),'Berechnungen 1'!O130)</f>
        <v>999</v>
      </c>
    </row>
    <row r="127" spans="1:10" x14ac:dyDescent="0.2">
      <c r="A127" s="71">
        <v>120</v>
      </c>
      <c r="B127" s="80"/>
      <c r="C127" s="144"/>
      <c r="D127" s="144"/>
      <c r="E127" s="81"/>
      <c r="F127" s="82"/>
      <c r="G127" s="81"/>
      <c r="H127" s="83"/>
      <c r="I127" s="65" t="str">
        <f>'Berechnungen 1'!P131</f>
        <v/>
      </c>
      <c r="J127" s="185">
        <f>IF(OR(ISBLANK(E127),ISBLANK(F127)),IF(AND(ISBLANK(B127),ISBLANK(C127),ISBLANK(D127),ISBLANK(E127),ISBLANK(F127),ISBLANK(G127),ISBLANK(H127)),St.Wert_Schritt2.keineAngaben,St.Wert_Schritt2.fehlendeAngaben),'Berechnungen 1'!O131)</f>
        <v>999</v>
      </c>
    </row>
    <row r="128" spans="1:10" x14ac:dyDescent="0.2">
      <c r="A128" s="71">
        <v>121</v>
      </c>
      <c r="B128" s="80"/>
      <c r="C128" s="144"/>
      <c r="D128" s="144"/>
      <c r="E128" s="81"/>
      <c r="F128" s="82"/>
      <c r="G128" s="81"/>
      <c r="H128" s="83"/>
      <c r="I128" s="65" t="str">
        <f>'Berechnungen 1'!P132</f>
        <v/>
      </c>
      <c r="J128" s="185">
        <f>IF(OR(ISBLANK(E128),ISBLANK(F128)),IF(AND(ISBLANK(B128),ISBLANK(C128),ISBLANK(D128),ISBLANK(E128),ISBLANK(F128),ISBLANK(G128),ISBLANK(H128)),St.Wert_Schritt2.keineAngaben,St.Wert_Schritt2.fehlendeAngaben),'Berechnungen 1'!O132)</f>
        <v>999</v>
      </c>
    </row>
    <row r="129" spans="1:10" x14ac:dyDescent="0.2">
      <c r="A129" s="71">
        <v>122</v>
      </c>
      <c r="B129" s="80"/>
      <c r="C129" s="144"/>
      <c r="D129" s="144"/>
      <c r="E129" s="81"/>
      <c r="F129" s="82"/>
      <c r="G129" s="81"/>
      <c r="H129" s="83"/>
      <c r="I129" s="65" t="str">
        <f>'Berechnungen 1'!P133</f>
        <v/>
      </c>
      <c r="J129" s="185">
        <f>IF(OR(ISBLANK(E129),ISBLANK(F129)),IF(AND(ISBLANK(B129),ISBLANK(C129),ISBLANK(D129),ISBLANK(E129),ISBLANK(F129),ISBLANK(G129),ISBLANK(H129)),St.Wert_Schritt2.keineAngaben,St.Wert_Schritt2.fehlendeAngaben),'Berechnungen 1'!O133)</f>
        <v>999</v>
      </c>
    </row>
    <row r="130" spans="1:10" x14ac:dyDescent="0.2">
      <c r="A130" s="71">
        <v>123</v>
      </c>
      <c r="B130" s="80"/>
      <c r="C130" s="144"/>
      <c r="D130" s="144"/>
      <c r="E130" s="81"/>
      <c r="F130" s="82"/>
      <c r="G130" s="81"/>
      <c r="H130" s="83"/>
      <c r="I130" s="65" t="str">
        <f>'Berechnungen 1'!P134</f>
        <v/>
      </c>
      <c r="J130" s="185">
        <f>IF(OR(ISBLANK(E130),ISBLANK(F130)),IF(AND(ISBLANK(B130),ISBLANK(C130),ISBLANK(D130),ISBLANK(E130),ISBLANK(F130),ISBLANK(G130),ISBLANK(H130)),St.Wert_Schritt2.keineAngaben,St.Wert_Schritt2.fehlendeAngaben),'Berechnungen 1'!O134)</f>
        <v>999</v>
      </c>
    </row>
    <row r="131" spans="1:10" x14ac:dyDescent="0.2">
      <c r="A131" s="71">
        <v>124</v>
      </c>
      <c r="B131" s="80"/>
      <c r="C131" s="144"/>
      <c r="D131" s="144"/>
      <c r="E131" s="81"/>
      <c r="F131" s="82"/>
      <c r="G131" s="81"/>
      <c r="H131" s="83"/>
      <c r="I131" s="65" t="str">
        <f>'Berechnungen 1'!P135</f>
        <v/>
      </c>
      <c r="J131" s="185">
        <f>IF(OR(ISBLANK(E131),ISBLANK(F131)),IF(AND(ISBLANK(B131),ISBLANK(C131),ISBLANK(D131),ISBLANK(E131),ISBLANK(F131),ISBLANK(G131),ISBLANK(H131)),St.Wert_Schritt2.keineAngaben,St.Wert_Schritt2.fehlendeAngaben),'Berechnungen 1'!O135)</f>
        <v>999</v>
      </c>
    </row>
    <row r="132" spans="1:10" x14ac:dyDescent="0.2">
      <c r="A132" s="71">
        <v>125</v>
      </c>
      <c r="B132" s="80"/>
      <c r="C132" s="144"/>
      <c r="D132" s="144"/>
      <c r="E132" s="81"/>
      <c r="F132" s="82"/>
      <c r="G132" s="81"/>
      <c r="H132" s="83"/>
      <c r="I132" s="65" t="str">
        <f>'Berechnungen 1'!P136</f>
        <v/>
      </c>
      <c r="J132" s="185">
        <f>IF(OR(ISBLANK(E132),ISBLANK(F132)),IF(AND(ISBLANK(B132),ISBLANK(C132),ISBLANK(D132),ISBLANK(E132),ISBLANK(F132),ISBLANK(G132),ISBLANK(H132)),St.Wert_Schritt2.keineAngaben,St.Wert_Schritt2.fehlendeAngaben),'Berechnungen 1'!O136)</f>
        <v>999</v>
      </c>
    </row>
    <row r="133" spans="1:10" x14ac:dyDescent="0.2">
      <c r="A133" s="71">
        <v>126</v>
      </c>
      <c r="B133" s="80"/>
      <c r="C133" s="144"/>
      <c r="D133" s="144"/>
      <c r="E133" s="81"/>
      <c r="F133" s="82"/>
      <c r="G133" s="81"/>
      <c r="H133" s="83"/>
      <c r="I133" s="65" t="str">
        <f>'Berechnungen 1'!P137</f>
        <v/>
      </c>
      <c r="J133" s="185">
        <f>IF(OR(ISBLANK(E133),ISBLANK(F133)),IF(AND(ISBLANK(B133),ISBLANK(C133),ISBLANK(D133),ISBLANK(E133),ISBLANK(F133),ISBLANK(G133),ISBLANK(H133)),St.Wert_Schritt2.keineAngaben,St.Wert_Schritt2.fehlendeAngaben),'Berechnungen 1'!O137)</f>
        <v>999</v>
      </c>
    </row>
    <row r="134" spans="1:10" x14ac:dyDescent="0.2">
      <c r="A134" s="71">
        <v>127</v>
      </c>
      <c r="B134" s="80"/>
      <c r="C134" s="144"/>
      <c r="D134" s="144"/>
      <c r="E134" s="81"/>
      <c r="F134" s="82"/>
      <c r="G134" s="81"/>
      <c r="H134" s="83"/>
      <c r="I134" s="65" t="str">
        <f>'Berechnungen 1'!P138</f>
        <v/>
      </c>
      <c r="J134" s="185">
        <f>IF(OR(ISBLANK(E134),ISBLANK(F134)),IF(AND(ISBLANK(B134),ISBLANK(C134),ISBLANK(D134),ISBLANK(E134),ISBLANK(F134),ISBLANK(G134),ISBLANK(H134)),St.Wert_Schritt2.keineAngaben,St.Wert_Schritt2.fehlendeAngaben),'Berechnungen 1'!O138)</f>
        <v>999</v>
      </c>
    </row>
    <row r="135" spans="1:10" x14ac:dyDescent="0.2">
      <c r="A135" s="71">
        <v>128</v>
      </c>
      <c r="B135" s="80"/>
      <c r="C135" s="144"/>
      <c r="D135" s="144"/>
      <c r="E135" s="81"/>
      <c r="F135" s="82"/>
      <c r="G135" s="81"/>
      <c r="H135" s="83"/>
      <c r="I135" s="65" t="str">
        <f>'Berechnungen 1'!P139</f>
        <v/>
      </c>
      <c r="J135" s="185">
        <f>IF(OR(ISBLANK(E135),ISBLANK(F135)),IF(AND(ISBLANK(B135),ISBLANK(C135),ISBLANK(D135),ISBLANK(E135),ISBLANK(F135),ISBLANK(G135),ISBLANK(H135)),St.Wert_Schritt2.keineAngaben,St.Wert_Schritt2.fehlendeAngaben),'Berechnungen 1'!O139)</f>
        <v>999</v>
      </c>
    </row>
    <row r="136" spans="1:10" x14ac:dyDescent="0.2">
      <c r="A136" s="71">
        <v>129</v>
      </c>
      <c r="B136" s="80"/>
      <c r="C136" s="144"/>
      <c r="D136" s="144"/>
      <c r="E136" s="81"/>
      <c r="F136" s="82"/>
      <c r="G136" s="81"/>
      <c r="H136" s="83"/>
      <c r="I136" s="65" t="str">
        <f>'Berechnungen 1'!P140</f>
        <v/>
      </c>
      <c r="J136" s="185">
        <f>IF(OR(ISBLANK(E136),ISBLANK(F136)),IF(AND(ISBLANK(B136),ISBLANK(C136),ISBLANK(D136),ISBLANK(E136),ISBLANK(F136),ISBLANK(G136),ISBLANK(H136)),St.Wert_Schritt2.keineAngaben,St.Wert_Schritt2.fehlendeAngaben),'Berechnungen 1'!O140)</f>
        <v>999</v>
      </c>
    </row>
    <row r="137" spans="1:10" x14ac:dyDescent="0.2">
      <c r="A137" s="71">
        <v>130</v>
      </c>
      <c r="B137" s="80"/>
      <c r="C137" s="144"/>
      <c r="D137" s="144"/>
      <c r="E137" s="81"/>
      <c r="F137" s="82"/>
      <c r="G137" s="81"/>
      <c r="H137" s="83"/>
      <c r="I137" s="65" t="str">
        <f>'Berechnungen 1'!P141</f>
        <v/>
      </c>
      <c r="J137" s="185">
        <f>IF(OR(ISBLANK(E137),ISBLANK(F137)),IF(AND(ISBLANK(B137),ISBLANK(C137),ISBLANK(D137),ISBLANK(E137),ISBLANK(F137),ISBLANK(G137),ISBLANK(H137)),St.Wert_Schritt2.keineAngaben,St.Wert_Schritt2.fehlendeAngaben),'Berechnungen 1'!O141)</f>
        <v>999</v>
      </c>
    </row>
    <row r="138" spans="1:10" x14ac:dyDescent="0.2">
      <c r="A138" s="71">
        <v>131</v>
      </c>
      <c r="B138" s="80"/>
      <c r="C138" s="144"/>
      <c r="D138" s="144"/>
      <c r="E138" s="81"/>
      <c r="F138" s="82"/>
      <c r="G138" s="81"/>
      <c r="H138" s="83"/>
      <c r="I138" s="65" t="str">
        <f>'Berechnungen 1'!P142</f>
        <v/>
      </c>
      <c r="J138" s="185">
        <f>IF(OR(ISBLANK(E138),ISBLANK(F138)),IF(AND(ISBLANK(B138),ISBLANK(C138),ISBLANK(D138),ISBLANK(E138),ISBLANK(F138),ISBLANK(G138),ISBLANK(H138)),St.Wert_Schritt2.keineAngaben,St.Wert_Schritt2.fehlendeAngaben),'Berechnungen 1'!O142)</f>
        <v>999</v>
      </c>
    </row>
    <row r="139" spans="1:10" x14ac:dyDescent="0.2">
      <c r="A139" s="71">
        <v>132</v>
      </c>
      <c r="B139" s="80"/>
      <c r="C139" s="144"/>
      <c r="D139" s="144"/>
      <c r="E139" s="81"/>
      <c r="F139" s="82"/>
      <c r="G139" s="81"/>
      <c r="H139" s="83"/>
      <c r="I139" s="65" t="str">
        <f>'Berechnungen 1'!P143</f>
        <v/>
      </c>
      <c r="J139" s="185">
        <f>IF(OR(ISBLANK(E139),ISBLANK(F139)),IF(AND(ISBLANK(B139),ISBLANK(C139),ISBLANK(D139),ISBLANK(E139),ISBLANK(F139),ISBLANK(G139),ISBLANK(H139)),St.Wert_Schritt2.keineAngaben,St.Wert_Schritt2.fehlendeAngaben),'Berechnungen 1'!O143)</f>
        <v>999</v>
      </c>
    </row>
    <row r="140" spans="1:10" x14ac:dyDescent="0.2">
      <c r="A140" s="71">
        <v>133</v>
      </c>
      <c r="B140" s="80"/>
      <c r="C140" s="144"/>
      <c r="D140" s="144"/>
      <c r="E140" s="81"/>
      <c r="F140" s="82"/>
      <c r="G140" s="81"/>
      <c r="H140" s="83"/>
      <c r="I140" s="65" t="str">
        <f>'Berechnungen 1'!P144</f>
        <v/>
      </c>
      <c r="J140" s="185">
        <f>IF(OR(ISBLANK(E140),ISBLANK(F140)),IF(AND(ISBLANK(B140),ISBLANK(C140),ISBLANK(D140),ISBLANK(E140),ISBLANK(F140),ISBLANK(G140),ISBLANK(H140)),St.Wert_Schritt2.keineAngaben,St.Wert_Schritt2.fehlendeAngaben),'Berechnungen 1'!O144)</f>
        <v>999</v>
      </c>
    </row>
    <row r="141" spans="1:10" x14ac:dyDescent="0.2">
      <c r="A141" s="71">
        <v>134</v>
      </c>
      <c r="B141" s="80"/>
      <c r="C141" s="144"/>
      <c r="D141" s="144"/>
      <c r="E141" s="81"/>
      <c r="F141" s="82"/>
      <c r="G141" s="81"/>
      <c r="H141" s="83"/>
      <c r="I141" s="65" t="str">
        <f>'Berechnungen 1'!P145</f>
        <v/>
      </c>
      <c r="J141" s="185">
        <f>IF(OR(ISBLANK(E141),ISBLANK(F141)),IF(AND(ISBLANK(B141),ISBLANK(C141),ISBLANK(D141),ISBLANK(E141),ISBLANK(F141),ISBLANK(G141),ISBLANK(H141)),St.Wert_Schritt2.keineAngaben,St.Wert_Schritt2.fehlendeAngaben),'Berechnungen 1'!O145)</f>
        <v>999</v>
      </c>
    </row>
    <row r="142" spans="1:10" x14ac:dyDescent="0.2">
      <c r="A142" s="71">
        <v>135</v>
      </c>
      <c r="B142" s="80"/>
      <c r="C142" s="144"/>
      <c r="D142" s="144"/>
      <c r="E142" s="81"/>
      <c r="F142" s="82"/>
      <c r="G142" s="81"/>
      <c r="H142" s="83"/>
      <c r="I142" s="65" t="str">
        <f>'Berechnungen 1'!P146</f>
        <v/>
      </c>
      <c r="J142" s="185">
        <f>IF(OR(ISBLANK(E142),ISBLANK(F142)),IF(AND(ISBLANK(B142),ISBLANK(C142),ISBLANK(D142),ISBLANK(E142),ISBLANK(F142),ISBLANK(G142),ISBLANK(H142)),St.Wert_Schritt2.keineAngaben,St.Wert_Schritt2.fehlendeAngaben),'Berechnungen 1'!O146)</f>
        <v>999</v>
      </c>
    </row>
    <row r="143" spans="1:10" x14ac:dyDescent="0.2">
      <c r="A143" s="71">
        <v>136</v>
      </c>
      <c r="B143" s="80"/>
      <c r="C143" s="144"/>
      <c r="D143" s="144"/>
      <c r="E143" s="81"/>
      <c r="F143" s="82"/>
      <c r="G143" s="81"/>
      <c r="H143" s="83"/>
      <c r="I143" s="65" t="str">
        <f>'Berechnungen 1'!P147</f>
        <v/>
      </c>
      <c r="J143" s="185">
        <f>IF(OR(ISBLANK(E143),ISBLANK(F143)),IF(AND(ISBLANK(B143),ISBLANK(C143),ISBLANK(D143),ISBLANK(E143),ISBLANK(F143),ISBLANK(G143),ISBLANK(H143)),St.Wert_Schritt2.keineAngaben,St.Wert_Schritt2.fehlendeAngaben),'Berechnungen 1'!O147)</f>
        <v>999</v>
      </c>
    </row>
    <row r="144" spans="1:10" x14ac:dyDescent="0.2">
      <c r="A144" s="71">
        <v>137</v>
      </c>
      <c r="B144" s="80"/>
      <c r="C144" s="144"/>
      <c r="D144" s="144"/>
      <c r="E144" s="81"/>
      <c r="F144" s="82"/>
      <c r="G144" s="81"/>
      <c r="H144" s="83"/>
      <c r="I144" s="65" t="str">
        <f>'Berechnungen 1'!P148</f>
        <v/>
      </c>
      <c r="J144" s="185">
        <f>IF(OR(ISBLANK(E144),ISBLANK(F144)),IF(AND(ISBLANK(B144),ISBLANK(C144),ISBLANK(D144),ISBLANK(E144),ISBLANK(F144),ISBLANK(G144),ISBLANK(H144)),St.Wert_Schritt2.keineAngaben,St.Wert_Schritt2.fehlendeAngaben),'Berechnungen 1'!O148)</f>
        <v>999</v>
      </c>
    </row>
    <row r="145" spans="1:10" x14ac:dyDescent="0.2">
      <c r="A145" s="71">
        <v>138</v>
      </c>
      <c r="B145" s="80"/>
      <c r="C145" s="144"/>
      <c r="D145" s="144"/>
      <c r="E145" s="81"/>
      <c r="F145" s="82"/>
      <c r="G145" s="81"/>
      <c r="H145" s="83"/>
      <c r="I145" s="65" t="str">
        <f>'Berechnungen 1'!P149</f>
        <v/>
      </c>
      <c r="J145" s="185">
        <f>IF(OR(ISBLANK(E145),ISBLANK(F145)),IF(AND(ISBLANK(B145),ISBLANK(C145),ISBLANK(D145),ISBLANK(E145),ISBLANK(F145),ISBLANK(G145),ISBLANK(H145)),St.Wert_Schritt2.keineAngaben,St.Wert_Schritt2.fehlendeAngaben),'Berechnungen 1'!O149)</f>
        <v>999</v>
      </c>
    </row>
    <row r="146" spans="1:10" x14ac:dyDescent="0.2">
      <c r="A146" s="71">
        <v>139</v>
      </c>
      <c r="B146" s="80"/>
      <c r="C146" s="144"/>
      <c r="D146" s="144"/>
      <c r="E146" s="81"/>
      <c r="F146" s="82"/>
      <c r="G146" s="81"/>
      <c r="H146" s="83"/>
      <c r="I146" s="65" t="str">
        <f>'Berechnungen 1'!P150</f>
        <v/>
      </c>
      <c r="J146" s="185">
        <f>IF(OR(ISBLANK(E146),ISBLANK(F146)),IF(AND(ISBLANK(B146),ISBLANK(C146),ISBLANK(D146),ISBLANK(E146),ISBLANK(F146),ISBLANK(G146),ISBLANK(H146)),St.Wert_Schritt2.keineAngaben,St.Wert_Schritt2.fehlendeAngaben),'Berechnungen 1'!O150)</f>
        <v>999</v>
      </c>
    </row>
    <row r="147" spans="1:10" x14ac:dyDescent="0.2">
      <c r="A147" s="71">
        <v>140</v>
      </c>
      <c r="B147" s="80"/>
      <c r="C147" s="144"/>
      <c r="D147" s="144"/>
      <c r="E147" s="81"/>
      <c r="F147" s="82"/>
      <c r="G147" s="81"/>
      <c r="H147" s="83"/>
      <c r="I147" s="65" t="str">
        <f>'Berechnungen 1'!P151</f>
        <v/>
      </c>
      <c r="J147" s="185">
        <f>IF(OR(ISBLANK(E147),ISBLANK(F147)),IF(AND(ISBLANK(B147),ISBLANK(C147),ISBLANK(D147),ISBLANK(E147),ISBLANK(F147),ISBLANK(G147),ISBLANK(H147)),St.Wert_Schritt2.keineAngaben,St.Wert_Schritt2.fehlendeAngaben),'Berechnungen 1'!O151)</f>
        <v>999</v>
      </c>
    </row>
    <row r="148" spans="1:10" x14ac:dyDescent="0.2">
      <c r="A148" s="71">
        <v>141</v>
      </c>
      <c r="B148" s="80"/>
      <c r="C148" s="144"/>
      <c r="D148" s="144"/>
      <c r="E148" s="81"/>
      <c r="F148" s="82"/>
      <c r="G148" s="81"/>
      <c r="H148" s="83"/>
      <c r="I148" s="65" t="str">
        <f>'Berechnungen 1'!P152</f>
        <v/>
      </c>
      <c r="J148" s="185">
        <f>IF(OR(ISBLANK(E148),ISBLANK(F148)),IF(AND(ISBLANK(B148),ISBLANK(C148),ISBLANK(D148),ISBLANK(E148),ISBLANK(F148),ISBLANK(G148),ISBLANK(H148)),St.Wert_Schritt2.keineAngaben,St.Wert_Schritt2.fehlendeAngaben),'Berechnungen 1'!O152)</f>
        <v>999</v>
      </c>
    </row>
    <row r="149" spans="1:10" x14ac:dyDescent="0.2">
      <c r="A149" s="71">
        <v>142</v>
      </c>
      <c r="B149" s="80"/>
      <c r="C149" s="144"/>
      <c r="D149" s="144"/>
      <c r="E149" s="81"/>
      <c r="F149" s="82"/>
      <c r="G149" s="81"/>
      <c r="H149" s="83"/>
      <c r="I149" s="65" t="str">
        <f>'Berechnungen 1'!P153</f>
        <v/>
      </c>
      <c r="J149" s="185">
        <f>IF(OR(ISBLANK(E149),ISBLANK(F149)),IF(AND(ISBLANK(B149),ISBLANK(C149),ISBLANK(D149),ISBLANK(E149),ISBLANK(F149),ISBLANK(G149),ISBLANK(H149)),St.Wert_Schritt2.keineAngaben,St.Wert_Schritt2.fehlendeAngaben),'Berechnungen 1'!O153)</f>
        <v>999</v>
      </c>
    </row>
    <row r="150" spans="1:10" x14ac:dyDescent="0.2">
      <c r="A150" s="71">
        <v>143</v>
      </c>
      <c r="B150" s="80"/>
      <c r="C150" s="144"/>
      <c r="D150" s="144"/>
      <c r="E150" s="81"/>
      <c r="F150" s="82"/>
      <c r="G150" s="81"/>
      <c r="H150" s="83"/>
      <c r="I150" s="65" t="str">
        <f>'Berechnungen 1'!P154</f>
        <v/>
      </c>
      <c r="J150" s="185">
        <f>IF(OR(ISBLANK(E150),ISBLANK(F150)),IF(AND(ISBLANK(B150),ISBLANK(C150),ISBLANK(D150),ISBLANK(E150),ISBLANK(F150),ISBLANK(G150),ISBLANK(H150)),St.Wert_Schritt2.keineAngaben,St.Wert_Schritt2.fehlendeAngaben),'Berechnungen 1'!O154)</f>
        <v>999</v>
      </c>
    </row>
    <row r="151" spans="1:10" x14ac:dyDescent="0.2">
      <c r="A151" s="71">
        <v>144</v>
      </c>
      <c r="B151" s="80"/>
      <c r="C151" s="144"/>
      <c r="D151" s="144"/>
      <c r="E151" s="81"/>
      <c r="F151" s="82"/>
      <c r="G151" s="81"/>
      <c r="H151" s="83"/>
      <c r="I151" s="65" t="str">
        <f>'Berechnungen 1'!P155</f>
        <v/>
      </c>
      <c r="J151" s="185">
        <f>IF(OR(ISBLANK(E151),ISBLANK(F151)),IF(AND(ISBLANK(B151),ISBLANK(C151),ISBLANK(D151),ISBLANK(E151),ISBLANK(F151),ISBLANK(G151),ISBLANK(H151)),St.Wert_Schritt2.keineAngaben,St.Wert_Schritt2.fehlendeAngaben),'Berechnungen 1'!O155)</f>
        <v>999</v>
      </c>
    </row>
    <row r="152" spans="1:10" x14ac:dyDescent="0.2">
      <c r="A152" s="71">
        <v>145</v>
      </c>
      <c r="B152" s="80"/>
      <c r="C152" s="144"/>
      <c r="D152" s="144"/>
      <c r="E152" s="81"/>
      <c r="F152" s="82"/>
      <c r="G152" s="81"/>
      <c r="H152" s="83"/>
      <c r="I152" s="65" t="str">
        <f>'Berechnungen 1'!P156</f>
        <v/>
      </c>
      <c r="J152" s="185">
        <f>IF(OR(ISBLANK(E152),ISBLANK(F152)),IF(AND(ISBLANK(B152),ISBLANK(C152),ISBLANK(D152),ISBLANK(E152),ISBLANK(F152),ISBLANK(G152),ISBLANK(H152)),St.Wert_Schritt2.keineAngaben,St.Wert_Schritt2.fehlendeAngaben),'Berechnungen 1'!O156)</f>
        <v>999</v>
      </c>
    </row>
    <row r="153" spans="1:10" x14ac:dyDescent="0.2">
      <c r="A153" s="71">
        <v>146</v>
      </c>
      <c r="B153" s="80"/>
      <c r="C153" s="144"/>
      <c r="D153" s="144"/>
      <c r="E153" s="81"/>
      <c r="F153" s="82"/>
      <c r="G153" s="81"/>
      <c r="H153" s="83"/>
      <c r="I153" s="65" t="str">
        <f>'Berechnungen 1'!P157</f>
        <v/>
      </c>
      <c r="J153" s="185">
        <f>IF(OR(ISBLANK(E153),ISBLANK(F153)),IF(AND(ISBLANK(B153),ISBLANK(C153),ISBLANK(D153),ISBLANK(E153),ISBLANK(F153),ISBLANK(G153),ISBLANK(H153)),St.Wert_Schritt2.keineAngaben,St.Wert_Schritt2.fehlendeAngaben),'Berechnungen 1'!O157)</f>
        <v>999</v>
      </c>
    </row>
    <row r="154" spans="1:10" x14ac:dyDescent="0.2">
      <c r="A154" s="71">
        <v>147</v>
      </c>
      <c r="B154" s="80"/>
      <c r="C154" s="144"/>
      <c r="D154" s="144"/>
      <c r="E154" s="81"/>
      <c r="F154" s="82"/>
      <c r="G154" s="81"/>
      <c r="H154" s="83"/>
      <c r="I154" s="65" t="str">
        <f>'Berechnungen 1'!P158</f>
        <v/>
      </c>
      <c r="J154" s="185">
        <f>IF(OR(ISBLANK(E154),ISBLANK(F154)),IF(AND(ISBLANK(B154),ISBLANK(C154),ISBLANK(D154),ISBLANK(E154),ISBLANK(F154),ISBLANK(G154),ISBLANK(H154)),St.Wert_Schritt2.keineAngaben,St.Wert_Schritt2.fehlendeAngaben),'Berechnungen 1'!O158)</f>
        <v>999</v>
      </c>
    </row>
    <row r="155" spans="1:10" x14ac:dyDescent="0.2">
      <c r="A155" s="71">
        <v>148</v>
      </c>
      <c r="B155" s="80"/>
      <c r="C155" s="144"/>
      <c r="D155" s="144"/>
      <c r="E155" s="81"/>
      <c r="F155" s="82"/>
      <c r="G155" s="81"/>
      <c r="H155" s="83"/>
      <c r="I155" s="65" t="str">
        <f>'Berechnungen 1'!P159</f>
        <v/>
      </c>
      <c r="J155" s="185">
        <f>IF(OR(ISBLANK(E155),ISBLANK(F155)),IF(AND(ISBLANK(B155),ISBLANK(C155),ISBLANK(D155),ISBLANK(E155),ISBLANK(F155),ISBLANK(G155),ISBLANK(H155)),St.Wert_Schritt2.keineAngaben,St.Wert_Schritt2.fehlendeAngaben),'Berechnungen 1'!O159)</f>
        <v>999</v>
      </c>
    </row>
    <row r="156" spans="1:10" x14ac:dyDescent="0.2">
      <c r="A156" s="71">
        <v>149</v>
      </c>
      <c r="B156" s="80"/>
      <c r="C156" s="144"/>
      <c r="D156" s="144"/>
      <c r="E156" s="81"/>
      <c r="F156" s="82"/>
      <c r="G156" s="81"/>
      <c r="H156" s="83"/>
      <c r="I156" s="65" t="str">
        <f>'Berechnungen 1'!P160</f>
        <v/>
      </c>
      <c r="J156" s="185">
        <f>IF(OR(ISBLANK(E156),ISBLANK(F156)),IF(AND(ISBLANK(B156),ISBLANK(C156),ISBLANK(D156),ISBLANK(E156),ISBLANK(F156),ISBLANK(G156),ISBLANK(H156)),St.Wert_Schritt2.keineAngaben,St.Wert_Schritt2.fehlendeAngaben),'Berechnungen 1'!O160)</f>
        <v>999</v>
      </c>
    </row>
    <row r="157" spans="1:10" x14ac:dyDescent="0.2">
      <c r="A157" s="71">
        <v>150</v>
      </c>
      <c r="B157" s="80"/>
      <c r="C157" s="144"/>
      <c r="D157" s="144"/>
      <c r="E157" s="81"/>
      <c r="F157" s="82"/>
      <c r="G157" s="81"/>
      <c r="H157" s="83"/>
      <c r="I157" s="65" t="str">
        <f>'Berechnungen 1'!P161</f>
        <v/>
      </c>
      <c r="J157" s="185">
        <f>IF(OR(ISBLANK(E157),ISBLANK(F157)),IF(AND(ISBLANK(B157),ISBLANK(C157),ISBLANK(D157),ISBLANK(E157),ISBLANK(F157),ISBLANK(G157),ISBLANK(H157)),St.Wert_Schritt2.keineAngaben,St.Wert_Schritt2.fehlendeAngaben),'Berechnungen 1'!O161)</f>
        <v>999</v>
      </c>
    </row>
    <row r="158" spans="1:10" x14ac:dyDescent="0.2">
      <c r="A158" s="71">
        <v>151</v>
      </c>
      <c r="B158" s="80"/>
      <c r="C158" s="144"/>
      <c r="D158" s="144"/>
      <c r="E158" s="81"/>
      <c r="F158" s="82"/>
      <c r="G158" s="81"/>
      <c r="H158" s="83"/>
      <c r="I158" s="65" t="str">
        <f>'Berechnungen 1'!P162</f>
        <v/>
      </c>
      <c r="J158" s="185">
        <f>IF(OR(ISBLANK(E158),ISBLANK(F158)),IF(AND(ISBLANK(B158),ISBLANK(C158),ISBLANK(D158),ISBLANK(E158),ISBLANK(F158),ISBLANK(G158),ISBLANK(H158)),St.Wert_Schritt2.keineAngaben,St.Wert_Schritt2.fehlendeAngaben),'Berechnungen 1'!O162)</f>
        <v>999</v>
      </c>
    </row>
    <row r="159" spans="1:10" x14ac:dyDescent="0.2">
      <c r="A159" s="71">
        <v>152</v>
      </c>
      <c r="B159" s="80"/>
      <c r="C159" s="144"/>
      <c r="D159" s="144"/>
      <c r="E159" s="81"/>
      <c r="F159" s="82"/>
      <c r="G159" s="81"/>
      <c r="H159" s="83"/>
      <c r="I159" s="65" t="str">
        <f>'Berechnungen 1'!P163</f>
        <v/>
      </c>
      <c r="J159" s="185">
        <f>IF(OR(ISBLANK(E159),ISBLANK(F159)),IF(AND(ISBLANK(B159),ISBLANK(C159),ISBLANK(D159),ISBLANK(E159),ISBLANK(F159),ISBLANK(G159),ISBLANK(H159)),St.Wert_Schritt2.keineAngaben,St.Wert_Schritt2.fehlendeAngaben),'Berechnungen 1'!O163)</f>
        <v>999</v>
      </c>
    </row>
    <row r="160" spans="1:10" x14ac:dyDescent="0.2">
      <c r="A160" s="71">
        <v>153</v>
      </c>
      <c r="B160" s="80"/>
      <c r="C160" s="144"/>
      <c r="D160" s="144"/>
      <c r="E160" s="81"/>
      <c r="F160" s="82"/>
      <c r="G160" s="81"/>
      <c r="H160" s="83"/>
      <c r="I160" s="65" t="str">
        <f>'Berechnungen 1'!P164</f>
        <v/>
      </c>
      <c r="J160" s="185">
        <f>IF(OR(ISBLANK(E160),ISBLANK(F160)),IF(AND(ISBLANK(B160),ISBLANK(C160),ISBLANK(D160),ISBLANK(E160),ISBLANK(F160),ISBLANK(G160),ISBLANK(H160)),St.Wert_Schritt2.keineAngaben,St.Wert_Schritt2.fehlendeAngaben),'Berechnungen 1'!O164)</f>
        <v>999</v>
      </c>
    </row>
    <row r="161" spans="1:10" x14ac:dyDescent="0.2">
      <c r="A161" s="71">
        <v>154</v>
      </c>
      <c r="B161" s="80"/>
      <c r="C161" s="144"/>
      <c r="D161" s="144"/>
      <c r="E161" s="81"/>
      <c r="F161" s="82"/>
      <c r="G161" s="81"/>
      <c r="H161" s="83"/>
      <c r="I161" s="65" t="str">
        <f>'Berechnungen 1'!P165</f>
        <v/>
      </c>
      <c r="J161" s="185">
        <f>IF(OR(ISBLANK(E161),ISBLANK(F161)),IF(AND(ISBLANK(B161),ISBLANK(C161),ISBLANK(D161),ISBLANK(E161),ISBLANK(F161),ISBLANK(G161),ISBLANK(H161)),St.Wert_Schritt2.keineAngaben,St.Wert_Schritt2.fehlendeAngaben),'Berechnungen 1'!O165)</f>
        <v>999</v>
      </c>
    </row>
    <row r="162" spans="1:10" x14ac:dyDescent="0.2">
      <c r="A162" s="71">
        <v>155</v>
      </c>
      <c r="B162" s="80"/>
      <c r="C162" s="144"/>
      <c r="D162" s="144"/>
      <c r="E162" s="81"/>
      <c r="F162" s="82"/>
      <c r="G162" s="81"/>
      <c r="H162" s="83"/>
      <c r="I162" s="65" t="str">
        <f>'Berechnungen 1'!P166</f>
        <v/>
      </c>
      <c r="J162" s="185">
        <f>IF(OR(ISBLANK(E162),ISBLANK(F162)),IF(AND(ISBLANK(B162),ISBLANK(C162),ISBLANK(D162),ISBLANK(E162),ISBLANK(F162),ISBLANK(G162),ISBLANK(H162)),St.Wert_Schritt2.keineAngaben,St.Wert_Schritt2.fehlendeAngaben),'Berechnungen 1'!O166)</f>
        <v>999</v>
      </c>
    </row>
    <row r="163" spans="1:10" x14ac:dyDescent="0.2">
      <c r="A163" s="71">
        <v>156</v>
      </c>
      <c r="B163" s="80"/>
      <c r="C163" s="144"/>
      <c r="D163" s="144"/>
      <c r="E163" s="81"/>
      <c r="F163" s="82"/>
      <c r="G163" s="81"/>
      <c r="H163" s="83"/>
      <c r="I163" s="65" t="str">
        <f>'Berechnungen 1'!P167</f>
        <v/>
      </c>
      <c r="J163" s="185">
        <f>IF(OR(ISBLANK(E163),ISBLANK(F163)),IF(AND(ISBLANK(B163),ISBLANK(C163),ISBLANK(D163),ISBLANK(E163),ISBLANK(F163),ISBLANK(G163),ISBLANK(H163)),St.Wert_Schritt2.keineAngaben,St.Wert_Schritt2.fehlendeAngaben),'Berechnungen 1'!O167)</f>
        <v>999</v>
      </c>
    </row>
    <row r="164" spans="1:10" x14ac:dyDescent="0.2">
      <c r="A164" s="71">
        <v>157</v>
      </c>
      <c r="B164" s="80"/>
      <c r="C164" s="144"/>
      <c r="D164" s="144"/>
      <c r="E164" s="81"/>
      <c r="F164" s="82"/>
      <c r="G164" s="81"/>
      <c r="H164" s="83"/>
      <c r="I164" s="65" t="str">
        <f>'Berechnungen 1'!P168</f>
        <v/>
      </c>
      <c r="J164" s="185">
        <f>IF(OR(ISBLANK(E164),ISBLANK(F164)),IF(AND(ISBLANK(B164),ISBLANK(C164),ISBLANK(D164),ISBLANK(E164),ISBLANK(F164),ISBLANK(G164),ISBLANK(H164)),St.Wert_Schritt2.keineAngaben,St.Wert_Schritt2.fehlendeAngaben),'Berechnungen 1'!O168)</f>
        <v>999</v>
      </c>
    </row>
    <row r="165" spans="1:10" x14ac:dyDescent="0.2">
      <c r="A165" s="71">
        <v>158</v>
      </c>
      <c r="B165" s="80"/>
      <c r="C165" s="144"/>
      <c r="D165" s="144"/>
      <c r="E165" s="81"/>
      <c r="F165" s="82"/>
      <c r="G165" s="81"/>
      <c r="H165" s="83"/>
      <c r="I165" s="65" t="str">
        <f>'Berechnungen 1'!P169</f>
        <v/>
      </c>
      <c r="J165" s="185">
        <f>IF(OR(ISBLANK(E165),ISBLANK(F165)),IF(AND(ISBLANK(B165),ISBLANK(C165),ISBLANK(D165),ISBLANK(E165),ISBLANK(F165),ISBLANK(G165),ISBLANK(H165)),St.Wert_Schritt2.keineAngaben,St.Wert_Schritt2.fehlendeAngaben),'Berechnungen 1'!O169)</f>
        <v>999</v>
      </c>
    </row>
    <row r="166" spans="1:10" x14ac:dyDescent="0.2">
      <c r="A166" s="71">
        <v>159</v>
      </c>
      <c r="B166" s="80"/>
      <c r="C166" s="144"/>
      <c r="D166" s="144"/>
      <c r="E166" s="81"/>
      <c r="F166" s="82"/>
      <c r="G166" s="81"/>
      <c r="H166" s="83"/>
      <c r="I166" s="65" t="str">
        <f>'Berechnungen 1'!P170</f>
        <v/>
      </c>
      <c r="J166" s="185">
        <f>IF(OR(ISBLANK(E166),ISBLANK(F166)),IF(AND(ISBLANK(B166),ISBLANK(C166),ISBLANK(D166),ISBLANK(E166),ISBLANK(F166),ISBLANK(G166),ISBLANK(H166)),St.Wert_Schritt2.keineAngaben,St.Wert_Schritt2.fehlendeAngaben),'Berechnungen 1'!O170)</f>
        <v>999</v>
      </c>
    </row>
    <row r="167" spans="1:10" x14ac:dyDescent="0.2">
      <c r="A167" s="71">
        <v>160</v>
      </c>
      <c r="B167" s="80"/>
      <c r="C167" s="144"/>
      <c r="D167" s="144"/>
      <c r="E167" s="81"/>
      <c r="F167" s="82"/>
      <c r="G167" s="81"/>
      <c r="H167" s="83"/>
      <c r="I167" s="65" t="str">
        <f>'Berechnungen 1'!P171</f>
        <v/>
      </c>
      <c r="J167" s="185">
        <f>IF(OR(ISBLANK(E167),ISBLANK(F167)),IF(AND(ISBLANK(B167),ISBLANK(C167),ISBLANK(D167),ISBLANK(E167),ISBLANK(F167),ISBLANK(G167),ISBLANK(H167)),St.Wert_Schritt2.keineAngaben,St.Wert_Schritt2.fehlendeAngaben),'Berechnungen 1'!O171)</f>
        <v>999</v>
      </c>
    </row>
    <row r="168" spans="1:10" x14ac:dyDescent="0.2">
      <c r="A168" s="71">
        <v>161</v>
      </c>
      <c r="B168" s="80"/>
      <c r="C168" s="144"/>
      <c r="D168" s="144"/>
      <c r="E168" s="81"/>
      <c r="F168" s="82"/>
      <c r="G168" s="81"/>
      <c r="H168" s="83"/>
      <c r="I168" s="65" t="str">
        <f>'Berechnungen 1'!P172</f>
        <v/>
      </c>
      <c r="J168" s="185">
        <f>IF(OR(ISBLANK(E168),ISBLANK(F168)),IF(AND(ISBLANK(B168),ISBLANK(C168),ISBLANK(D168),ISBLANK(E168),ISBLANK(F168),ISBLANK(G168),ISBLANK(H168)),St.Wert_Schritt2.keineAngaben,St.Wert_Schritt2.fehlendeAngaben),'Berechnungen 1'!O172)</f>
        <v>999</v>
      </c>
    </row>
    <row r="169" spans="1:10" x14ac:dyDescent="0.2">
      <c r="A169" s="71">
        <v>162</v>
      </c>
      <c r="B169" s="80"/>
      <c r="C169" s="144"/>
      <c r="D169" s="144"/>
      <c r="E169" s="81"/>
      <c r="F169" s="82"/>
      <c r="G169" s="81"/>
      <c r="H169" s="83"/>
      <c r="I169" s="65" t="str">
        <f>'Berechnungen 1'!P173</f>
        <v/>
      </c>
      <c r="J169" s="185">
        <f>IF(OR(ISBLANK(E169),ISBLANK(F169)),IF(AND(ISBLANK(B169),ISBLANK(C169),ISBLANK(D169),ISBLANK(E169),ISBLANK(F169),ISBLANK(G169),ISBLANK(H169)),St.Wert_Schritt2.keineAngaben,St.Wert_Schritt2.fehlendeAngaben),'Berechnungen 1'!O173)</f>
        <v>999</v>
      </c>
    </row>
    <row r="170" spans="1:10" x14ac:dyDescent="0.2">
      <c r="A170" s="71">
        <v>163</v>
      </c>
      <c r="B170" s="80"/>
      <c r="C170" s="144"/>
      <c r="D170" s="144"/>
      <c r="E170" s="81"/>
      <c r="F170" s="82"/>
      <c r="G170" s="81"/>
      <c r="H170" s="83"/>
      <c r="I170" s="65" t="str">
        <f>'Berechnungen 1'!P174</f>
        <v/>
      </c>
      <c r="J170" s="185">
        <f>IF(OR(ISBLANK(E170),ISBLANK(F170)),IF(AND(ISBLANK(B170),ISBLANK(C170),ISBLANK(D170),ISBLANK(E170),ISBLANK(F170),ISBLANK(G170),ISBLANK(H170)),St.Wert_Schritt2.keineAngaben,St.Wert_Schritt2.fehlendeAngaben),'Berechnungen 1'!O174)</f>
        <v>999</v>
      </c>
    </row>
    <row r="171" spans="1:10" x14ac:dyDescent="0.2">
      <c r="A171" s="71">
        <v>164</v>
      </c>
      <c r="B171" s="80"/>
      <c r="C171" s="144"/>
      <c r="D171" s="144"/>
      <c r="E171" s="81"/>
      <c r="F171" s="82"/>
      <c r="G171" s="81"/>
      <c r="H171" s="83"/>
      <c r="I171" s="65" t="str">
        <f>'Berechnungen 1'!P175</f>
        <v/>
      </c>
      <c r="J171" s="185">
        <f>IF(OR(ISBLANK(E171),ISBLANK(F171)),IF(AND(ISBLANK(B171),ISBLANK(C171),ISBLANK(D171),ISBLANK(E171),ISBLANK(F171),ISBLANK(G171),ISBLANK(H171)),St.Wert_Schritt2.keineAngaben,St.Wert_Schritt2.fehlendeAngaben),'Berechnungen 1'!O175)</f>
        <v>999</v>
      </c>
    </row>
    <row r="172" spans="1:10" x14ac:dyDescent="0.2">
      <c r="A172" s="71">
        <v>165</v>
      </c>
      <c r="B172" s="80"/>
      <c r="C172" s="144"/>
      <c r="D172" s="144"/>
      <c r="E172" s="81"/>
      <c r="F172" s="82"/>
      <c r="G172" s="81"/>
      <c r="H172" s="83"/>
      <c r="I172" s="65" t="str">
        <f>'Berechnungen 1'!P176</f>
        <v/>
      </c>
      <c r="J172" s="185">
        <f>IF(OR(ISBLANK(E172),ISBLANK(F172)),IF(AND(ISBLANK(B172),ISBLANK(C172),ISBLANK(D172),ISBLANK(E172),ISBLANK(F172),ISBLANK(G172),ISBLANK(H172)),St.Wert_Schritt2.keineAngaben,St.Wert_Schritt2.fehlendeAngaben),'Berechnungen 1'!O176)</f>
        <v>999</v>
      </c>
    </row>
    <row r="173" spans="1:10" x14ac:dyDescent="0.2">
      <c r="A173" s="71">
        <v>166</v>
      </c>
      <c r="B173" s="80"/>
      <c r="C173" s="144"/>
      <c r="D173" s="144"/>
      <c r="E173" s="81"/>
      <c r="F173" s="82"/>
      <c r="G173" s="81"/>
      <c r="H173" s="83"/>
      <c r="I173" s="65" t="str">
        <f>'Berechnungen 1'!P177</f>
        <v/>
      </c>
      <c r="J173" s="185">
        <f>IF(OR(ISBLANK(E173),ISBLANK(F173)),IF(AND(ISBLANK(B173),ISBLANK(C173),ISBLANK(D173),ISBLANK(E173),ISBLANK(F173),ISBLANK(G173),ISBLANK(H173)),St.Wert_Schritt2.keineAngaben,St.Wert_Schritt2.fehlendeAngaben),'Berechnungen 1'!O177)</f>
        <v>999</v>
      </c>
    </row>
    <row r="174" spans="1:10" x14ac:dyDescent="0.2">
      <c r="A174" s="71">
        <v>167</v>
      </c>
      <c r="B174" s="80"/>
      <c r="C174" s="144"/>
      <c r="D174" s="144"/>
      <c r="E174" s="81"/>
      <c r="F174" s="82"/>
      <c r="G174" s="81"/>
      <c r="H174" s="83"/>
      <c r="I174" s="65" t="str">
        <f>'Berechnungen 1'!P178</f>
        <v/>
      </c>
      <c r="J174" s="185">
        <f>IF(OR(ISBLANK(E174),ISBLANK(F174)),IF(AND(ISBLANK(B174),ISBLANK(C174),ISBLANK(D174),ISBLANK(E174),ISBLANK(F174),ISBLANK(G174),ISBLANK(H174)),St.Wert_Schritt2.keineAngaben,St.Wert_Schritt2.fehlendeAngaben),'Berechnungen 1'!O178)</f>
        <v>999</v>
      </c>
    </row>
    <row r="175" spans="1:10" x14ac:dyDescent="0.2">
      <c r="A175" s="71">
        <v>168</v>
      </c>
      <c r="B175" s="80"/>
      <c r="C175" s="144"/>
      <c r="D175" s="144"/>
      <c r="E175" s="81"/>
      <c r="F175" s="82"/>
      <c r="G175" s="81"/>
      <c r="H175" s="83"/>
      <c r="I175" s="65" t="str">
        <f>'Berechnungen 1'!P179</f>
        <v/>
      </c>
      <c r="J175" s="185">
        <f>IF(OR(ISBLANK(E175),ISBLANK(F175)),IF(AND(ISBLANK(B175),ISBLANK(C175),ISBLANK(D175),ISBLANK(E175),ISBLANK(F175),ISBLANK(G175),ISBLANK(H175)),St.Wert_Schritt2.keineAngaben,St.Wert_Schritt2.fehlendeAngaben),'Berechnungen 1'!O179)</f>
        <v>999</v>
      </c>
    </row>
    <row r="176" spans="1:10" x14ac:dyDescent="0.2">
      <c r="A176" s="71">
        <v>169</v>
      </c>
      <c r="B176" s="80"/>
      <c r="C176" s="144"/>
      <c r="D176" s="144"/>
      <c r="E176" s="81"/>
      <c r="F176" s="82"/>
      <c r="G176" s="81"/>
      <c r="H176" s="83"/>
      <c r="I176" s="65" t="str">
        <f>'Berechnungen 1'!P180</f>
        <v/>
      </c>
      <c r="J176" s="185">
        <f>IF(OR(ISBLANK(E176),ISBLANK(F176)),IF(AND(ISBLANK(B176),ISBLANK(C176),ISBLANK(D176),ISBLANK(E176),ISBLANK(F176),ISBLANK(G176),ISBLANK(H176)),St.Wert_Schritt2.keineAngaben,St.Wert_Schritt2.fehlendeAngaben),'Berechnungen 1'!O180)</f>
        <v>999</v>
      </c>
    </row>
    <row r="177" spans="1:10" x14ac:dyDescent="0.2">
      <c r="A177" s="71">
        <v>170</v>
      </c>
      <c r="B177" s="80"/>
      <c r="C177" s="144"/>
      <c r="D177" s="144"/>
      <c r="E177" s="81"/>
      <c r="F177" s="82"/>
      <c r="G177" s="81"/>
      <c r="H177" s="83"/>
      <c r="I177" s="65" t="str">
        <f>'Berechnungen 1'!P181</f>
        <v/>
      </c>
      <c r="J177" s="185">
        <f>IF(OR(ISBLANK(E177),ISBLANK(F177)),IF(AND(ISBLANK(B177),ISBLANK(C177),ISBLANK(D177),ISBLANK(E177),ISBLANK(F177),ISBLANK(G177),ISBLANK(H177)),St.Wert_Schritt2.keineAngaben,St.Wert_Schritt2.fehlendeAngaben),'Berechnungen 1'!O181)</f>
        <v>999</v>
      </c>
    </row>
    <row r="178" spans="1:10" x14ac:dyDescent="0.2">
      <c r="A178" s="71">
        <v>171</v>
      </c>
      <c r="B178" s="80"/>
      <c r="C178" s="144"/>
      <c r="D178" s="144"/>
      <c r="E178" s="81"/>
      <c r="F178" s="82"/>
      <c r="G178" s="81"/>
      <c r="H178" s="83"/>
      <c r="I178" s="65" t="str">
        <f>'Berechnungen 1'!P182</f>
        <v/>
      </c>
      <c r="J178" s="185">
        <f>IF(OR(ISBLANK(E178),ISBLANK(F178)),IF(AND(ISBLANK(B178),ISBLANK(C178),ISBLANK(D178),ISBLANK(E178),ISBLANK(F178),ISBLANK(G178),ISBLANK(H178)),St.Wert_Schritt2.keineAngaben,St.Wert_Schritt2.fehlendeAngaben),'Berechnungen 1'!O182)</f>
        <v>999</v>
      </c>
    </row>
    <row r="179" spans="1:10" x14ac:dyDescent="0.2">
      <c r="A179" s="71">
        <v>172</v>
      </c>
      <c r="B179" s="80"/>
      <c r="C179" s="144"/>
      <c r="D179" s="144"/>
      <c r="E179" s="81"/>
      <c r="F179" s="82"/>
      <c r="G179" s="81"/>
      <c r="H179" s="83"/>
      <c r="I179" s="65" t="str">
        <f>'Berechnungen 1'!P183</f>
        <v/>
      </c>
      <c r="J179" s="185">
        <f>IF(OR(ISBLANK(E179),ISBLANK(F179)),IF(AND(ISBLANK(B179),ISBLANK(C179),ISBLANK(D179),ISBLANK(E179),ISBLANK(F179),ISBLANK(G179),ISBLANK(H179)),St.Wert_Schritt2.keineAngaben,St.Wert_Schritt2.fehlendeAngaben),'Berechnungen 1'!O183)</f>
        <v>999</v>
      </c>
    </row>
    <row r="180" spans="1:10" x14ac:dyDescent="0.2">
      <c r="A180" s="71">
        <v>173</v>
      </c>
      <c r="B180" s="80"/>
      <c r="C180" s="144"/>
      <c r="D180" s="144"/>
      <c r="E180" s="81"/>
      <c r="F180" s="82"/>
      <c r="G180" s="81"/>
      <c r="H180" s="83"/>
      <c r="I180" s="65" t="str">
        <f>'Berechnungen 1'!P184</f>
        <v/>
      </c>
      <c r="J180" s="185">
        <f>IF(OR(ISBLANK(E180),ISBLANK(F180)),IF(AND(ISBLANK(B180),ISBLANK(C180),ISBLANK(D180),ISBLANK(E180),ISBLANK(F180),ISBLANK(G180),ISBLANK(H180)),St.Wert_Schritt2.keineAngaben,St.Wert_Schritt2.fehlendeAngaben),'Berechnungen 1'!O184)</f>
        <v>999</v>
      </c>
    </row>
    <row r="181" spans="1:10" x14ac:dyDescent="0.2">
      <c r="A181" s="71">
        <v>174</v>
      </c>
      <c r="B181" s="80"/>
      <c r="C181" s="144"/>
      <c r="D181" s="144"/>
      <c r="E181" s="81"/>
      <c r="F181" s="82"/>
      <c r="G181" s="81"/>
      <c r="H181" s="83"/>
      <c r="I181" s="65" t="str">
        <f>'Berechnungen 1'!P185</f>
        <v/>
      </c>
      <c r="J181" s="185">
        <f>IF(OR(ISBLANK(E181),ISBLANK(F181)),IF(AND(ISBLANK(B181),ISBLANK(C181),ISBLANK(D181),ISBLANK(E181),ISBLANK(F181),ISBLANK(G181),ISBLANK(H181)),St.Wert_Schritt2.keineAngaben,St.Wert_Schritt2.fehlendeAngaben),'Berechnungen 1'!O185)</f>
        <v>999</v>
      </c>
    </row>
    <row r="182" spans="1:10" x14ac:dyDescent="0.2">
      <c r="A182" s="71">
        <v>175</v>
      </c>
      <c r="B182" s="80"/>
      <c r="C182" s="144"/>
      <c r="D182" s="144"/>
      <c r="E182" s="81"/>
      <c r="F182" s="82"/>
      <c r="G182" s="81"/>
      <c r="H182" s="83"/>
      <c r="I182" s="65" t="str">
        <f>'Berechnungen 1'!P186</f>
        <v/>
      </c>
      <c r="J182" s="185">
        <f>IF(OR(ISBLANK(E182),ISBLANK(F182)),IF(AND(ISBLANK(B182),ISBLANK(C182),ISBLANK(D182),ISBLANK(E182),ISBLANK(F182),ISBLANK(G182),ISBLANK(H182)),St.Wert_Schritt2.keineAngaben,St.Wert_Schritt2.fehlendeAngaben),'Berechnungen 1'!O186)</f>
        <v>999</v>
      </c>
    </row>
    <row r="183" spans="1:10" x14ac:dyDescent="0.2">
      <c r="A183" s="71">
        <v>176</v>
      </c>
      <c r="B183" s="80"/>
      <c r="C183" s="144"/>
      <c r="D183" s="144"/>
      <c r="E183" s="81"/>
      <c r="F183" s="82"/>
      <c r="G183" s="81"/>
      <c r="H183" s="83"/>
      <c r="I183" s="65" t="str">
        <f>'Berechnungen 1'!P187</f>
        <v/>
      </c>
      <c r="J183" s="185">
        <f>IF(OR(ISBLANK(E183),ISBLANK(F183)),IF(AND(ISBLANK(B183),ISBLANK(C183),ISBLANK(D183),ISBLANK(E183),ISBLANK(F183),ISBLANK(G183),ISBLANK(H183)),St.Wert_Schritt2.keineAngaben,St.Wert_Schritt2.fehlendeAngaben),'Berechnungen 1'!O187)</f>
        <v>999</v>
      </c>
    </row>
    <row r="184" spans="1:10" x14ac:dyDescent="0.2">
      <c r="A184" s="71">
        <v>177</v>
      </c>
      <c r="B184" s="80"/>
      <c r="C184" s="144"/>
      <c r="D184" s="144"/>
      <c r="E184" s="81"/>
      <c r="F184" s="82"/>
      <c r="G184" s="81"/>
      <c r="H184" s="83"/>
      <c r="I184" s="65" t="str">
        <f>'Berechnungen 1'!P188</f>
        <v/>
      </c>
      <c r="J184" s="185">
        <f>IF(OR(ISBLANK(E184),ISBLANK(F184)),IF(AND(ISBLANK(B184),ISBLANK(C184),ISBLANK(D184),ISBLANK(E184),ISBLANK(F184),ISBLANK(G184),ISBLANK(H184)),St.Wert_Schritt2.keineAngaben,St.Wert_Schritt2.fehlendeAngaben),'Berechnungen 1'!O188)</f>
        <v>999</v>
      </c>
    </row>
    <row r="185" spans="1:10" x14ac:dyDescent="0.2">
      <c r="A185" s="71">
        <v>178</v>
      </c>
      <c r="B185" s="80"/>
      <c r="C185" s="144"/>
      <c r="D185" s="144"/>
      <c r="E185" s="81"/>
      <c r="F185" s="82"/>
      <c r="G185" s="81"/>
      <c r="H185" s="83"/>
      <c r="I185" s="65" t="str">
        <f>'Berechnungen 1'!P189</f>
        <v/>
      </c>
      <c r="J185" s="185">
        <f>IF(OR(ISBLANK(E185),ISBLANK(F185)),IF(AND(ISBLANK(B185),ISBLANK(C185),ISBLANK(D185),ISBLANK(E185),ISBLANK(F185),ISBLANK(G185),ISBLANK(H185)),St.Wert_Schritt2.keineAngaben,St.Wert_Schritt2.fehlendeAngaben),'Berechnungen 1'!O189)</f>
        <v>999</v>
      </c>
    </row>
    <row r="186" spans="1:10" x14ac:dyDescent="0.2">
      <c r="A186" s="71">
        <v>179</v>
      </c>
      <c r="B186" s="80"/>
      <c r="C186" s="144"/>
      <c r="D186" s="144"/>
      <c r="E186" s="81"/>
      <c r="F186" s="82"/>
      <c r="G186" s="81"/>
      <c r="H186" s="83"/>
      <c r="I186" s="65" t="str">
        <f>'Berechnungen 1'!P190</f>
        <v/>
      </c>
      <c r="J186" s="185">
        <f>IF(OR(ISBLANK(E186),ISBLANK(F186)),IF(AND(ISBLANK(B186),ISBLANK(C186),ISBLANK(D186),ISBLANK(E186),ISBLANK(F186),ISBLANK(G186),ISBLANK(H186)),St.Wert_Schritt2.keineAngaben,St.Wert_Schritt2.fehlendeAngaben),'Berechnungen 1'!O190)</f>
        <v>999</v>
      </c>
    </row>
    <row r="187" spans="1:10" x14ac:dyDescent="0.2">
      <c r="A187" s="71">
        <v>180</v>
      </c>
      <c r="B187" s="80"/>
      <c r="C187" s="144"/>
      <c r="D187" s="144"/>
      <c r="E187" s="81"/>
      <c r="F187" s="82"/>
      <c r="G187" s="81"/>
      <c r="H187" s="83"/>
      <c r="I187" s="65" t="str">
        <f>'Berechnungen 1'!P191</f>
        <v/>
      </c>
      <c r="J187" s="185">
        <f>IF(OR(ISBLANK(E187),ISBLANK(F187)),IF(AND(ISBLANK(B187),ISBLANK(C187),ISBLANK(D187),ISBLANK(E187),ISBLANK(F187),ISBLANK(G187),ISBLANK(H187)),St.Wert_Schritt2.keineAngaben,St.Wert_Schritt2.fehlendeAngaben),'Berechnungen 1'!O191)</f>
        <v>999</v>
      </c>
    </row>
    <row r="188" spans="1:10" x14ac:dyDescent="0.2">
      <c r="A188" s="71">
        <v>181</v>
      </c>
      <c r="B188" s="80"/>
      <c r="C188" s="144"/>
      <c r="D188" s="144"/>
      <c r="E188" s="81"/>
      <c r="F188" s="82"/>
      <c r="G188" s="81"/>
      <c r="H188" s="83"/>
      <c r="I188" s="65" t="str">
        <f>'Berechnungen 1'!P192</f>
        <v/>
      </c>
      <c r="J188" s="185">
        <f>IF(OR(ISBLANK(E188),ISBLANK(F188)),IF(AND(ISBLANK(B188),ISBLANK(C188),ISBLANK(D188),ISBLANK(E188),ISBLANK(F188),ISBLANK(G188),ISBLANK(H188)),St.Wert_Schritt2.keineAngaben,St.Wert_Schritt2.fehlendeAngaben),'Berechnungen 1'!O192)</f>
        <v>999</v>
      </c>
    </row>
    <row r="189" spans="1:10" x14ac:dyDescent="0.2">
      <c r="A189" s="71">
        <v>182</v>
      </c>
      <c r="B189" s="80"/>
      <c r="C189" s="144"/>
      <c r="D189" s="144"/>
      <c r="E189" s="81"/>
      <c r="F189" s="82"/>
      <c r="G189" s="81"/>
      <c r="H189" s="83"/>
      <c r="I189" s="65" t="str">
        <f>'Berechnungen 1'!P193</f>
        <v/>
      </c>
      <c r="J189" s="185">
        <f>IF(OR(ISBLANK(E189),ISBLANK(F189)),IF(AND(ISBLANK(B189),ISBLANK(C189),ISBLANK(D189),ISBLANK(E189),ISBLANK(F189),ISBLANK(G189),ISBLANK(H189)),St.Wert_Schritt2.keineAngaben,St.Wert_Schritt2.fehlendeAngaben),'Berechnungen 1'!O193)</f>
        <v>999</v>
      </c>
    </row>
    <row r="190" spans="1:10" x14ac:dyDescent="0.2">
      <c r="A190" s="71">
        <v>183</v>
      </c>
      <c r="B190" s="80"/>
      <c r="C190" s="144"/>
      <c r="D190" s="144"/>
      <c r="E190" s="81"/>
      <c r="F190" s="82"/>
      <c r="G190" s="81"/>
      <c r="H190" s="83"/>
      <c r="I190" s="65" t="str">
        <f>'Berechnungen 1'!P194</f>
        <v/>
      </c>
      <c r="J190" s="185">
        <f>IF(OR(ISBLANK(E190),ISBLANK(F190)),IF(AND(ISBLANK(B190),ISBLANK(C190),ISBLANK(D190),ISBLANK(E190),ISBLANK(F190),ISBLANK(G190),ISBLANK(H190)),St.Wert_Schritt2.keineAngaben,St.Wert_Schritt2.fehlendeAngaben),'Berechnungen 1'!O194)</f>
        <v>999</v>
      </c>
    </row>
    <row r="191" spans="1:10" x14ac:dyDescent="0.2">
      <c r="A191" s="71">
        <v>184</v>
      </c>
      <c r="B191" s="80"/>
      <c r="C191" s="144"/>
      <c r="D191" s="144"/>
      <c r="E191" s="81"/>
      <c r="F191" s="82"/>
      <c r="G191" s="81"/>
      <c r="H191" s="83"/>
      <c r="I191" s="65" t="str">
        <f>'Berechnungen 1'!P195</f>
        <v/>
      </c>
      <c r="J191" s="185">
        <f>IF(OR(ISBLANK(E191),ISBLANK(F191)),IF(AND(ISBLANK(B191),ISBLANK(C191),ISBLANK(D191),ISBLANK(E191),ISBLANK(F191),ISBLANK(G191),ISBLANK(H191)),St.Wert_Schritt2.keineAngaben,St.Wert_Schritt2.fehlendeAngaben),'Berechnungen 1'!O195)</f>
        <v>999</v>
      </c>
    </row>
    <row r="192" spans="1:10" x14ac:dyDescent="0.2">
      <c r="A192" s="71">
        <v>185</v>
      </c>
      <c r="B192" s="80"/>
      <c r="C192" s="144"/>
      <c r="D192" s="144"/>
      <c r="E192" s="81"/>
      <c r="F192" s="82"/>
      <c r="G192" s="81"/>
      <c r="H192" s="83"/>
      <c r="I192" s="65" t="str">
        <f>'Berechnungen 1'!P196</f>
        <v/>
      </c>
      <c r="J192" s="185">
        <f>IF(OR(ISBLANK(E192),ISBLANK(F192)),IF(AND(ISBLANK(B192),ISBLANK(C192),ISBLANK(D192),ISBLANK(E192),ISBLANK(F192),ISBLANK(G192),ISBLANK(H192)),St.Wert_Schritt2.keineAngaben,St.Wert_Schritt2.fehlendeAngaben),'Berechnungen 1'!O196)</f>
        <v>999</v>
      </c>
    </row>
    <row r="193" spans="1:10" x14ac:dyDescent="0.2">
      <c r="A193" s="71">
        <v>186</v>
      </c>
      <c r="B193" s="80"/>
      <c r="C193" s="144"/>
      <c r="D193" s="144"/>
      <c r="E193" s="81"/>
      <c r="F193" s="82"/>
      <c r="G193" s="81"/>
      <c r="H193" s="83"/>
      <c r="I193" s="65" t="str">
        <f>'Berechnungen 1'!P197</f>
        <v/>
      </c>
      <c r="J193" s="185">
        <f>IF(OR(ISBLANK(E193),ISBLANK(F193)),IF(AND(ISBLANK(B193),ISBLANK(C193),ISBLANK(D193),ISBLANK(E193),ISBLANK(F193),ISBLANK(G193),ISBLANK(H193)),St.Wert_Schritt2.keineAngaben,St.Wert_Schritt2.fehlendeAngaben),'Berechnungen 1'!O197)</f>
        <v>999</v>
      </c>
    </row>
    <row r="194" spans="1:10" x14ac:dyDescent="0.2">
      <c r="A194" s="71">
        <v>187</v>
      </c>
      <c r="B194" s="80"/>
      <c r="C194" s="144"/>
      <c r="D194" s="144"/>
      <c r="E194" s="81"/>
      <c r="F194" s="82"/>
      <c r="G194" s="81"/>
      <c r="H194" s="83"/>
      <c r="I194" s="65" t="str">
        <f>'Berechnungen 1'!P198</f>
        <v/>
      </c>
      <c r="J194" s="185">
        <f>IF(OR(ISBLANK(E194),ISBLANK(F194)),IF(AND(ISBLANK(B194),ISBLANK(C194),ISBLANK(D194),ISBLANK(E194),ISBLANK(F194),ISBLANK(G194),ISBLANK(H194)),St.Wert_Schritt2.keineAngaben,St.Wert_Schritt2.fehlendeAngaben),'Berechnungen 1'!O198)</f>
        <v>999</v>
      </c>
    </row>
    <row r="195" spans="1:10" x14ac:dyDescent="0.2">
      <c r="A195" s="71">
        <v>188</v>
      </c>
      <c r="B195" s="80"/>
      <c r="C195" s="144"/>
      <c r="D195" s="144"/>
      <c r="E195" s="81"/>
      <c r="F195" s="82"/>
      <c r="G195" s="81"/>
      <c r="H195" s="83"/>
      <c r="I195" s="65" t="str">
        <f>'Berechnungen 1'!P199</f>
        <v/>
      </c>
      <c r="J195" s="185">
        <f>IF(OR(ISBLANK(E195),ISBLANK(F195)),IF(AND(ISBLANK(B195),ISBLANK(C195),ISBLANK(D195),ISBLANK(E195),ISBLANK(F195),ISBLANK(G195),ISBLANK(H195)),St.Wert_Schritt2.keineAngaben,St.Wert_Schritt2.fehlendeAngaben),'Berechnungen 1'!O199)</f>
        <v>999</v>
      </c>
    </row>
    <row r="196" spans="1:10" x14ac:dyDescent="0.2">
      <c r="A196" s="71">
        <v>189</v>
      </c>
      <c r="B196" s="80"/>
      <c r="C196" s="144"/>
      <c r="D196" s="144"/>
      <c r="E196" s="81"/>
      <c r="F196" s="82"/>
      <c r="G196" s="81"/>
      <c r="H196" s="83"/>
      <c r="I196" s="65" t="str">
        <f>'Berechnungen 1'!P200</f>
        <v/>
      </c>
      <c r="J196" s="185">
        <f>IF(OR(ISBLANK(E196),ISBLANK(F196)),IF(AND(ISBLANK(B196),ISBLANK(C196),ISBLANK(D196),ISBLANK(E196),ISBLANK(F196),ISBLANK(G196),ISBLANK(H196)),St.Wert_Schritt2.keineAngaben,St.Wert_Schritt2.fehlendeAngaben),'Berechnungen 1'!O200)</f>
        <v>999</v>
      </c>
    </row>
    <row r="197" spans="1:10" x14ac:dyDescent="0.2">
      <c r="A197" s="71">
        <v>190</v>
      </c>
      <c r="B197" s="80"/>
      <c r="C197" s="144"/>
      <c r="D197" s="144"/>
      <c r="E197" s="81"/>
      <c r="F197" s="82"/>
      <c r="G197" s="81"/>
      <c r="H197" s="83"/>
      <c r="I197" s="65" t="str">
        <f>'Berechnungen 1'!P201</f>
        <v/>
      </c>
      <c r="J197" s="185">
        <f>IF(OR(ISBLANK(E197),ISBLANK(F197)),IF(AND(ISBLANK(B197),ISBLANK(C197),ISBLANK(D197),ISBLANK(E197),ISBLANK(F197),ISBLANK(G197),ISBLANK(H197)),St.Wert_Schritt2.keineAngaben,St.Wert_Schritt2.fehlendeAngaben),'Berechnungen 1'!O201)</f>
        <v>999</v>
      </c>
    </row>
    <row r="198" spans="1:10" x14ac:dyDescent="0.2">
      <c r="A198" s="71">
        <v>191</v>
      </c>
      <c r="B198" s="80"/>
      <c r="C198" s="144"/>
      <c r="D198" s="144"/>
      <c r="E198" s="81"/>
      <c r="F198" s="82"/>
      <c r="G198" s="81"/>
      <c r="H198" s="83"/>
      <c r="I198" s="65" t="str">
        <f>'Berechnungen 1'!P202</f>
        <v/>
      </c>
      <c r="J198" s="185">
        <f>IF(OR(ISBLANK(E198),ISBLANK(F198)),IF(AND(ISBLANK(B198),ISBLANK(C198),ISBLANK(D198),ISBLANK(E198),ISBLANK(F198),ISBLANK(G198),ISBLANK(H198)),St.Wert_Schritt2.keineAngaben,St.Wert_Schritt2.fehlendeAngaben),'Berechnungen 1'!O202)</f>
        <v>999</v>
      </c>
    </row>
    <row r="199" spans="1:10" x14ac:dyDescent="0.2">
      <c r="A199" s="71">
        <v>192</v>
      </c>
      <c r="B199" s="80"/>
      <c r="C199" s="144"/>
      <c r="D199" s="144"/>
      <c r="E199" s="81"/>
      <c r="F199" s="82"/>
      <c r="G199" s="81"/>
      <c r="H199" s="83"/>
      <c r="I199" s="65" t="str">
        <f>'Berechnungen 1'!P203</f>
        <v/>
      </c>
      <c r="J199" s="185">
        <f>IF(OR(ISBLANK(E199),ISBLANK(F199)),IF(AND(ISBLANK(B199),ISBLANK(C199),ISBLANK(D199),ISBLANK(E199),ISBLANK(F199),ISBLANK(G199),ISBLANK(H199)),St.Wert_Schritt2.keineAngaben,St.Wert_Schritt2.fehlendeAngaben),'Berechnungen 1'!O203)</f>
        <v>999</v>
      </c>
    </row>
    <row r="200" spans="1:10" x14ac:dyDescent="0.2">
      <c r="A200" s="71">
        <v>193</v>
      </c>
      <c r="B200" s="80"/>
      <c r="C200" s="144"/>
      <c r="D200" s="144"/>
      <c r="E200" s="81"/>
      <c r="F200" s="82"/>
      <c r="G200" s="81"/>
      <c r="H200" s="83"/>
      <c r="I200" s="65" t="str">
        <f>'Berechnungen 1'!P204</f>
        <v/>
      </c>
      <c r="J200" s="185">
        <f>IF(OR(ISBLANK(E200),ISBLANK(F200)),IF(AND(ISBLANK(B200),ISBLANK(C200),ISBLANK(D200),ISBLANK(E200),ISBLANK(F200),ISBLANK(G200),ISBLANK(H200)),St.Wert_Schritt2.keineAngaben,St.Wert_Schritt2.fehlendeAngaben),'Berechnungen 1'!O204)</f>
        <v>999</v>
      </c>
    </row>
    <row r="201" spans="1:10" x14ac:dyDescent="0.2">
      <c r="A201" s="71">
        <v>194</v>
      </c>
      <c r="B201" s="80"/>
      <c r="C201" s="144"/>
      <c r="D201" s="144"/>
      <c r="E201" s="81"/>
      <c r="F201" s="82"/>
      <c r="G201" s="81"/>
      <c r="H201" s="83"/>
      <c r="I201" s="65" t="str">
        <f>'Berechnungen 1'!P205</f>
        <v/>
      </c>
      <c r="J201" s="185">
        <f>IF(OR(ISBLANK(E201),ISBLANK(F201)),IF(AND(ISBLANK(B201),ISBLANK(C201),ISBLANK(D201),ISBLANK(E201),ISBLANK(F201),ISBLANK(G201),ISBLANK(H201)),St.Wert_Schritt2.keineAngaben,St.Wert_Schritt2.fehlendeAngaben),'Berechnungen 1'!O205)</f>
        <v>999</v>
      </c>
    </row>
    <row r="202" spans="1:10" x14ac:dyDescent="0.2">
      <c r="A202" s="71">
        <v>195</v>
      </c>
      <c r="B202" s="80"/>
      <c r="C202" s="144"/>
      <c r="D202" s="144"/>
      <c r="E202" s="81"/>
      <c r="F202" s="82"/>
      <c r="G202" s="81"/>
      <c r="H202" s="83"/>
      <c r="I202" s="65" t="str">
        <f>'Berechnungen 1'!P206</f>
        <v/>
      </c>
      <c r="J202" s="185">
        <f>IF(OR(ISBLANK(E202),ISBLANK(F202)),IF(AND(ISBLANK(B202),ISBLANK(C202),ISBLANK(D202),ISBLANK(E202),ISBLANK(F202),ISBLANK(G202),ISBLANK(H202)),St.Wert_Schritt2.keineAngaben,St.Wert_Schritt2.fehlendeAngaben),'Berechnungen 1'!O206)</f>
        <v>999</v>
      </c>
    </row>
    <row r="203" spans="1:10" x14ac:dyDescent="0.2">
      <c r="A203" s="71">
        <v>196</v>
      </c>
      <c r="B203" s="80"/>
      <c r="C203" s="144"/>
      <c r="D203" s="144"/>
      <c r="E203" s="81"/>
      <c r="F203" s="82"/>
      <c r="G203" s="81"/>
      <c r="H203" s="83"/>
      <c r="I203" s="65" t="str">
        <f>'Berechnungen 1'!P207</f>
        <v/>
      </c>
      <c r="J203" s="185">
        <f>IF(OR(ISBLANK(E203),ISBLANK(F203)),IF(AND(ISBLANK(B203),ISBLANK(C203),ISBLANK(D203),ISBLANK(E203),ISBLANK(F203),ISBLANK(G203),ISBLANK(H203)),St.Wert_Schritt2.keineAngaben,St.Wert_Schritt2.fehlendeAngaben),'Berechnungen 1'!O207)</f>
        <v>999</v>
      </c>
    </row>
    <row r="204" spans="1:10" x14ac:dyDescent="0.2">
      <c r="A204" s="71">
        <v>197</v>
      </c>
      <c r="B204" s="80"/>
      <c r="C204" s="144"/>
      <c r="D204" s="144"/>
      <c r="E204" s="81"/>
      <c r="F204" s="82"/>
      <c r="G204" s="81"/>
      <c r="H204" s="83"/>
      <c r="I204" s="65" t="str">
        <f>'Berechnungen 1'!P208</f>
        <v/>
      </c>
      <c r="J204" s="185">
        <f>IF(OR(ISBLANK(E204),ISBLANK(F204)),IF(AND(ISBLANK(B204),ISBLANK(C204),ISBLANK(D204),ISBLANK(E204),ISBLANK(F204),ISBLANK(G204),ISBLANK(H204)),St.Wert_Schritt2.keineAngaben,St.Wert_Schritt2.fehlendeAngaben),'Berechnungen 1'!O208)</f>
        <v>999</v>
      </c>
    </row>
    <row r="205" spans="1:10" x14ac:dyDescent="0.2">
      <c r="A205" s="71">
        <v>198</v>
      </c>
      <c r="B205" s="80"/>
      <c r="C205" s="144"/>
      <c r="D205" s="144"/>
      <c r="E205" s="81"/>
      <c r="F205" s="82"/>
      <c r="G205" s="81"/>
      <c r="H205" s="83"/>
      <c r="I205" s="65" t="str">
        <f>'Berechnungen 1'!P209</f>
        <v/>
      </c>
      <c r="J205" s="185">
        <f>IF(OR(ISBLANK(E205),ISBLANK(F205)),IF(AND(ISBLANK(B205),ISBLANK(C205),ISBLANK(D205),ISBLANK(E205),ISBLANK(F205),ISBLANK(G205),ISBLANK(H205)),St.Wert_Schritt2.keineAngaben,St.Wert_Schritt2.fehlendeAngaben),'Berechnungen 1'!O209)</f>
        <v>999</v>
      </c>
    </row>
    <row r="206" spans="1:10" x14ac:dyDescent="0.2">
      <c r="A206" s="71">
        <v>199</v>
      </c>
      <c r="B206" s="80"/>
      <c r="C206" s="144"/>
      <c r="D206" s="144"/>
      <c r="E206" s="81"/>
      <c r="F206" s="82"/>
      <c r="G206" s="81"/>
      <c r="H206" s="83"/>
      <c r="I206" s="65" t="str">
        <f>'Berechnungen 1'!P210</f>
        <v/>
      </c>
      <c r="J206" s="185">
        <f>IF(OR(ISBLANK(E206),ISBLANK(F206)),IF(AND(ISBLANK(B206),ISBLANK(C206),ISBLANK(D206),ISBLANK(E206),ISBLANK(F206),ISBLANK(G206),ISBLANK(H206)),St.Wert_Schritt2.keineAngaben,St.Wert_Schritt2.fehlendeAngaben),'Berechnungen 1'!O210)</f>
        <v>999</v>
      </c>
    </row>
    <row r="207" spans="1:10" x14ac:dyDescent="0.2">
      <c r="A207" s="71">
        <v>200</v>
      </c>
      <c r="B207" s="80"/>
      <c r="C207" s="144"/>
      <c r="D207" s="144"/>
      <c r="E207" s="81"/>
      <c r="F207" s="82"/>
      <c r="G207" s="81"/>
      <c r="H207" s="83"/>
      <c r="I207" s="65" t="str">
        <f>'Berechnungen 1'!P211</f>
        <v/>
      </c>
      <c r="J207" s="185">
        <f>IF(OR(ISBLANK(E207),ISBLANK(F207)),IF(AND(ISBLANK(B207),ISBLANK(C207),ISBLANK(D207),ISBLANK(E207),ISBLANK(F207),ISBLANK(G207),ISBLANK(H207)),St.Wert_Schritt2.keineAngaben,St.Wert_Schritt2.fehlendeAngaben),'Berechnungen 1'!O211)</f>
        <v>999</v>
      </c>
    </row>
    <row r="208" spans="1:10" x14ac:dyDescent="0.2">
      <c r="A208" s="71">
        <v>201</v>
      </c>
      <c r="B208" s="80"/>
      <c r="C208" s="144"/>
      <c r="D208" s="144"/>
      <c r="E208" s="81"/>
      <c r="F208" s="82"/>
      <c r="G208" s="81"/>
      <c r="H208" s="83"/>
      <c r="I208" s="65" t="str">
        <f>'Berechnungen 1'!P212</f>
        <v/>
      </c>
      <c r="J208" s="185">
        <f>IF(OR(ISBLANK(E208),ISBLANK(F208)),IF(AND(ISBLANK(B208),ISBLANK(C208),ISBLANK(D208),ISBLANK(E208),ISBLANK(F208),ISBLANK(G208),ISBLANK(H208)),St.Wert_Schritt2.keineAngaben,St.Wert_Schritt2.fehlendeAngaben),'Berechnungen 1'!O212)</f>
        <v>999</v>
      </c>
    </row>
    <row r="209" spans="1:10" x14ac:dyDescent="0.2">
      <c r="A209" s="71">
        <v>202</v>
      </c>
      <c r="B209" s="80"/>
      <c r="C209" s="144"/>
      <c r="D209" s="144"/>
      <c r="E209" s="81"/>
      <c r="F209" s="82"/>
      <c r="G209" s="81"/>
      <c r="H209" s="83"/>
      <c r="I209" s="65" t="str">
        <f>'Berechnungen 1'!P213</f>
        <v/>
      </c>
      <c r="J209" s="185">
        <f>IF(OR(ISBLANK(E209),ISBLANK(F209)),IF(AND(ISBLANK(B209),ISBLANK(C209),ISBLANK(D209),ISBLANK(E209),ISBLANK(F209),ISBLANK(G209),ISBLANK(H209)),St.Wert_Schritt2.keineAngaben,St.Wert_Schritt2.fehlendeAngaben),'Berechnungen 1'!O213)</f>
        <v>999</v>
      </c>
    </row>
    <row r="210" spans="1:10" x14ac:dyDescent="0.2">
      <c r="A210" s="71">
        <v>203</v>
      </c>
      <c r="B210" s="80"/>
      <c r="C210" s="144"/>
      <c r="D210" s="144"/>
      <c r="E210" s="81"/>
      <c r="F210" s="82"/>
      <c r="G210" s="81"/>
      <c r="H210" s="83"/>
      <c r="I210" s="65" t="str">
        <f>'Berechnungen 1'!P214</f>
        <v/>
      </c>
      <c r="J210" s="185">
        <f>IF(OR(ISBLANK(E210),ISBLANK(F210)),IF(AND(ISBLANK(B210),ISBLANK(C210),ISBLANK(D210),ISBLANK(E210),ISBLANK(F210),ISBLANK(G210),ISBLANK(H210)),St.Wert_Schritt2.keineAngaben,St.Wert_Schritt2.fehlendeAngaben),'Berechnungen 1'!O214)</f>
        <v>999</v>
      </c>
    </row>
    <row r="211" spans="1:10" x14ac:dyDescent="0.2">
      <c r="A211" s="71">
        <v>204</v>
      </c>
      <c r="B211" s="80"/>
      <c r="C211" s="144"/>
      <c r="D211" s="144"/>
      <c r="E211" s="81"/>
      <c r="F211" s="82"/>
      <c r="G211" s="81"/>
      <c r="H211" s="83"/>
      <c r="I211" s="65" t="str">
        <f>'Berechnungen 1'!P215</f>
        <v/>
      </c>
      <c r="J211" s="185">
        <f>IF(OR(ISBLANK(E211),ISBLANK(F211)),IF(AND(ISBLANK(B211),ISBLANK(C211),ISBLANK(D211),ISBLANK(E211),ISBLANK(F211),ISBLANK(G211),ISBLANK(H211)),St.Wert_Schritt2.keineAngaben,St.Wert_Schritt2.fehlendeAngaben),'Berechnungen 1'!O215)</f>
        <v>999</v>
      </c>
    </row>
    <row r="212" spans="1:10" x14ac:dyDescent="0.2">
      <c r="A212" s="71">
        <v>205</v>
      </c>
      <c r="B212" s="80"/>
      <c r="C212" s="144"/>
      <c r="D212" s="144"/>
      <c r="E212" s="81"/>
      <c r="F212" s="82"/>
      <c r="G212" s="81"/>
      <c r="H212" s="83"/>
      <c r="I212" s="65" t="str">
        <f>'Berechnungen 1'!P216</f>
        <v/>
      </c>
      <c r="J212" s="185">
        <f>IF(OR(ISBLANK(E212),ISBLANK(F212)),IF(AND(ISBLANK(B212),ISBLANK(C212),ISBLANK(D212),ISBLANK(E212),ISBLANK(F212),ISBLANK(G212),ISBLANK(H212)),St.Wert_Schritt2.keineAngaben,St.Wert_Schritt2.fehlendeAngaben),'Berechnungen 1'!O216)</f>
        <v>999</v>
      </c>
    </row>
    <row r="213" spans="1:10" x14ac:dyDescent="0.2">
      <c r="A213" s="71">
        <v>206</v>
      </c>
      <c r="B213" s="80"/>
      <c r="C213" s="144"/>
      <c r="D213" s="144"/>
      <c r="E213" s="81"/>
      <c r="F213" s="82"/>
      <c r="G213" s="81"/>
      <c r="H213" s="83"/>
      <c r="I213" s="65" t="str">
        <f>'Berechnungen 1'!P217</f>
        <v/>
      </c>
      <c r="J213" s="185">
        <f>IF(OR(ISBLANK(E213),ISBLANK(F213)),IF(AND(ISBLANK(B213),ISBLANK(C213),ISBLANK(D213),ISBLANK(E213),ISBLANK(F213),ISBLANK(G213),ISBLANK(H213)),St.Wert_Schritt2.keineAngaben,St.Wert_Schritt2.fehlendeAngaben),'Berechnungen 1'!O217)</f>
        <v>999</v>
      </c>
    </row>
    <row r="214" spans="1:10" x14ac:dyDescent="0.2">
      <c r="A214" s="71">
        <v>207</v>
      </c>
      <c r="B214" s="80"/>
      <c r="C214" s="144"/>
      <c r="D214" s="144"/>
      <c r="E214" s="81"/>
      <c r="F214" s="82"/>
      <c r="G214" s="81"/>
      <c r="H214" s="83"/>
      <c r="I214" s="65" t="str">
        <f>'Berechnungen 1'!P218</f>
        <v/>
      </c>
      <c r="J214" s="185">
        <f>IF(OR(ISBLANK(E214),ISBLANK(F214)),IF(AND(ISBLANK(B214),ISBLANK(C214),ISBLANK(D214),ISBLANK(E214),ISBLANK(F214),ISBLANK(G214),ISBLANK(H214)),St.Wert_Schritt2.keineAngaben,St.Wert_Schritt2.fehlendeAngaben),'Berechnungen 1'!O218)</f>
        <v>999</v>
      </c>
    </row>
    <row r="215" spans="1:10" x14ac:dyDescent="0.2">
      <c r="A215" s="71">
        <v>208</v>
      </c>
      <c r="B215" s="80"/>
      <c r="C215" s="144"/>
      <c r="D215" s="144"/>
      <c r="E215" s="81"/>
      <c r="F215" s="82"/>
      <c r="G215" s="81"/>
      <c r="H215" s="83"/>
      <c r="I215" s="65" t="str">
        <f>'Berechnungen 1'!P219</f>
        <v/>
      </c>
      <c r="J215" s="185">
        <f>IF(OR(ISBLANK(E215),ISBLANK(F215)),IF(AND(ISBLANK(B215),ISBLANK(C215),ISBLANK(D215),ISBLANK(E215),ISBLANK(F215),ISBLANK(G215),ISBLANK(H215)),St.Wert_Schritt2.keineAngaben,St.Wert_Schritt2.fehlendeAngaben),'Berechnungen 1'!O219)</f>
        <v>999</v>
      </c>
    </row>
    <row r="216" spans="1:10" x14ac:dyDescent="0.2">
      <c r="A216" s="71">
        <v>209</v>
      </c>
      <c r="B216" s="80"/>
      <c r="C216" s="144"/>
      <c r="D216" s="144"/>
      <c r="E216" s="81"/>
      <c r="F216" s="82"/>
      <c r="G216" s="81"/>
      <c r="H216" s="83"/>
      <c r="I216" s="65" t="str">
        <f>'Berechnungen 1'!P220</f>
        <v/>
      </c>
      <c r="J216" s="185">
        <f>IF(OR(ISBLANK(E216),ISBLANK(F216)),IF(AND(ISBLANK(B216),ISBLANK(C216),ISBLANK(D216),ISBLANK(E216),ISBLANK(F216),ISBLANK(G216),ISBLANK(H216)),St.Wert_Schritt2.keineAngaben,St.Wert_Schritt2.fehlendeAngaben),'Berechnungen 1'!O220)</f>
        <v>999</v>
      </c>
    </row>
    <row r="217" spans="1:10" x14ac:dyDescent="0.2">
      <c r="A217" s="71">
        <v>210</v>
      </c>
      <c r="B217" s="80"/>
      <c r="C217" s="144"/>
      <c r="D217" s="144"/>
      <c r="E217" s="81"/>
      <c r="F217" s="82"/>
      <c r="G217" s="81"/>
      <c r="H217" s="83"/>
      <c r="I217" s="65" t="str">
        <f>'Berechnungen 1'!P221</f>
        <v/>
      </c>
      <c r="J217" s="185">
        <f>IF(OR(ISBLANK(E217),ISBLANK(F217)),IF(AND(ISBLANK(B217),ISBLANK(C217),ISBLANK(D217),ISBLANK(E217),ISBLANK(F217),ISBLANK(G217),ISBLANK(H217)),St.Wert_Schritt2.keineAngaben,St.Wert_Schritt2.fehlendeAngaben),'Berechnungen 1'!O221)</f>
        <v>999</v>
      </c>
    </row>
    <row r="218" spans="1:10" x14ac:dyDescent="0.2">
      <c r="A218" s="71">
        <v>211</v>
      </c>
      <c r="B218" s="80"/>
      <c r="C218" s="144"/>
      <c r="D218" s="144"/>
      <c r="E218" s="81"/>
      <c r="F218" s="82"/>
      <c r="G218" s="81"/>
      <c r="H218" s="83"/>
      <c r="I218" s="65" t="str">
        <f>'Berechnungen 1'!P222</f>
        <v/>
      </c>
      <c r="J218" s="185">
        <f>IF(OR(ISBLANK(E218),ISBLANK(F218)),IF(AND(ISBLANK(B218),ISBLANK(C218),ISBLANK(D218),ISBLANK(E218),ISBLANK(F218),ISBLANK(G218),ISBLANK(H218)),St.Wert_Schritt2.keineAngaben,St.Wert_Schritt2.fehlendeAngaben),'Berechnungen 1'!O222)</f>
        <v>999</v>
      </c>
    </row>
    <row r="219" spans="1:10" x14ac:dyDescent="0.2">
      <c r="A219" s="71">
        <v>212</v>
      </c>
      <c r="B219" s="80"/>
      <c r="C219" s="144"/>
      <c r="D219" s="144"/>
      <c r="E219" s="81"/>
      <c r="F219" s="82"/>
      <c r="G219" s="81"/>
      <c r="H219" s="83"/>
      <c r="I219" s="65" t="str">
        <f>'Berechnungen 1'!P223</f>
        <v/>
      </c>
      <c r="J219" s="185">
        <f>IF(OR(ISBLANK(E219),ISBLANK(F219)),IF(AND(ISBLANK(B219),ISBLANK(C219),ISBLANK(D219),ISBLANK(E219),ISBLANK(F219),ISBLANK(G219),ISBLANK(H219)),St.Wert_Schritt2.keineAngaben,St.Wert_Schritt2.fehlendeAngaben),'Berechnungen 1'!O223)</f>
        <v>999</v>
      </c>
    </row>
    <row r="220" spans="1:10" x14ac:dyDescent="0.2">
      <c r="A220" s="71">
        <v>213</v>
      </c>
      <c r="B220" s="80"/>
      <c r="C220" s="144"/>
      <c r="D220" s="144"/>
      <c r="E220" s="81"/>
      <c r="F220" s="82"/>
      <c r="G220" s="81"/>
      <c r="H220" s="83"/>
      <c r="I220" s="65" t="str">
        <f>'Berechnungen 1'!P224</f>
        <v/>
      </c>
      <c r="J220" s="185">
        <f>IF(OR(ISBLANK(E220),ISBLANK(F220)),IF(AND(ISBLANK(B220),ISBLANK(C220),ISBLANK(D220),ISBLANK(E220),ISBLANK(F220),ISBLANK(G220),ISBLANK(H220)),St.Wert_Schritt2.keineAngaben,St.Wert_Schritt2.fehlendeAngaben),'Berechnungen 1'!O224)</f>
        <v>999</v>
      </c>
    </row>
    <row r="221" spans="1:10" x14ac:dyDescent="0.2">
      <c r="A221" s="71">
        <v>214</v>
      </c>
      <c r="B221" s="80"/>
      <c r="C221" s="144"/>
      <c r="D221" s="144"/>
      <c r="E221" s="81"/>
      <c r="F221" s="82"/>
      <c r="G221" s="81"/>
      <c r="H221" s="83"/>
      <c r="I221" s="65" t="str">
        <f>'Berechnungen 1'!P225</f>
        <v/>
      </c>
      <c r="J221" s="185">
        <f>IF(OR(ISBLANK(E221),ISBLANK(F221)),IF(AND(ISBLANK(B221),ISBLANK(C221),ISBLANK(D221),ISBLANK(E221),ISBLANK(F221),ISBLANK(G221),ISBLANK(H221)),St.Wert_Schritt2.keineAngaben,St.Wert_Schritt2.fehlendeAngaben),'Berechnungen 1'!O225)</f>
        <v>999</v>
      </c>
    </row>
    <row r="222" spans="1:10" x14ac:dyDescent="0.2">
      <c r="A222" s="71">
        <v>215</v>
      </c>
      <c r="B222" s="80"/>
      <c r="C222" s="144"/>
      <c r="D222" s="144"/>
      <c r="E222" s="81"/>
      <c r="F222" s="82"/>
      <c r="G222" s="81"/>
      <c r="H222" s="83"/>
      <c r="I222" s="65" t="str">
        <f>'Berechnungen 1'!P226</f>
        <v/>
      </c>
      <c r="J222" s="185">
        <f>IF(OR(ISBLANK(E222),ISBLANK(F222)),IF(AND(ISBLANK(B222),ISBLANK(C222),ISBLANK(D222),ISBLANK(E222),ISBLANK(F222),ISBLANK(G222),ISBLANK(H222)),St.Wert_Schritt2.keineAngaben,St.Wert_Schritt2.fehlendeAngaben),'Berechnungen 1'!O226)</f>
        <v>999</v>
      </c>
    </row>
    <row r="223" spans="1:10" x14ac:dyDescent="0.2">
      <c r="A223" s="71">
        <v>216</v>
      </c>
      <c r="B223" s="80"/>
      <c r="C223" s="144"/>
      <c r="D223" s="144"/>
      <c r="E223" s="81"/>
      <c r="F223" s="82"/>
      <c r="G223" s="81"/>
      <c r="H223" s="83"/>
      <c r="I223" s="65" t="str">
        <f>'Berechnungen 1'!P227</f>
        <v/>
      </c>
      <c r="J223" s="185">
        <f>IF(OR(ISBLANK(E223),ISBLANK(F223)),IF(AND(ISBLANK(B223),ISBLANK(C223),ISBLANK(D223),ISBLANK(E223),ISBLANK(F223),ISBLANK(G223),ISBLANK(H223)),St.Wert_Schritt2.keineAngaben,St.Wert_Schritt2.fehlendeAngaben),'Berechnungen 1'!O227)</f>
        <v>999</v>
      </c>
    </row>
    <row r="224" spans="1:10" x14ac:dyDescent="0.2">
      <c r="A224" s="71">
        <v>217</v>
      </c>
      <c r="B224" s="80"/>
      <c r="C224" s="144"/>
      <c r="D224" s="144"/>
      <c r="E224" s="81"/>
      <c r="F224" s="82"/>
      <c r="G224" s="81"/>
      <c r="H224" s="83"/>
      <c r="I224" s="65" t="str">
        <f>'Berechnungen 1'!P228</f>
        <v/>
      </c>
      <c r="J224" s="185">
        <f>IF(OR(ISBLANK(E224),ISBLANK(F224)),IF(AND(ISBLANK(B224),ISBLANK(C224),ISBLANK(D224),ISBLANK(E224),ISBLANK(F224),ISBLANK(G224),ISBLANK(H224)),St.Wert_Schritt2.keineAngaben,St.Wert_Schritt2.fehlendeAngaben),'Berechnungen 1'!O228)</f>
        <v>999</v>
      </c>
    </row>
    <row r="225" spans="1:10" x14ac:dyDescent="0.2">
      <c r="A225" s="71">
        <v>218</v>
      </c>
      <c r="B225" s="80"/>
      <c r="C225" s="144"/>
      <c r="D225" s="144"/>
      <c r="E225" s="81"/>
      <c r="F225" s="82"/>
      <c r="G225" s="81"/>
      <c r="H225" s="83"/>
      <c r="I225" s="65" t="str">
        <f>'Berechnungen 1'!P229</f>
        <v/>
      </c>
      <c r="J225" s="185">
        <f>IF(OR(ISBLANK(E225),ISBLANK(F225)),IF(AND(ISBLANK(B225),ISBLANK(C225),ISBLANK(D225),ISBLANK(E225),ISBLANK(F225),ISBLANK(G225),ISBLANK(H225)),St.Wert_Schritt2.keineAngaben,St.Wert_Schritt2.fehlendeAngaben),'Berechnungen 1'!O229)</f>
        <v>999</v>
      </c>
    </row>
    <row r="226" spans="1:10" x14ac:dyDescent="0.2">
      <c r="A226" s="71">
        <v>219</v>
      </c>
      <c r="B226" s="80"/>
      <c r="C226" s="144"/>
      <c r="D226" s="144"/>
      <c r="E226" s="81"/>
      <c r="F226" s="82"/>
      <c r="G226" s="81"/>
      <c r="H226" s="83"/>
      <c r="I226" s="65" t="str">
        <f>'Berechnungen 1'!P230</f>
        <v/>
      </c>
      <c r="J226" s="185">
        <f>IF(OR(ISBLANK(E226),ISBLANK(F226)),IF(AND(ISBLANK(B226),ISBLANK(C226),ISBLANK(D226),ISBLANK(E226),ISBLANK(F226),ISBLANK(G226),ISBLANK(H226)),St.Wert_Schritt2.keineAngaben,St.Wert_Schritt2.fehlendeAngaben),'Berechnungen 1'!O230)</f>
        <v>999</v>
      </c>
    </row>
    <row r="227" spans="1:10" x14ac:dyDescent="0.2">
      <c r="A227" s="71">
        <v>220</v>
      </c>
      <c r="B227" s="80"/>
      <c r="C227" s="144"/>
      <c r="D227" s="144"/>
      <c r="E227" s="81"/>
      <c r="F227" s="82"/>
      <c r="G227" s="81"/>
      <c r="H227" s="83"/>
      <c r="I227" s="65" t="str">
        <f>'Berechnungen 1'!P231</f>
        <v/>
      </c>
      <c r="J227" s="185">
        <f>IF(OR(ISBLANK(E227),ISBLANK(F227)),IF(AND(ISBLANK(B227),ISBLANK(C227),ISBLANK(D227),ISBLANK(E227),ISBLANK(F227),ISBLANK(G227),ISBLANK(H227)),St.Wert_Schritt2.keineAngaben,St.Wert_Schritt2.fehlendeAngaben),'Berechnungen 1'!O231)</f>
        <v>999</v>
      </c>
    </row>
    <row r="228" spans="1:10" x14ac:dyDescent="0.2">
      <c r="A228" s="71">
        <v>221</v>
      </c>
      <c r="B228" s="80"/>
      <c r="C228" s="144"/>
      <c r="D228" s="144"/>
      <c r="E228" s="81"/>
      <c r="F228" s="82"/>
      <c r="G228" s="81"/>
      <c r="H228" s="83"/>
      <c r="I228" s="65" t="str">
        <f>'Berechnungen 1'!P232</f>
        <v/>
      </c>
      <c r="J228" s="185">
        <f>IF(OR(ISBLANK(E228),ISBLANK(F228)),IF(AND(ISBLANK(B228),ISBLANK(C228),ISBLANK(D228),ISBLANK(E228),ISBLANK(F228),ISBLANK(G228),ISBLANK(H228)),St.Wert_Schritt2.keineAngaben,St.Wert_Schritt2.fehlendeAngaben),'Berechnungen 1'!O232)</f>
        <v>999</v>
      </c>
    </row>
    <row r="229" spans="1:10" x14ac:dyDescent="0.2">
      <c r="A229" s="71">
        <v>222</v>
      </c>
      <c r="B229" s="80"/>
      <c r="C229" s="144"/>
      <c r="D229" s="144"/>
      <c r="E229" s="81"/>
      <c r="F229" s="82"/>
      <c r="G229" s="81"/>
      <c r="H229" s="83"/>
      <c r="I229" s="65" t="str">
        <f>'Berechnungen 1'!P233</f>
        <v/>
      </c>
      <c r="J229" s="185">
        <f>IF(OR(ISBLANK(E229),ISBLANK(F229)),IF(AND(ISBLANK(B229),ISBLANK(C229),ISBLANK(D229),ISBLANK(E229),ISBLANK(F229),ISBLANK(G229),ISBLANK(H229)),St.Wert_Schritt2.keineAngaben,St.Wert_Schritt2.fehlendeAngaben),'Berechnungen 1'!O233)</f>
        <v>999</v>
      </c>
    </row>
    <row r="230" spans="1:10" x14ac:dyDescent="0.2">
      <c r="A230" s="71">
        <v>223</v>
      </c>
      <c r="B230" s="80"/>
      <c r="C230" s="144"/>
      <c r="D230" s="144"/>
      <c r="E230" s="81"/>
      <c r="F230" s="82"/>
      <c r="G230" s="81"/>
      <c r="H230" s="83"/>
      <c r="I230" s="65" t="str">
        <f>'Berechnungen 1'!P234</f>
        <v/>
      </c>
      <c r="J230" s="185">
        <f>IF(OR(ISBLANK(E230),ISBLANK(F230)),IF(AND(ISBLANK(B230),ISBLANK(C230),ISBLANK(D230),ISBLANK(E230),ISBLANK(F230),ISBLANK(G230),ISBLANK(H230)),St.Wert_Schritt2.keineAngaben,St.Wert_Schritt2.fehlendeAngaben),'Berechnungen 1'!O234)</f>
        <v>999</v>
      </c>
    </row>
    <row r="231" spans="1:10" x14ac:dyDescent="0.2">
      <c r="A231" s="71">
        <v>224</v>
      </c>
      <c r="B231" s="80"/>
      <c r="C231" s="144"/>
      <c r="D231" s="144"/>
      <c r="E231" s="81"/>
      <c r="F231" s="82"/>
      <c r="G231" s="81"/>
      <c r="H231" s="83"/>
      <c r="I231" s="65" t="str">
        <f>'Berechnungen 1'!P235</f>
        <v/>
      </c>
      <c r="J231" s="185">
        <f>IF(OR(ISBLANK(E231),ISBLANK(F231)),IF(AND(ISBLANK(B231),ISBLANK(C231),ISBLANK(D231),ISBLANK(E231),ISBLANK(F231),ISBLANK(G231),ISBLANK(H231)),St.Wert_Schritt2.keineAngaben,St.Wert_Schritt2.fehlendeAngaben),'Berechnungen 1'!O235)</f>
        <v>999</v>
      </c>
    </row>
    <row r="232" spans="1:10" x14ac:dyDescent="0.2">
      <c r="A232" s="71">
        <v>225</v>
      </c>
      <c r="B232" s="80"/>
      <c r="C232" s="144"/>
      <c r="D232" s="144"/>
      <c r="E232" s="81"/>
      <c r="F232" s="82"/>
      <c r="G232" s="81"/>
      <c r="H232" s="83"/>
      <c r="I232" s="65" t="str">
        <f>'Berechnungen 1'!P236</f>
        <v/>
      </c>
      <c r="J232" s="185">
        <f>IF(OR(ISBLANK(E232),ISBLANK(F232)),IF(AND(ISBLANK(B232),ISBLANK(C232),ISBLANK(D232),ISBLANK(E232),ISBLANK(F232),ISBLANK(G232),ISBLANK(H232)),St.Wert_Schritt2.keineAngaben,St.Wert_Schritt2.fehlendeAngaben),'Berechnungen 1'!O236)</f>
        <v>999</v>
      </c>
    </row>
    <row r="233" spans="1:10" x14ac:dyDescent="0.2">
      <c r="A233" s="71">
        <v>226</v>
      </c>
      <c r="B233" s="80"/>
      <c r="C233" s="144"/>
      <c r="D233" s="144"/>
      <c r="E233" s="81"/>
      <c r="F233" s="82"/>
      <c r="G233" s="81"/>
      <c r="H233" s="83"/>
      <c r="I233" s="65" t="str">
        <f>'Berechnungen 1'!P237</f>
        <v/>
      </c>
      <c r="J233" s="185">
        <f>IF(OR(ISBLANK(E233),ISBLANK(F233)),IF(AND(ISBLANK(B233),ISBLANK(C233),ISBLANK(D233),ISBLANK(E233),ISBLANK(F233),ISBLANK(G233),ISBLANK(H233)),St.Wert_Schritt2.keineAngaben,St.Wert_Schritt2.fehlendeAngaben),'Berechnungen 1'!O237)</f>
        <v>999</v>
      </c>
    </row>
    <row r="234" spans="1:10" x14ac:dyDescent="0.2">
      <c r="A234" s="71">
        <v>227</v>
      </c>
      <c r="B234" s="80"/>
      <c r="C234" s="144"/>
      <c r="D234" s="144"/>
      <c r="E234" s="81"/>
      <c r="F234" s="82"/>
      <c r="G234" s="81"/>
      <c r="H234" s="83"/>
      <c r="I234" s="65" t="str">
        <f>'Berechnungen 1'!P238</f>
        <v/>
      </c>
      <c r="J234" s="185">
        <f>IF(OR(ISBLANK(E234),ISBLANK(F234)),IF(AND(ISBLANK(B234),ISBLANK(C234),ISBLANK(D234),ISBLANK(E234),ISBLANK(F234),ISBLANK(G234),ISBLANK(H234)),St.Wert_Schritt2.keineAngaben,St.Wert_Schritt2.fehlendeAngaben),'Berechnungen 1'!O238)</f>
        <v>999</v>
      </c>
    </row>
    <row r="235" spans="1:10" x14ac:dyDescent="0.2">
      <c r="A235" s="71">
        <v>228</v>
      </c>
      <c r="B235" s="80"/>
      <c r="C235" s="144"/>
      <c r="D235" s="144"/>
      <c r="E235" s="81"/>
      <c r="F235" s="82"/>
      <c r="G235" s="81"/>
      <c r="H235" s="83"/>
      <c r="I235" s="65" t="str">
        <f>'Berechnungen 1'!P239</f>
        <v/>
      </c>
      <c r="J235" s="185">
        <f>IF(OR(ISBLANK(E235),ISBLANK(F235)),IF(AND(ISBLANK(B235),ISBLANK(C235),ISBLANK(D235),ISBLANK(E235),ISBLANK(F235),ISBLANK(G235),ISBLANK(H235)),St.Wert_Schritt2.keineAngaben,St.Wert_Schritt2.fehlendeAngaben),'Berechnungen 1'!O239)</f>
        <v>999</v>
      </c>
    </row>
    <row r="236" spans="1:10" x14ac:dyDescent="0.2">
      <c r="A236" s="71">
        <v>229</v>
      </c>
      <c r="B236" s="80"/>
      <c r="C236" s="144"/>
      <c r="D236" s="144"/>
      <c r="E236" s="81"/>
      <c r="F236" s="82"/>
      <c r="G236" s="81"/>
      <c r="H236" s="83"/>
      <c r="I236" s="65" t="str">
        <f>'Berechnungen 1'!P240</f>
        <v/>
      </c>
      <c r="J236" s="185">
        <f>IF(OR(ISBLANK(E236),ISBLANK(F236)),IF(AND(ISBLANK(B236),ISBLANK(C236),ISBLANK(D236),ISBLANK(E236),ISBLANK(F236),ISBLANK(G236),ISBLANK(H236)),St.Wert_Schritt2.keineAngaben,St.Wert_Schritt2.fehlendeAngaben),'Berechnungen 1'!O240)</f>
        <v>999</v>
      </c>
    </row>
    <row r="237" spans="1:10" x14ac:dyDescent="0.2">
      <c r="A237" s="71">
        <v>230</v>
      </c>
      <c r="B237" s="80"/>
      <c r="C237" s="144"/>
      <c r="D237" s="144"/>
      <c r="E237" s="81"/>
      <c r="F237" s="82"/>
      <c r="G237" s="81"/>
      <c r="H237" s="83"/>
      <c r="I237" s="65" t="str">
        <f>'Berechnungen 1'!P241</f>
        <v/>
      </c>
      <c r="J237" s="185">
        <f>IF(OR(ISBLANK(E237),ISBLANK(F237)),IF(AND(ISBLANK(B237),ISBLANK(C237),ISBLANK(D237),ISBLANK(E237),ISBLANK(F237),ISBLANK(G237),ISBLANK(H237)),St.Wert_Schritt2.keineAngaben,St.Wert_Schritt2.fehlendeAngaben),'Berechnungen 1'!O241)</f>
        <v>999</v>
      </c>
    </row>
    <row r="238" spans="1:10" x14ac:dyDescent="0.2">
      <c r="A238" s="71">
        <v>231</v>
      </c>
      <c r="B238" s="80"/>
      <c r="C238" s="144"/>
      <c r="D238" s="144"/>
      <c r="E238" s="81"/>
      <c r="F238" s="82"/>
      <c r="G238" s="81"/>
      <c r="H238" s="83"/>
      <c r="I238" s="65" t="str">
        <f>'Berechnungen 1'!P242</f>
        <v/>
      </c>
      <c r="J238" s="185">
        <f>IF(OR(ISBLANK(E238),ISBLANK(F238)),IF(AND(ISBLANK(B238),ISBLANK(C238),ISBLANK(D238),ISBLANK(E238),ISBLANK(F238),ISBLANK(G238),ISBLANK(H238)),St.Wert_Schritt2.keineAngaben,St.Wert_Schritt2.fehlendeAngaben),'Berechnungen 1'!O242)</f>
        <v>999</v>
      </c>
    </row>
    <row r="239" spans="1:10" x14ac:dyDescent="0.2">
      <c r="A239" s="71">
        <v>232</v>
      </c>
      <c r="B239" s="80"/>
      <c r="C239" s="144"/>
      <c r="D239" s="144"/>
      <c r="E239" s="81"/>
      <c r="F239" s="82"/>
      <c r="G239" s="81"/>
      <c r="H239" s="83"/>
      <c r="I239" s="65" t="str">
        <f>'Berechnungen 1'!P243</f>
        <v/>
      </c>
      <c r="J239" s="185">
        <f>IF(OR(ISBLANK(E239),ISBLANK(F239)),IF(AND(ISBLANK(B239),ISBLANK(C239),ISBLANK(D239),ISBLANK(E239),ISBLANK(F239),ISBLANK(G239),ISBLANK(H239)),St.Wert_Schritt2.keineAngaben,St.Wert_Schritt2.fehlendeAngaben),'Berechnungen 1'!O243)</f>
        <v>999</v>
      </c>
    </row>
    <row r="240" spans="1:10" x14ac:dyDescent="0.2">
      <c r="A240" s="71">
        <v>233</v>
      </c>
      <c r="B240" s="80"/>
      <c r="C240" s="144"/>
      <c r="D240" s="144"/>
      <c r="E240" s="81"/>
      <c r="F240" s="82"/>
      <c r="G240" s="81"/>
      <c r="H240" s="83"/>
      <c r="I240" s="65" t="str">
        <f>'Berechnungen 1'!P244</f>
        <v/>
      </c>
      <c r="J240" s="185">
        <f>IF(OR(ISBLANK(E240),ISBLANK(F240)),IF(AND(ISBLANK(B240),ISBLANK(C240),ISBLANK(D240),ISBLANK(E240),ISBLANK(F240),ISBLANK(G240),ISBLANK(H240)),St.Wert_Schritt2.keineAngaben,St.Wert_Schritt2.fehlendeAngaben),'Berechnungen 1'!O244)</f>
        <v>999</v>
      </c>
    </row>
    <row r="241" spans="1:10" x14ac:dyDescent="0.2">
      <c r="A241" s="71">
        <v>234</v>
      </c>
      <c r="B241" s="80"/>
      <c r="C241" s="144"/>
      <c r="D241" s="144"/>
      <c r="E241" s="81"/>
      <c r="F241" s="82"/>
      <c r="G241" s="81"/>
      <c r="H241" s="83"/>
      <c r="I241" s="65" t="str">
        <f>'Berechnungen 1'!P245</f>
        <v/>
      </c>
      <c r="J241" s="185">
        <f>IF(OR(ISBLANK(E241),ISBLANK(F241)),IF(AND(ISBLANK(B241),ISBLANK(C241),ISBLANK(D241),ISBLANK(E241),ISBLANK(F241),ISBLANK(G241),ISBLANK(H241)),St.Wert_Schritt2.keineAngaben,St.Wert_Schritt2.fehlendeAngaben),'Berechnungen 1'!O245)</f>
        <v>999</v>
      </c>
    </row>
    <row r="242" spans="1:10" x14ac:dyDescent="0.2">
      <c r="A242" s="71">
        <v>235</v>
      </c>
      <c r="B242" s="80"/>
      <c r="C242" s="144"/>
      <c r="D242" s="144"/>
      <c r="E242" s="81"/>
      <c r="F242" s="82"/>
      <c r="G242" s="81"/>
      <c r="H242" s="83"/>
      <c r="I242" s="65" t="str">
        <f>'Berechnungen 1'!P246</f>
        <v/>
      </c>
      <c r="J242" s="185">
        <f>IF(OR(ISBLANK(E242),ISBLANK(F242)),IF(AND(ISBLANK(B242),ISBLANK(C242),ISBLANK(D242),ISBLANK(E242),ISBLANK(F242),ISBLANK(G242),ISBLANK(H242)),St.Wert_Schritt2.keineAngaben,St.Wert_Schritt2.fehlendeAngaben),'Berechnungen 1'!O246)</f>
        <v>999</v>
      </c>
    </row>
    <row r="243" spans="1:10" x14ac:dyDescent="0.2">
      <c r="A243" s="71">
        <v>236</v>
      </c>
      <c r="B243" s="80"/>
      <c r="C243" s="144"/>
      <c r="D243" s="144"/>
      <c r="E243" s="81"/>
      <c r="F243" s="82"/>
      <c r="G243" s="81"/>
      <c r="H243" s="83"/>
      <c r="I243" s="65" t="str">
        <f>'Berechnungen 1'!P247</f>
        <v/>
      </c>
      <c r="J243" s="185">
        <f>IF(OR(ISBLANK(E243),ISBLANK(F243)),IF(AND(ISBLANK(B243),ISBLANK(C243),ISBLANK(D243),ISBLANK(E243),ISBLANK(F243),ISBLANK(G243),ISBLANK(H243)),St.Wert_Schritt2.keineAngaben,St.Wert_Schritt2.fehlendeAngaben),'Berechnungen 1'!O247)</f>
        <v>999</v>
      </c>
    </row>
    <row r="244" spans="1:10" x14ac:dyDescent="0.2">
      <c r="A244" s="71">
        <v>237</v>
      </c>
      <c r="B244" s="80"/>
      <c r="C244" s="144"/>
      <c r="D244" s="144"/>
      <c r="E244" s="81"/>
      <c r="F244" s="82"/>
      <c r="G244" s="81"/>
      <c r="H244" s="83"/>
      <c r="I244" s="65" t="str">
        <f>'Berechnungen 1'!P248</f>
        <v/>
      </c>
      <c r="J244" s="185">
        <f>IF(OR(ISBLANK(E244),ISBLANK(F244)),IF(AND(ISBLANK(B244),ISBLANK(C244),ISBLANK(D244),ISBLANK(E244),ISBLANK(F244),ISBLANK(G244),ISBLANK(H244)),St.Wert_Schritt2.keineAngaben,St.Wert_Schritt2.fehlendeAngaben),'Berechnungen 1'!O248)</f>
        <v>999</v>
      </c>
    </row>
    <row r="245" spans="1:10" x14ac:dyDescent="0.2">
      <c r="A245" s="71">
        <v>238</v>
      </c>
      <c r="B245" s="80"/>
      <c r="C245" s="144"/>
      <c r="D245" s="144"/>
      <c r="E245" s="81"/>
      <c r="F245" s="82"/>
      <c r="G245" s="81"/>
      <c r="H245" s="83"/>
      <c r="I245" s="65" t="str">
        <f>'Berechnungen 1'!P249</f>
        <v/>
      </c>
      <c r="J245" s="185">
        <f>IF(OR(ISBLANK(E245),ISBLANK(F245)),IF(AND(ISBLANK(B245),ISBLANK(C245),ISBLANK(D245),ISBLANK(E245),ISBLANK(F245),ISBLANK(G245),ISBLANK(H245)),St.Wert_Schritt2.keineAngaben,St.Wert_Schritt2.fehlendeAngaben),'Berechnungen 1'!O249)</f>
        <v>999</v>
      </c>
    </row>
    <row r="246" spans="1:10" x14ac:dyDescent="0.2">
      <c r="A246" s="71">
        <v>239</v>
      </c>
      <c r="B246" s="80"/>
      <c r="C246" s="144"/>
      <c r="D246" s="144"/>
      <c r="E246" s="81"/>
      <c r="F246" s="82"/>
      <c r="G246" s="81"/>
      <c r="H246" s="83"/>
      <c r="I246" s="65" t="str">
        <f>'Berechnungen 1'!P250</f>
        <v/>
      </c>
      <c r="J246" s="185">
        <f>IF(OR(ISBLANK(E246),ISBLANK(F246)),IF(AND(ISBLANK(B246),ISBLANK(C246),ISBLANK(D246),ISBLANK(E246),ISBLANK(F246),ISBLANK(G246),ISBLANK(H246)),St.Wert_Schritt2.keineAngaben,St.Wert_Schritt2.fehlendeAngaben),'Berechnungen 1'!O250)</f>
        <v>999</v>
      </c>
    </row>
    <row r="247" spans="1:10" x14ac:dyDescent="0.2">
      <c r="A247" s="71">
        <v>240</v>
      </c>
      <c r="B247" s="80"/>
      <c r="C247" s="144"/>
      <c r="D247" s="144"/>
      <c r="E247" s="81"/>
      <c r="F247" s="82"/>
      <c r="G247" s="81"/>
      <c r="H247" s="83"/>
      <c r="I247" s="65" t="str">
        <f>'Berechnungen 1'!P251</f>
        <v/>
      </c>
      <c r="J247" s="185">
        <f>IF(OR(ISBLANK(E247),ISBLANK(F247)),IF(AND(ISBLANK(B247),ISBLANK(C247),ISBLANK(D247),ISBLANK(E247),ISBLANK(F247),ISBLANK(G247),ISBLANK(H247)),St.Wert_Schritt2.keineAngaben,St.Wert_Schritt2.fehlendeAngaben),'Berechnungen 1'!O251)</f>
        <v>999</v>
      </c>
    </row>
    <row r="248" spans="1:10" x14ac:dyDescent="0.2">
      <c r="A248" s="71">
        <v>241</v>
      </c>
      <c r="B248" s="80"/>
      <c r="C248" s="144"/>
      <c r="D248" s="144"/>
      <c r="E248" s="81"/>
      <c r="F248" s="82"/>
      <c r="G248" s="81"/>
      <c r="H248" s="83"/>
      <c r="I248" s="65" t="str">
        <f>'Berechnungen 1'!P252</f>
        <v/>
      </c>
      <c r="J248" s="185">
        <f>IF(OR(ISBLANK(E248),ISBLANK(F248)),IF(AND(ISBLANK(B248),ISBLANK(C248),ISBLANK(D248),ISBLANK(E248),ISBLANK(F248),ISBLANK(G248),ISBLANK(H248)),St.Wert_Schritt2.keineAngaben,St.Wert_Schritt2.fehlendeAngaben),'Berechnungen 1'!O252)</f>
        <v>999</v>
      </c>
    </row>
    <row r="249" spans="1:10" x14ac:dyDescent="0.2">
      <c r="A249" s="71">
        <v>242</v>
      </c>
      <c r="B249" s="80"/>
      <c r="C249" s="144"/>
      <c r="D249" s="144"/>
      <c r="E249" s="81"/>
      <c r="F249" s="82"/>
      <c r="G249" s="81"/>
      <c r="H249" s="83"/>
      <c r="I249" s="65" t="str">
        <f>'Berechnungen 1'!P253</f>
        <v/>
      </c>
      <c r="J249" s="185">
        <f>IF(OR(ISBLANK(E249),ISBLANK(F249)),IF(AND(ISBLANK(B249),ISBLANK(C249),ISBLANK(D249),ISBLANK(E249),ISBLANK(F249),ISBLANK(G249),ISBLANK(H249)),St.Wert_Schritt2.keineAngaben,St.Wert_Schritt2.fehlendeAngaben),'Berechnungen 1'!O253)</f>
        <v>999</v>
      </c>
    </row>
    <row r="250" spans="1:10" x14ac:dyDescent="0.2">
      <c r="A250" s="71">
        <v>243</v>
      </c>
      <c r="B250" s="80"/>
      <c r="C250" s="144"/>
      <c r="D250" s="144"/>
      <c r="E250" s="81"/>
      <c r="F250" s="82"/>
      <c r="G250" s="81"/>
      <c r="H250" s="83"/>
      <c r="I250" s="65" t="str">
        <f>'Berechnungen 1'!P254</f>
        <v/>
      </c>
      <c r="J250" s="185">
        <f>IF(OR(ISBLANK(E250),ISBLANK(F250)),IF(AND(ISBLANK(B250),ISBLANK(C250),ISBLANK(D250),ISBLANK(E250),ISBLANK(F250),ISBLANK(G250),ISBLANK(H250)),St.Wert_Schritt2.keineAngaben,St.Wert_Schritt2.fehlendeAngaben),'Berechnungen 1'!O254)</f>
        <v>999</v>
      </c>
    </row>
    <row r="251" spans="1:10" x14ac:dyDescent="0.2">
      <c r="A251" s="71">
        <v>244</v>
      </c>
      <c r="B251" s="80"/>
      <c r="C251" s="144"/>
      <c r="D251" s="144"/>
      <c r="E251" s="81"/>
      <c r="F251" s="82"/>
      <c r="G251" s="81"/>
      <c r="H251" s="83"/>
      <c r="I251" s="65" t="str">
        <f>'Berechnungen 1'!P255</f>
        <v/>
      </c>
      <c r="J251" s="185">
        <f>IF(OR(ISBLANK(E251),ISBLANK(F251)),IF(AND(ISBLANK(B251),ISBLANK(C251),ISBLANK(D251),ISBLANK(E251),ISBLANK(F251),ISBLANK(G251),ISBLANK(H251)),St.Wert_Schritt2.keineAngaben,St.Wert_Schritt2.fehlendeAngaben),'Berechnungen 1'!O255)</f>
        <v>999</v>
      </c>
    </row>
    <row r="252" spans="1:10" x14ac:dyDescent="0.2">
      <c r="A252" s="71">
        <v>245</v>
      </c>
      <c r="B252" s="80"/>
      <c r="C252" s="144"/>
      <c r="D252" s="144"/>
      <c r="E252" s="81"/>
      <c r="F252" s="82"/>
      <c r="G252" s="81"/>
      <c r="H252" s="83"/>
      <c r="I252" s="65" t="str">
        <f>'Berechnungen 1'!P256</f>
        <v/>
      </c>
      <c r="J252" s="185">
        <f>IF(OR(ISBLANK(E252),ISBLANK(F252)),IF(AND(ISBLANK(B252),ISBLANK(C252),ISBLANK(D252),ISBLANK(E252),ISBLANK(F252),ISBLANK(G252),ISBLANK(H252)),St.Wert_Schritt2.keineAngaben,St.Wert_Schritt2.fehlendeAngaben),'Berechnungen 1'!O256)</f>
        <v>999</v>
      </c>
    </row>
    <row r="253" spans="1:10" x14ac:dyDescent="0.2">
      <c r="A253" s="71">
        <v>246</v>
      </c>
      <c r="B253" s="80"/>
      <c r="C253" s="144"/>
      <c r="D253" s="144"/>
      <c r="E253" s="81"/>
      <c r="F253" s="82"/>
      <c r="G253" s="81"/>
      <c r="H253" s="83"/>
      <c r="I253" s="65" t="str">
        <f>'Berechnungen 1'!P257</f>
        <v/>
      </c>
      <c r="J253" s="185">
        <f>IF(OR(ISBLANK(E253),ISBLANK(F253)),IF(AND(ISBLANK(B253),ISBLANK(C253),ISBLANK(D253),ISBLANK(E253),ISBLANK(F253),ISBLANK(G253),ISBLANK(H253)),St.Wert_Schritt2.keineAngaben,St.Wert_Schritt2.fehlendeAngaben),'Berechnungen 1'!O257)</f>
        <v>999</v>
      </c>
    </row>
    <row r="254" spans="1:10" x14ac:dyDescent="0.2">
      <c r="A254" s="71">
        <v>247</v>
      </c>
      <c r="B254" s="80"/>
      <c r="C254" s="144"/>
      <c r="D254" s="144"/>
      <c r="E254" s="81"/>
      <c r="F254" s="82"/>
      <c r="G254" s="81"/>
      <c r="H254" s="83"/>
      <c r="I254" s="65" t="str">
        <f>'Berechnungen 1'!P258</f>
        <v/>
      </c>
      <c r="J254" s="185">
        <f>IF(OR(ISBLANK(E254),ISBLANK(F254)),IF(AND(ISBLANK(B254),ISBLANK(C254),ISBLANK(D254),ISBLANK(E254),ISBLANK(F254),ISBLANK(G254),ISBLANK(H254)),St.Wert_Schritt2.keineAngaben,St.Wert_Schritt2.fehlendeAngaben),'Berechnungen 1'!O258)</f>
        <v>999</v>
      </c>
    </row>
    <row r="255" spans="1:10" x14ac:dyDescent="0.2">
      <c r="A255" s="71">
        <v>248</v>
      </c>
      <c r="B255" s="80"/>
      <c r="C255" s="144"/>
      <c r="D255" s="144"/>
      <c r="E255" s="81"/>
      <c r="F255" s="82"/>
      <c r="G255" s="81"/>
      <c r="H255" s="83"/>
      <c r="I255" s="65" t="str">
        <f>'Berechnungen 1'!P259</f>
        <v/>
      </c>
      <c r="J255" s="185">
        <f>IF(OR(ISBLANK(E255),ISBLANK(F255)),IF(AND(ISBLANK(B255),ISBLANK(C255),ISBLANK(D255),ISBLANK(E255),ISBLANK(F255),ISBLANK(G255),ISBLANK(H255)),St.Wert_Schritt2.keineAngaben,St.Wert_Schritt2.fehlendeAngaben),'Berechnungen 1'!O259)</f>
        <v>999</v>
      </c>
    </row>
    <row r="256" spans="1:10" x14ac:dyDescent="0.2">
      <c r="A256" s="71">
        <v>249</v>
      </c>
      <c r="B256" s="80"/>
      <c r="C256" s="144"/>
      <c r="D256" s="144"/>
      <c r="E256" s="81"/>
      <c r="F256" s="82"/>
      <c r="G256" s="81"/>
      <c r="H256" s="83"/>
      <c r="I256" s="65" t="str">
        <f>'Berechnungen 1'!P260</f>
        <v/>
      </c>
      <c r="J256" s="185">
        <f>IF(OR(ISBLANK(E256),ISBLANK(F256)),IF(AND(ISBLANK(B256),ISBLANK(C256),ISBLANK(D256),ISBLANK(E256),ISBLANK(F256),ISBLANK(G256),ISBLANK(H256)),St.Wert_Schritt2.keineAngaben,St.Wert_Schritt2.fehlendeAngaben),'Berechnungen 1'!O260)</f>
        <v>999</v>
      </c>
    </row>
    <row r="257" spans="1:10" x14ac:dyDescent="0.2">
      <c r="A257" s="71">
        <v>250</v>
      </c>
      <c r="B257" s="80"/>
      <c r="C257" s="144"/>
      <c r="D257" s="144"/>
      <c r="E257" s="81"/>
      <c r="F257" s="82"/>
      <c r="G257" s="81"/>
      <c r="H257" s="83"/>
      <c r="I257" s="65" t="str">
        <f>'Berechnungen 1'!P261</f>
        <v/>
      </c>
      <c r="J257" s="185">
        <f>IF(OR(ISBLANK(E257),ISBLANK(F257)),IF(AND(ISBLANK(B257),ISBLANK(C257),ISBLANK(D257),ISBLANK(E257),ISBLANK(F257),ISBLANK(G257),ISBLANK(H257)),St.Wert_Schritt2.keineAngaben,St.Wert_Schritt2.fehlendeAngaben),'Berechnungen 1'!O261)</f>
        <v>999</v>
      </c>
    </row>
    <row r="258" spans="1:10" x14ac:dyDescent="0.2">
      <c r="A258" s="71">
        <v>251</v>
      </c>
      <c r="B258" s="80"/>
      <c r="C258" s="144"/>
      <c r="D258" s="144"/>
      <c r="E258" s="81"/>
      <c r="F258" s="82"/>
      <c r="G258" s="81"/>
      <c r="H258" s="83"/>
      <c r="I258" s="65" t="str">
        <f>'Berechnungen 1'!P262</f>
        <v/>
      </c>
      <c r="J258" s="185">
        <f>IF(OR(ISBLANK(E258),ISBLANK(F258)),IF(AND(ISBLANK(B258),ISBLANK(C258),ISBLANK(D258),ISBLANK(E258),ISBLANK(F258),ISBLANK(G258),ISBLANK(H258)),St.Wert_Schritt2.keineAngaben,St.Wert_Schritt2.fehlendeAngaben),'Berechnungen 1'!O262)</f>
        <v>999</v>
      </c>
    </row>
    <row r="259" spans="1:10" x14ac:dyDescent="0.2">
      <c r="A259" s="71">
        <v>252</v>
      </c>
      <c r="B259" s="80"/>
      <c r="C259" s="144"/>
      <c r="D259" s="144"/>
      <c r="E259" s="81"/>
      <c r="F259" s="82"/>
      <c r="G259" s="81"/>
      <c r="H259" s="83"/>
      <c r="I259" s="65" t="str">
        <f>'Berechnungen 1'!P263</f>
        <v/>
      </c>
      <c r="J259" s="185">
        <f>IF(OR(ISBLANK(E259),ISBLANK(F259)),IF(AND(ISBLANK(B259),ISBLANK(C259),ISBLANK(D259),ISBLANK(E259),ISBLANK(F259),ISBLANK(G259),ISBLANK(H259)),St.Wert_Schritt2.keineAngaben,St.Wert_Schritt2.fehlendeAngaben),'Berechnungen 1'!O263)</f>
        <v>999</v>
      </c>
    </row>
    <row r="260" spans="1:10" x14ac:dyDescent="0.2">
      <c r="A260" s="71">
        <v>253</v>
      </c>
      <c r="B260" s="80"/>
      <c r="C260" s="144"/>
      <c r="D260" s="144"/>
      <c r="E260" s="81"/>
      <c r="F260" s="82"/>
      <c r="G260" s="81"/>
      <c r="H260" s="83"/>
      <c r="I260" s="65" t="str">
        <f>'Berechnungen 1'!P264</f>
        <v/>
      </c>
      <c r="J260" s="185">
        <f>IF(OR(ISBLANK(E260),ISBLANK(F260)),IF(AND(ISBLANK(B260),ISBLANK(C260),ISBLANK(D260),ISBLANK(E260),ISBLANK(F260),ISBLANK(G260),ISBLANK(H260)),St.Wert_Schritt2.keineAngaben,St.Wert_Schritt2.fehlendeAngaben),'Berechnungen 1'!O264)</f>
        <v>999</v>
      </c>
    </row>
    <row r="261" spans="1:10" x14ac:dyDescent="0.2">
      <c r="A261" s="71">
        <v>254</v>
      </c>
      <c r="B261" s="80"/>
      <c r="C261" s="144"/>
      <c r="D261" s="144"/>
      <c r="E261" s="81"/>
      <c r="F261" s="82"/>
      <c r="G261" s="81"/>
      <c r="H261" s="83"/>
      <c r="I261" s="65" t="str">
        <f>'Berechnungen 1'!P265</f>
        <v/>
      </c>
      <c r="J261" s="185">
        <f>IF(OR(ISBLANK(E261),ISBLANK(F261)),IF(AND(ISBLANK(B261),ISBLANK(C261),ISBLANK(D261),ISBLANK(E261),ISBLANK(F261),ISBLANK(G261),ISBLANK(H261)),St.Wert_Schritt2.keineAngaben,St.Wert_Schritt2.fehlendeAngaben),'Berechnungen 1'!O265)</f>
        <v>999</v>
      </c>
    </row>
    <row r="262" spans="1:10" x14ac:dyDescent="0.2">
      <c r="A262" s="71">
        <v>255</v>
      </c>
      <c r="B262" s="80"/>
      <c r="C262" s="144"/>
      <c r="D262" s="144"/>
      <c r="E262" s="81"/>
      <c r="F262" s="82"/>
      <c r="G262" s="81"/>
      <c r="H262" s="83"/>
      <c r="I262" s="65" t="str">
        <f>'Berechnungen 1'!P266</f>
        <v/>
      </c>
      <c r="J262" s="185">
        <f>IF(OR(ISBLANK(E262),ISBLANK(F262)),IF(AND(ISBLANK(B262),ISBLANK(C262),ISBLANK(D262),ISBLANK(E262),ISBLANK(F262),ISBLANK(G262),ISBLANK(H262)),St.Wert_Schritt2.keineAngaben,St.Wert_Schritt2.fehlendeAngaben),'Berechnungen 1'!O266)</f>
        <v>999</v>
      </c>
    </row>
    <row r="263" spans="1:10" x14ac:dyDescent="0.2">
      <c r="A263" s="71">
        <v>256</v>
      </c>
      <c r="B263" s="80"/>
      <c r="C263" s="144"/>
      <c r="D263" s="144"/>
      <c r="E263" s="81"/>
      <c r="F263" s="82"/>
      <c r="G263" s="81"/>
      <c r="H263" s="83"/>
      <c r="I263" s="65" t="str">
        <f>'Berechnungen 1'!P267</f>
        <v/>
      </c>
      <c r="J263" s="185">
        <f>IF(OR(ISBLANK(E263),ISBLANK(F263)),IF(AND(ISBLANK(B263),ISBLANK(C263),ISBLANK(D263),ISBLANK(E263),ISBLANK(F263),ISBLANK(G263),ISBLANK(H263)),St.Wert_Schritt2.keineAngaben,St.Wert_Schritt2.fehlendeAngaben),'Berechnungen 1'!O267)</f>
        <v>999</v>
      </c>
    </row>
    <row r="264" spans="1:10" x14ac:dyDescent="0.2">
      <c r="A264" s="71">
        <v>257</v>
      </c>
      <c r="B264" s="80"/>
      <c r="C264" s="144"/>
      <c r="D264" s="144"/>
      <c r="E264" s="81"/>
      <c r="F264" s="82"/>
      <c r="G264" s="81"/>
      <c r="H264" s="83"/>
      <c r="I264" s="65" t="str">
        <f>'Berechnungen 1'!P268</f>
        <v/>
      </c>
      <c r="J264" s="185">
        <f>IF(OR(ISBLANK(E264),ISBLANK(F264)),IF(AND(ISBLANK(B264),ISBLANK(C264),ISBLANK(D264),ISBLANK(E264),ISBLANK(F264),ISBLANK(G264),ISBLANK(H264)),St.Wert_Schritt2.keineAngaben,St.Wert_Schritt2.fehlendeAngaben),'Berechnungen 1'!O268)</f>
        <v>999</v>
      </c>
    </row>
    <row r="265" spans="1:10" x14ac:dyDescent="0.2">
      <c r="A265" s="71">
        <v>258</v>
      </c>
      <c r="B265" s="80"/>
      <c r="C265" s="144"/>
      <c r="D265" s="144"/>
      <c r="E265" s="81"/>
      <c r="F265" s="82"/>
      <c r="G265" s="81"/>
      <c r="H265" s="83"/>
      <c r="I265" s="65" t="str">
        <f>'Berechnungen 1'!P269</f>
        <v/>
      </c>
      <c r="J265" s="185">
        <f>IF(OR(ISBLANK(E265),ISBLANK(F265)),IF(AND(ISBLANK(B265),ISBLANK(C265),ISBLANK(D265),ISBLANK(E265),ISBLANK(F265),ISBLANK(G265),ISBLANK(H265)),St.Wert_Schritt2.keineAngaben,St.Wert_Schritt2.fehlendeAngaben),'Berechnungen 1'!O269)</f>
        <v>999</v>
      </c>
    </row>
    <row r="266" spans="1:10" x14ac:dyDescent="0.2">
      <c r="A266" s="71">
        <v>259</v>
      </c>
      <c r="B266" s="80"/>
      <c r="C266" s="144"/>
      <c r="D266" s="144"/>
      <c r="E266" s="81"/>
      <c r="F266" s="82"/>
      <c r="G266" s="81"/>
      <c r="H266" s="83"/>
      <c r="I266" s="65" t="str">
        <f>'Berechnungen 1'!P270</f>
        <v/>
      </c>
      <c r="J266" s="185">
        <f>IF(OR(ISBLANK(E266),ISBLANK(F266)),IF(AND(ISBLANK(B266),ISBLANK(C266),ISBLANK(D266),ISBLANK(E266),ISBLANK(F266),ISBLANK(G266),ISBLANK(H266)),St.Wert_Schritt2.keineAngaben,St.Wert_Schritt2.fehlendeAngaben),'Berechnungen 1'!O270)</f>
        <v>999</v>
      </c>
    </row>
    <row r="267" spans="1:10" x14ac:dyDescent="0.2">
      <c r="A267" s="71">
        <v>260</v>
      </c>
      <c r="B267" s="80"/>
      <c r="C267" s="144"/>
      <c r="D267" s="144"/>
      <c r="E267" s="81"/>
      <c r="F267" s="82"/>
      <c r="G267" s="81"/>
      <c r="H267" s="83"/>
      <c r="I267" s="65" t="str">
        <f>'Berechnungen 1'!P271</f>
        <v/>
      </c>
      <c r="J267" s="185">
        <f>IF(OR(ISBLANK(E267),ISBLANK(F267)),IF(AND(ISBLANK(B267),ISBLANK(C267),ISBLANK(D267),ISBLANK(E267),ISBLANK(F267),ISBLANK(G267),ISBLANK(H267)),St.Wert_Schritt2.keineAngaben,St.Wert_Schritt2.fehlendeAngaben),'Berechnungen 1'!O271)</f>
        <v>999</v>
      </c>
    </row>
    <row r="268" spans="1:10" x14ac:dyDescent="0.2">
      <c r="A268" s="71">
        <v>261</v>
      </c>
      <c r="B268" s="80"/>
      <c r="C268" s="144"/>
      <c r="D268" s="144"/>
      <c r="E268" s="81"/>
      <c r="F268" s="82"/>
      <c r="G268" s="81"/>
      <c r="H268" s="83"/>
      <c r="I268" s="65" t="str">
        <f>'Berechnungen 1'!P272</f>
        <v/>
      </c>
      <c r="J268" s="185">
        <f>IF(OR(ISBLANK(E268),ISBLANK(F268)),IF(AND(ISBLANK(B268),ISBLANK(C268),ISBLANK(D268),ISBLANK(E268),ISBLANK(F268),ISBLANK(G268),ISBLANK(H268)),St.Wert_Schritt2.keineAngaben,St.Wert_Schritt2.fehlendeAngaben),'Berechnungen 1'!O272)</f>
        <v>999</v>
      </c>
    </row>
    <row r="269" spans="1:10" x14ac:dyDescent="0.2">
      <c r="A269" s="71">
        <v>262</v>
      </c>
      <c r="B269" s="80"/>
      <c r="C269" s="144"/>
      <c r="D269" s="144"/>
      <c r="E269" s="81"/>
      <c r="F269" s="82"/>
      <c r="G269" s="81"/>
      <c r="H269" s="83"/>
      <c r="I269" s="65" t="str">
        <f>'Berechnungen 1'!P273</f>
        <v/>
      </c>
      <c r="J269" s="185">
        <f>IF(OR(ISBLANK(E269),ISBLANK(F269)),IF(AND(ISBLANK(B269),ISBLANK(C269),ISBLANK(D269),ISBLANK(E269),ISBLANK(F269),ISBLANK(G269),ISBLANK(H269)),St.Wert_Schritt2.keineAngaben,St.Wert_Schritt2.fehlendeAngaben),'Berechnungen 1'!O273)</f>
        <v>999</v>
      </c>
    </row>
    <row r="270" spans="1:10" x14ac:dyDescent="0.2">
      <c r="A270" s="71">
        <v>263</v>
      </c>
      <c r="B270" s="80"/>
      <c r="C270" s="144"/>
      <c r="D270" s="144"/>
      <c r="E270" s="81"/>
      <c r="F270" s="82"/>
      <c r="G270" s="81"/>
      <c r="H270" s="83"/>
      <c r="I270" s="65" t="str">
        <f>'Berechnungen 1'!P274</f>
        <v/>
      </c>
      <c r="J270" s="185">
        <f>IF(OR(ISBLANK(E270),ISBLANK(F270)),IF(AND(ISBLANK(B270),ISBLANK(C270),ISBLANK(D270),ISBLANK(E270),ISBLANK(F270),ISBLANK(G270),ISBLANK(H270)),St.Wert_Schritt2.keineAngaben,St.Wert_Schritt2.fehlendeAngaben),'Berechnungen 1'!O274)</f>
        <v>999</v>
      </c>
    </row>
    <row r="271" spans="1:10" x14ac:dyDescent="0.2">
      <c r="A271" s="71">
        <v>264</v>
      </c>
      <c r="B271" s="80"/>
      <c r="C271" s="144"/>
      <c r="D271" s="144"/>
      <c r="E271" s="81"/>
      <c r="F271" s="82"/>
      <c r="G271" s="81"/>
      <c r="H271" s="83"/>
      <c r="I271" s="65" t="str">
        <f>'Berechnungen 1'!P275</f>
        <v/>
      </c>
      <c r="J271" s="185">
        <f>IF(OR(ISBLANK(E271),ISBLANK(F271)),IF(AND(ISBLANK(B271),ISBLANK(C271),ISBLANK(D271),ISBLANK(E271),ISBLANK(F271),ISBLANK(G271),ISBLANK(H271)),St.Wert_Schritt2.keineAngaben,St.Wert_Schritt2.fehlendeAngaben),'Berechnungen 1'!O275)</f>
        <v>999</v>
      </c>
    </row>
    <row r="272" spans="1:10" x14ac:dyDescent="0.2">
      <c r="A272" s="71">
        <v>265</v>
      </c>
      <c r="B272" s="80"/>
      <c r="C272" s="144"/>
      <c r="D272" s="144"/>
      <c r="E272" s="81"/>
      <c r="F272" s="82"/>
      <c r="G272" s="81"/>
      <c r="H272" s="83"/>
      <c r="I272" s="65" t="str">
        <f>'Berechnungen 1'!P276</f>
        <v/>
      </c>
      <c r="J272" s="185">
        <f>IF(OR(ISBLANK(E272),ISBLANK(F272)),IF(AND(ISBLANK(B272),ISBLANK(C272),ISBLANK(D272),ISBLANK(E272),ISBLANK(F272),ISBLANK(G272),ISBLANK(H272)),St.Wert_Schritt2.keineAngaben,St.Wert_Schritt2.fehlendeAngaben),'Berechnungen 1'!O276)</f>
        <v>999</v>
      </c>
    </row>
    <row r="273" spans="1:10" x14ac:dyDescent="0.2">
      <c r="A273" s="71">
        <v>266</v>
      </c>
      <c r="B273" s="80"/>
      <c r="C273" s="144"/>
      <c r="D273" s="144"/>
      <c r="E273" s="81"/>
      <c r="F273" s="82"/>
      <c r="G273" s="81"/>
      <c r="H273" s="83"/>
      <c r="I273" s="65" t="str">
        <f>'Berechnungen 1'!P277</f>
        <v/>
      </c>
      <c r="J273" s="185">
        <f>IF(OR(ISBLANK(E273),ISBLANK(F273)),IF(AND(ISBLANK(B273),ISBLANK(C273),ISBLANK(D273),ISBLANK(E273),ISBLANK(F273),ISBLANK(G273),ISBLANK(H273)),St.Wert_Schritt2.keineAngaben,St.Wert_Schritt2.fehlendeAngaben),'Berechnungen 1'!O277)</f>
        <v>999</v>
      </c>
    </row>
    <row r="274" spans="1:10" x14ac:dyDescent="0.2">
      <c r="A274" s="71">
        <v>267</v>
      </c>
      <c r="B274" s="80"/>
      <c r="C274" s="144"/>
      <c r="D274" s="144"/>
      <c r="E274" s="81"/>
      <c r="F274" s="82"/>
      <c r="G274" s="81"/>
      <c r="H274" s="83"/>
      <c r="I274" s="65" t="str">
        <f>'Berechnungen 1'!P278</f>
        <v/>
      </c>
      <c r="J274" s="185">
        <f>IF(OR(ISBLANK(E274),ISBLANK(F274)),IF(AND(ISBLANK(B274),ISBLANK(C274),ISBLANK(D274),ISBLANK(E274),ISBLANK(F274),ISBLANK(G274),ISBLANK(H274)),St.Wert_Schritt2.keineAngaben,St.Wert_Schritt2.fehlendeAngaben),'Berechnungen 1'!O278)</f>
        <v>999</v>
      </c>
    </row>
    <row r="275" spans="1:10" x14ac:dyDescent="0.2">
      <c r="A275" s="71">
        <v>268</v>
      </c>
      <c r="B275" s="80"/>
      <c r="C275" s="144"/>
      <c r="D275" s="144"/>
      <c r="E275" s="81"/>
      <c r="F275" s="82"/>
      <c r="G275" s="81"/>
      <c r="H275" s="83"/>
      <c r="I275" s="65" t="str">
        <f>'Berechnungen 1'!P279</f>
        <v/>
      </c>
      <c r="J275" s="185">
        <f>IF(OR(ISBLANK(E275),ISBLANK(F275)),IF(AND(ISBLANK(B275),ISBLANK(C275),ISBLANK(D275),ISBLANK(E275),ISBLANK(F275),ISBLANK(G275),ISBLANK(H275)),St.Wert_Schritt2.keineAngaben,St.Wert_Schritt2.fehlendeAngaben),'Berechnungen 1'!O279)</f>
        <v>999</v>
      </c>
    </row>
    <row r="276" spans="1:10" x14ac:dyDescent="0.2">
      <c r="A276" s="71">
        <v>269</v>
      </c>
      <c r="B276" s="80"/>
      <c r="C276" s="144"/>
      <c r="D276" s="144"/>
      <c r="E276" s="81"/>
      <c r="F276" s="82"/>
      <c r="G276" s="81"/>
      <c r="H276" s="83"/>
      <c r="I276" s="65" t="str">
        <f>'Berechnungen 1'!P280</f>
        <v/>
      </c>
      <c r="J276" s="185">
        <f>IF(OR(ISBLANK(E276),ISBLANK(F276)),IF(AND(ISBLANK(B276),ISBLANK(C276),ISBLANK(D276),ISBLANK(E276),ISBLANK(F276),ISBLANK(G276),ISBLANK(H276)),St.Wert_Schritt2.keineAngaben,St.Wert_Schritt2.fehlendeAngaben),'Berechnungen 1'!O280)</f>
        <v>999</v>
      </c>
    </row>
    <row r="277" spans="1:10" x14ac:dyDescent="0.2">
      <c r="A277" s="71">
        <v>270</v>
      </c>
      <c r="B277" s="80"/>
      <c r="C277" s="144"/>
      <c r="D277" s="144"/>
      <c r="E277" s="81"/>
      <c r="F277" s="82"/>
      <c r="G277" s="81"/>
      <c r="H277" s="83"/>
      <c r="I277" s="65" t="str">
        <f>'Berechnungen 1'!P281</f>
        <v/>
      </c>
      <c r="J277" s="185">
        <f>IF(OR(ISBLANK(E277),ISBLANK(F277)),IF(AND(ISBLANK(B277),ISBLANK(C277),ISBLANK(D277),ISBLANK(E277),ISBLANK(F277),ISBLANK(G277),ISBLANK(H277)),St.Wert_Schritt2.keineAngaben,St.Wert_Schritt2.fehlendeAngaben),'Berechnungen 1'!O281)</f>
        <v>999</v>
      </c>
    </row>
    <row r="278" spans="1:10" x14ac:dyDescent="0.2">
      <c r="A278" s="71">
        <v>271</v>
      </c>
      <c r="B278" s="80"/>
      <c r="C278" s="144"/>
      <c r="D278" s="144"/>
      <c r="E278" s="81"/>
      <c r="F278" s="82"/>
      <c r="G278" s="81"/>
      <c r="H278" s="83"/>
      <c r="I278" s="65" t="str">
        <f>'Berechnungen 1'!P282</f>
        <v/>
      </c>
      <c r="J278" s="185">
        <f>IF(OR(ISBLANK(E278),ISBLANK(F278)),IF(AND(ISBLANK(B278),ISBLANK(C278),ISBLANK(D278),ISBLANK(E278),ISBLANK(F278),ISBLANK(G278),ISBLANK(H278)),St.Wert_Schritt2.keineAngaben,St.Wert_Schritt2.fehlendeAngaben),'Berechnungen 1'!O282)</f>
        <v>999</v>
      </c>
    </row>
    <row r="279" spans="1:10" x14ac:dyDescent="0.2">
      <c r="A279" s="71">
        <v>272</v>
      </c>
      <c r="B279" s="80"/>
      <c r="C279" s="144"/>
      <c r="D279" s="144"/>
      <c r="E279" s="81"/>
      <c r="F279" s="82"/>
      <c r="G279" s="81"/>
      <c r="H279" s="83"/>
      <c r="I279" s="65" t="str">
        <f>'Berechnungen 1'!P283</f>
        <v/>
      </c>
      <c r="J279" s="185">
        <f>IF(OR(ISBLANK(E279),ISBLANK(F279)),IF(AND(ISBLANK(B279),ISBLANK(C279),ISBLANK(D279),ISBLANK(E279),ISBLANK(F279),ISBLANK(G279),ISBLANK(H279)),St.Wert_Schritt2.keineAngaben,St.Wert_Schritt2.fehlendeAngaben),'Berechnungen 1'!O283)</f>
        <v>999</v>
      </c>
    </row>
    <row r="280" spans="1:10" x14ac:dyDescent="0.2">
      <c r="A280" s="71">
        <v>273</v>
      </c>
      <c r="B280" s="80"/>
      <c r="C280" s="144"/>
      <c r="D280" s="144"/>
      <c r="E280" s="81"/>
      <c r="F280" s="82"/>
      <c r="G280" s="81"/>
      <c r="H280" s="83"/>
      <c r="I280" s="65" t="str">
        <f>'Berechnungen 1'!P284</f>
        <v/>
      </c>
      <c r="J280" s="185">
        <f>IF(OR(ISBLANK(E280),ISBLANK(F280)),IF(AND(ISBLANK(B280),ISBLANK(C280),ISBLANK(D280),ISBLANK(E280),ISBLANK(F280),ISBLANK(G280),ISBLANK(H280)),St.Wert_Schritt2.keineAngaben,St.Wert_Schritt2.fehlendeAngaben),'Berechnungen 1'!O284)</f>
        <v>999</v>
      </c>
    </row>
    <row r="281" spans="1:10" x14ac:dyDescent="0.2">
      <c r="A281" s="71">
        <v>274</v>
      </c>
      <c r="B281" s="80"/>
      <c r="C281" s="144"/>
      <c r="D281" s="144"/>
      <c r="E281" s="81"/>
      <c r="F281" s="82"/>
      <c r="G281" s="81"/>
      <c r="H281" s="83"/>
      <c r="I281" s="65" t="str">
        <f>'Berechnungen 1'!P285</f>
        <v/>
      </c>
      <c r="J281" s="185">
        <f>IF(OR(ISBLANK(E281),ISBLANK(F281)),IF(AND(ISBLANK(B281),ISBLANK(C281),ISBLANK(D281),ISBLANK(E281),ISBLANK(F281),ISBLANK(G281),ISBLANK(H281)),St.Wert_Schritt2.keineAngaben,St.Wert_Schritt2.fehlendeAngaben),'Berechnungen 1'!O285)</f>
        <v>999</v>
      </c>
    </row>
    <row r="282" spans="1:10" x14ac:dyDescent="0.2">
      <c r="A282" s="71">
        <v>275</v>
      </c>
      <c r="B282" s="80"/>
      <c r="C282" s="144"/>
      <c r="D282" s="144"/>
      <c r="E282" s="81"/>
      <c r="F282" s="82"/>
      <c r="G282" s="81"/>
      <c r="H282" s="83"/>
      <c r="I282" s="65" t="str">
        <f>'Berechnungen 1'!P286</f>
        <v/>
      </c>
      <c r="J282" s="185">
        <f>IF(OR(ISBLANK(E282),ISBLANK(F282)),IF(AND(ISBLANK(B282),ISBLANK(C282),ISBLANK(D282),ISBLANK(E282),ISBLANK(F282),ISBLANK(G282),ISBLANK(H282)),St.Wert_Schritt2.keineAngaben,St.Wert_Schritt2.fehlendeAngaben),'Berechnungen 1'!O286)</f>
        <v>999</v>
      </c>
    </row>
    <row r="283" spans="1:10" x14ac:dyDescent="0.2">
      <c r="A283" s="71">
        <v>276</v>
      </c>
      <c r="B283" s="80"/>
      <c r="C283" s="144"/>
      <c r="D283" s="144"/>
      <c r="E283" s="81"/>
      <c r="F283" s="82"/>
      <c r="G283" s="81"/>
      <c r="H283" s="83"/>
      <c r="I283" s="65" t="str">
        <f>'Berechnungen 1'!P287</f>
        <v/>
      </c>
      <c r="J283" s="185">
        <f>IF(OR(ISBLANK(E283),ISBLANK(F283)),IF(AND(ISBLANK(B283),ISBLANK(C283),ISBLANK(D283),ISBLANK(E283),ISBLANK(F283),ISBLANK(G283),ISBLANK(H283)),St.Wert_Schritt2.keineAngaben,St.Wert_Schritt2.fehlendeAngaben),'Berechnungen 1'!O287)</f>
        <v>999</v>
      </c>
    </row>
    <row r="284" spans="1:10" x14ac:dyDescent="0.2">
      <c r="A284" s="71">
        <v>277</v>
      </c>
      <c r="B284" s="80"/>
      <c r="C284" s="144"/>
      <c r="D284" s="144"/>
      <c r="E284" s="81"/>
      <c r="F284" s="82"/>
      <c r="G284" s="81"/>
      <c r="H284" s="83"/>
      <c r="I284" s="65" t="str">
        <f>'Berechnungen 1'!P288</f>
        <v/>
      </c>
      <c r="J284" s="185">
        <f>IF(OR(ISBLANK(E284),ISBLANK(F284)),IF(AND(ISBLANK(B284),ISBLANK(C284),ISBLANK(D284),ISBLANK(E284),ISBLANK(F284),ISBLANK(G284),ISBLANK(H284)),St.Wert_Schritt2.keineAngaben,St.Wert_Schritt2.fehlendeAngaben),'Berechnungen 1'!O288)</f>
        <v>999</v>
      </c>
    </row>
    <row r="285" spans="1:10" x14ac:dyDescent="0.2">
      <c r="A285" s="71">
        <v>278</v>
      </c>
      <c r="B285" s="80"/>
      <c r="C285" s="144"/>
      <c r="D285" s="144"/>
      <c r="E285" s="81"/>
      <c r="F285" s="82"/>
      <c r="G285" s="81"/>
      <c r="H285" s="83"/>
      <c r="I285" s="65" t="str">
        <f>'Berechnungen 1'!P289</f>
        <v/>
      </c>
      <c r="J285" s="185">
        <f>IF(OR(ISBLANK(E285),ISBLANK(F285)),IF(AND(ISBLANK(B285),ISBLANK(C285),ISBLANK(D285),ISBLANK(E285),ISBLANK(F285),ISBLANK(G285),ISBLANK(H285)),St.Wert_Schritt2.keineAngaben,St.Wert_Schritt2.fehlendeAngaben),'Berechnungen 1'!O289)</f>
        <v>999</v>
      </c>
    </row>
    <row r="286" spans="1:10" x14ac:dyDescent="0.2">
      <c r="A286" s="71">
        <v>279</v>
      </c>
      <c r="B286" s="80"/>
      <c r="C286" s="144"/>
      <c r="D286" s="144"/>
      <c r="E286" s="81"/>
      <c r="F286" s="82"/>
      <c r="G286" s="81"/>
      <c r="H286" s="83"/>
      <c r="I286" s="65" t="str">
        <f>'Berechnungen 1'!P290</f>
        <v/>
      </c>
      <c r="J286" s="185">
        <f>IF(OR(ISBLANK(E286),ISBLANK(F286)),IF(AND(ISBLANK(B286),ISBLANK(C286),ISBLANK(D286),ISBLANK(E286),ISBLANK(F286),ISBLANK(G286),ISBLANK(H286)),St.Wert_Schritt2.keineAngaben,St.Wert_Schritt2.fehlendeAngaben),'Berechnungen 1'!O290)</f>
        <v>999</v>
      </c>
    </row>
    <row r="287" spans="1:10" x14ac:dyDescent="0.2">
      <c r="A287" s="71">
        <v>280</v>
      </c>
      <c r="B287" s="80"/>
      <c r="C287" s="144"/>
      <c r="D287" s="144"/>
      <c r="E287" s="81"/>
      <c r="F287" s="82"/>
      <c r="G287" s="81"/>
      <c r="H287" s="83"/>
      <c r="I287" s="65" t="str">
        <f>'Berechnungen 1'!P291</f>
        <v/>
      </c>
      <c r="J287" s="185">
        <f>IF(OR(ISBLANK(E287),ISBLANK(F287)),IF(AND(ISBLANK(B287),ISBLANK(C287),ISBLANK(D287),ISBLANK(E287),ISBLANK(F287),ISBLANK(G287),ISBLANK(H287)),St.Wert_Schritt2.keineAngaben,St.Wert_Schritt2.fehlendeAngaben),'Berechnungen 1'!O291)</f>
        <v>999</v>
      </c>
    </row>
    <row r="288" spans="1:10" x14ac:dyDescent="0.2">
      <c r="A288" s="71">
        <v>281</v>
      </c>
      <c r="B288" s="80"/>
      <c r="C288" s="144"/>
      <c r="D288" s="144"/>
      <c r="E288" s="81"/>
      <c r="F288" s="82"/>
      <c r="G288" s="81"/>
      <c r="H288" s="83"/>
      <c r="I288" s="65" t="str">
        <f>'Berechnungen 1'!P292</f>
        <v/>
      </c>
      <c r="J288" s="185">
        <f>IF(OR(ISBLANK(E288),ISBLANK(F288)),IF(AND(ISBLANK(B288),ISBLANK(C288),ISBLANK(D288),ISBLANK(E288),ISBLANK(F288),ISBLANK(G288),ISBLANK(H288)),St.Wert_Schritt2.keineAngaben,St.Wert_Schritt2.fehlendeAngaben),'Berechnungen 1'!O292)</f>
        <v>999</v>
      </c>
    </row>
    <row r="289" spans="1:10" x14ac:dyDescent="0.2">
      <c r="A289" s="71">
        <v>282</v>
      </c>
      <c r="B289" s="80"/>
      <c r="C289" s="144"/>
      <c r="D289" s="144"/>
      <c r="E289" s="81"/>
      <c r="F289" s="82"/>
      <c r="G289" s="81"/>
      <c r="H289" s="83"/>
      <c r="I289" s="65" t="str">
        <f>'Berechnungen 1'!P293</f>
        <v/>
      </c>
      <c r="J289" s="185">
        <f>IF(OR(ISBLANK(E289),ISBLANK(F289)),IF(AND(ISBLANK(B289),ISBLANK(C289),ISBLANK(D289),ISBLANK(E289),ISBLANK(F289),ISBLANK(G289),ISBLANK(H289)),St.Wert_Schritt2.keineAngaben,St.Wert_Schritt2.fehlendeAngaben),'Berechnungen 1'!O293)</f>
        <v>999</v>
      </c>
    </row>
    <row r="290" spans="1:10" x14ac:dyDescent="0.2">
      <c r="A290" s="71">
        <v>283</v>
      </c>
      <c r="B290" s="80"/>
      <c r="C290" s="144"/>
      <c r="D290" s="144"/>
      <c r="E290" s="81"/>
      <c r="F290" s="82"/>
      <c r="G290" s="81"/>
      <c r="H290" s="83"/>
      <c r="I290" s="65" t="str">
        <f>'Berechnungen 1'!P294</f>
        <v/>
      </c>
      <c r="J290" s="185">
        <f>IF(OR(ISBLANK(E290),ISBLANK(F290)),IF(AND(ISBLANK(B290),ISBLANK(C290),ISBLANK(D290),ISBLANK(E290),ISBLANK(F290),ISBLANK(G290),ISBLANK(H290)),St.Wert_Schritt2.keineAngaben,St.Wert_Schritt2.fehlendeAngaben),'Berechnungen 1'!O294)</f>
        <v>999</v>
      </c>
    </row>
    <row r="291" spans="1:10" x14ac:dyDescent="0.2">
      <c r="A291" s="71">
        <v>284</v>
      </c>
      <c r="B291" s="80"/>
      <c r="C291" s="144"/>
      <c r="D291" s="144"/>
      <c r="E291" s="81"/>
      <c r="F291" s="82"/>
      <c r="G291" s="81"/>
      <c r="H291" s="83"/>
      <c r="I291" s="65" t="str">
        <f>'Berechnungen 1'!P295</f>
        <v/>
      </c>
      <c r="J291" s="185">
        <f>IF(OR(ISBLANK(E291),ISBLANK(F291)),IF(AND(ISBLANK(B291),ISBLANK(C291),ISBLANK(D291),ISBLANK(E291),ISBLANK(F291),ISBLANK(G291),ISBLANK(H291)),St.Wert_Schritt2.keineAngaben,St.Wert_Schritt2.fehlendeAngaben),'Berechnungen 1'!O295)</f>
        <v>999</v>
      </c>
    </row>
    <row r="292" spans="1:10" x14ac:dyDescent="0.2">
      <c r="A292" s="71">
        <v>285</v>
      </c>
      <c r="B292" s="80"/>
      <c r="C292" s="144"/>
      <c r="D292" s="144"/>
      <c r="E292" s="81"/>
      <c r="F292" s="82"/>
      <c r="G292" s="81"/>
      <c r="H292" s="83"/>
      <c r="I292" s="65" t="str">
        <f>'Berechnungen 1'!P296</f>
        <v/>
      </c>
      <c r="J292" s="185">
        <f>IF(OR(ISBLANK(E292),ISBLANK(F292)),IF(AND(ISBLANK(B292),ISBLANK(C292),ISBLANK(D292),ISBLANK(E292),ISBLANK(F292),ISBLANK(G292),ISBLANK(H292)),St.Wert_Schritt2.keineAngaben,St.Wert_Schritt2.fehlendeAngaben),'Berechnungen 1'!O296)</f>
        <v>999</v>
      </c>
    </row>
    <row r="293" spans="1:10" x14ac:dyDescent="0.2">
      <c r="A293" s="71">
        <v>286</v>
      </c>
      <c r="B293" s="80"/>
      <c r="C293" s="144"/>
      <c r="D293" s="144"/>
      <c r="E293" s="81"/>
      <c r="F293" s="82"/>
      <c r="G293" s="81"/>
      <c r="H293" s="83"/>
      <c r="I293" s="65" t="str">
        <f>'Berechnungen 1'!P297</f>
        <v/>
      </c>
      <c r="J293" s="185">
        <f>IF(OR(ISBLANK(E293),ISBLANK(F293)),IF(AND(ISBLANK(B293),ISBLANK(C293),ISBLANK(D293),ISBLANK(E293),ISBLANK(F293),ISBLANK(G293),ISBLANK(H293)),St.Wert_Schritt2.keineAngaben,St.Wert_Schritt2.fehlendeAngaben),'Berechnungen 1'!O297)</f>
        <v>999</v>
      </c>
    </row>
    <row r="294" spans="1:10" x14ac:dyDescent="0.2">
      <c r="A294" s="71">
        <v>287</v>
      </c>
      <c r="B294" s="80"/>
      <c r="C294" s="144"/>
      <c r="D294" s="144"/>
      <c r="E294" s="81"/>
      <c r="F294" s="82"/>
      <c r="G294" s="81"/>
      <c r="H294" s="83"/>
      <c r="I294" s="65" t="str">
        <f>'Berechnungen 1'!P298</f>
        <v/>
      </c>
      <c r="J294" s="185">
        <f>IF(OR(ISBLANK(E294),ISBLANK(F294)),IF(AND(ISBLANK(B294),ISBLANK(C294),ISBLANK(D294),ISBLANK(E294),ISBLANK(F294),ISBLANK(G294),ISBLANK(H294)),St.Wert_Schritt2.keineAngaben,St.Wert_Schritt2.fehlendeAngaben),'Berechnungen 1'!O298)</f>
        <v>999</v>
      </c>
    </row>
    <row r="295" spans="1:10" x14ac:dyDescent="0.2">
      <c r="A295" s="71">
        <v>288</v>
      </c>
      <c r="B295" s="80"/>
      <c r="C295" s="144"/>
      <c r="D295" s="144"/>
      <c r="E295" s="81"/>
      <c r="F295" s="82"/>
      <c r="G295" s="81"/>
      <c r="H295" s="83"/>
      <c r="I295" s="65" t="str">
        <f>'Berechnungen 1'!P299</f>
        <v/>
      </c>
      <c r="J295" s="185">
        <f>IF(OR(ISBLANK(E295),ISBLANK(F295)),IF(AND(ISBLANK(B295),ISBLANK(C295),ISBLANK(D295),ISBLANK(E295),ISBLANK(F295),ISBLANK(G295),ISBLANK(H295)),St.Wert_Schritt2.keineAngaben,St.Wert_Schritt2.fehlendeAngaben),'Berechnungen 1'!O299)</f>
        <v>999</v>
      </c>
    </row>
    <row r="296" spans="1:10" x14ac:dyDescent="0.2">
      <c r="A296" s="71">
        <v>289</v>
      </c>
      <c r="B296" s="80"/>
      <c r="C296" s="144"/>
      <c r="D296" s="144"/>
      <c r="E296" s="81"/>
      <c r="F296" s="82"/>
      <c r="G296" s="81"/>
      <c r="H296" s="83"/>
      <c r="I296" s="65" t="str">
        <f>'Berechnungen 1'!P300</f>
        <v/>
      </c>
      <c r="J296" s="185">
        <f>IF(OR(ISBLANK(E296),ISBLANK(F296)),IF(AND(ISBLANK(B296),ISBLANK(C296),ISBLANK(D296),ISBLANK(E296),ISBLANK(F296),ISBLANK(G296),ISBLANK(H296)),St.Wert_Schritt2.keineAngaben,St.Wert_Schritt2.fehlendeAngaben),'Berechnungen 1'!O300)</f>
        <v>999</v>
      </c>
    </row>
    <row r="297" spans="1:10" x14ac:dyDescent="0.2">
      <c r="A297" s="71">
        <v>290</v>
      </c>
      <c r="B297" s="80"/>
      <c r="C297" s="144"/>
      <c r="D297" s="144"/>
      <c r="E297" s="81"/>
      <c r="F297" s="82"/>
      <c r="G297" s="81"/>
      <c r="H297" s="83"/>
      <c r="I297" s="65" t="str">
        <f>'Berechnungen 1'!P301</f>
        <v/>
      </c>
      <c r="J297" s="185">
        <f>IF(OR(ISBLANK(E297),ISBLANK(F297)),IF(AND(ISBLANK(B297),ISBLANK(C297),ISBLANK(D297),ISBLANK(E297),ISBLANK(F297),ISBLANK(G297),ISBLANK(H297)),St.Wert_Schritt2.keineAngaben,St.Wert_Schritt2.fehlendeAngaben),'Berechnungen 1'!O301)</f>
        <v>999</v>
      </c>
    </row>
    <row r="298" spans="1:10" x14ac:dyDescent="0.2">
      <c r="A298" s="71">
        <v>291</v>
      </c>
      <c r="B298" s="80"/>
      <c r="C298" s="144"/>
      <c r="D298" s="144"/>
      <c r="E298" s="81"/>
      <c r="F298" s="82"/>
      <c r="G298" s="81"/>
      <c r="H298" s="83"/>
      <c r="I298" s="65" t="str">
        <f>'Berechnungen 1'!P302</f>
        <v/>
      </c>
      <c r="J298" s="185">
        <f>IF(OR(ISBLANK(E298),ISBLANK(F298)),IF(AND(ISBLANK(B298),ISBLANK(C298),ISBLANK(D298),ISBLANK(E298),ISBLANK(F298),ISBLANK(G298),ISBLANK(H298)),St.Wert_Schritt2.keineAngaben,St.Wert_Schritt2.fehlendeAngaben),'Berechnungen 1'!O302)</f>
        <v>999</v>
      </c>
    </row>
    <row r="299" spans="1:10" x14ac:dyDescent="0.2">
      <c r="A299" s="71">
        <v>292</v>
      </c>
      <c r="B299" s="80"/>
      <c r="C299" s="144"/>
      <c r="D299" s="144"/>
      <c r="E299" s="81"/>
      <c r="F299" s="82"/>
      <c r="G299" s="81"/>
      <c r="H299" s="83"/>
      <c r="I299" s="65" t="str">
        <f>'Berechnungen 1'!P303</f>
        <v/>
      </c>
      <c r="J299" s="185">
        <f>IF(OR(ISBLANK(E299),ISBLANK(F299)),IF(AND(ISBLANK(B299),ISBLANK(C299),ISBLANK(D299),ISBLANK(E299),ISBLANK(F299),ISBLANK(G299),ISBLANK(H299)),St.Wert_Schritt2.keineAngaben,St.Wert_Schritt2.fehlendeAngaben),'Berechnungen 1'!O303)</f>
        <v>999</v>
      </c>
    </row>
    <row r="300" spans="1:10" x14ac:dyDescent="0.2">
      <c r="A300" s="71">
        <v>293</v>
      </c>
      <c r="B300" s="80"/>
      <c r="C300" s="144"/>
      <c r="D300" s="144"/>
      <c r="E300" s="81"/>
      <c r="F300" s="82"/>
      <c r="G300" s="81"/>
      <c r="H300" s="83"/>
      <c r="I300" s="65" t="str">
        <f>'Berechnungen 1'!P304</f>
        <v/>
      </c>
      <c r="J300" s="185">
        <f>IF(OR(ISBLANK(E300),ISBLANK(F300)),IF(AND(ISBLANK(B300),ISBLANK(C300),ISBLANK(D300),ISBLANK(E300),ISBLANK(F300),ISBLANK(G300),ISBLANK(H300)),St.Wert_Schritt2.keineAngaben,St.Wert_Schritt2.fehlendeAngaben),'Berechnungen 1'!O304)</f>
        <v>999</v>
      </c>
    </row>
    <row r="301" spans="1:10" x14ac:dyDescent="0.2">
      <c r="A301" s="71">
        <v>294</v>
      </c>
      <c r="B301" s="80"/>
      <c r="C301" s="144"/>
      <c r="D301" s="144"/>
      <c r="E301" s="81"/>
      <c r="F301" s="82"/>
      <c r="G301" s="81"/>
      <c r="H301" s="83"/>
      <c r="I301" s="65" t="str">
        <f>'Berechnungen 1'!P305</f>
        <v/>
      </c>
      <c r="J301" s="185">
        <f>IF(OR(ISBLANK(E301),ISBLANK(F301)),IF(AND(ISBLANK(B301),ISBLANK(C301),ISBLANK(D301),ISBLANK(E301),ISBLANK(F301),ISBLANK(G301),ISBLANK(H301)),St.Wert_Schritt2.keineAngaben,St.Wert_Schritt2.fehlendeAngaben),'Berechnungen 1'!O305)</f>
        <v>999</v>
      </c>
    </row>
    <row r="302" spans="1:10" x14ac:dyDescent="0.2">
      <c r="A302" s="71">
        <v>295</v>
      </c>
      <c r="B302" s="80"/>
      <c r="C302" s="144"/>
      <c r="D302" s="144"/>
      <c r="E302" s="81"/>
      <c r="F302" s="82"/>
      <c r="G302" s="81"/>
      <c r="H302" s="83"/>
      <c r="I302" s="65" t="str">
        <f>'Berechnungen 1'!P306</f>
        <v/>
      </c>
      <c r="J302" s="185">
        <f>IF(OR(ISBLANK(E302),ISBLANK(F302)),IF(AND(ISBLANK(B302),ISBLANK(C302),ISBLANK(D302),ISBLANK(E302),ISBLANK(F302),ISBLANK(G302),ISBLANK(H302)),St.Wert_Schritt2.keineAngaben,St.Wert_Schritt2.fehlendeAngaben),'Berechnungen 1'!O306)</f>
        <v>999</v>
      </c>
    </row>
    <row r="303" spans="1:10" x14ac:dyDescent="0.2">
      <c r="A303" s="71">
        <v>296</v>
      </c>
      <c r="B303" s="80"/>
      <c r="C303" s="144"/>
      <c r="D303" s="144"/>
      <c r="E303" s="81"/>
      <c r="F303" s="82"/>
      <c r="G303" s="81"/>
      <c r="H303" s="83"/>
      <c r="I303" s="65" t="str">
        <f>'Berechnungen 1'!P307</f>
        <v/>
      </c>
      <c r="J303" s="185">
        <f>IF(OR(ISBLANK(E303),ISBLANK(F303)),IF(AND(ISBLANK(B303),ISBLANK(C303),ISBLANK(D303),ISBLANK(E303),ISBLANK(F303),ISBLANK(G303),ISBLANK(H303)),St.Wert_Schritt2.keineAngaben,St.Wert_Schritt2.fehlendeAngaben),'Berechnungen 1'!O307)</f>
        <v>999</v>
      </c>
    </row>
    <row r="304" spans="1:10" x14ac:dyDescent="0.2">
      <c r="A304" s="71">
        <v>297</v>
      </c>
      <c r="B304" s="80"/>
      <c r="C304" s="144"/>
      <c r="D304" s="144"/>
      <c r="E304" s="81"/>
      <c r="F304" s="82"/>
      <c r="G304" s="81"/>
      <c r="H304" s="83"/>
      <c r="I304" s="65" t="str">
        <f>'Berechnungen 1'!P308</f>
        <v/>
      </c>
      <c r="J304" s="185">
        <f>IF(OR(ISBLANK(E304),ISBLANK(F304)),IF(AND(ISBLANK(B304),ISBLANK(C304),ISBLANK(D304),ISBLANK(E304),ISBLANK(F304),ISBLANK(G304),ISBLANK(H304)),St.Wert_Schritt2.keineAngaben,St.Wert_Schritt2.fehlendeAngaben),'Berechnungen 1'!O308)</f>
        <v>999</v>
      </c>
    </row>
    <row r="305" spans="1:10" x14ac:dyDescent="0.2">
      <c r="A305" s="71">
        <v>298</v>
      </c>
      <c r="B305" s="80"/>
      <c r="C305" s="144"/>
      <c r="D305" s="144"/>
      <c r="E305" s="81"/>
      <c r="F305" s="82"/>
      <c r="G305" s="81"/>
      <c r="H305" s="83"/>
      <c r="I305" s="65" t="str">
        <f>'Berechnungen 1'!P309</f>
        <v/>
      </c>
      <c r="J305" s="185">
        <f>IF(OR(ISBLANK(E305),ISBLANK(F305)),IF(AND(ISBLANK(B305),ISBLANK(C305),ISBLANK(D305),ISBLANK(E305),ISBLANK(F305),ISBLANK(G305),ISBLANK(H305)),St.Wert_Schritt2.keineAngaben,St.Wert_Schritt2.fehlendeAngaben),'Berechnungen 1'!O309)</f>
        <v>999</v>
      </c>
    </row>
    <row r="306" spans="1:10" x14ac:dyDescent="0.2">
      <c r="A306" s="71">
        <v>299</v>
      </c>
      <c r="B306" s="80"/>
      <c r="C306" s="144"/>
      <c r="D306" s="144"/>
      <c r="E306" s="81"/>
      <c r="F306" s="82"/>
      <c r="G306" s="81"/>
      <c r="H306" s="83"/>
      <c r="I306" s="65" t="str">
        <f>'Berechnungen 1'!P310</f>
        <v/>
      </c>
      <c r="J306" s="185">
        <f>IF(OR(ISBLANK(E306),ISBLANK(F306)),IF(AND(ISBLANK(B306),ISBLANK(C306),ISBLANK(D306),ISBLANK(E306),ISBLANK(F306),ISBLANK(G306),ISBLANK(H306)),St.Wert_Schritt2.keineAngaben,St.Wert_Schritt2.fehlendeAngaben),'Berechnungen 1'!O310)</f>
        <v>999</v>
      </c>
    </row>
    <row r="307" spans="1:10" x14ac:dyDescent="0.2">
      <c r="A307" s="71">
        <v>300</v>
      </c>
      <c r="B307" s="80"/>
      <c r="C307" s="144"/>
      <c r="D307" s="144"/>
      <c r="E307" s="81"/>
      <c r="F307" s="82"/>
      <c r="G307" s="81"/>
      <c r="H307" s="83"/>
      <c r="I307" s="65" t="str">
        <f>'Berechnungen 1'!P311</f>
        <v/>
      </c>
      <c r="J307" s="185">
        <f>IF(OR(ISBLANK(E307),ISBLANK(F307)),IF(AND(ISBLANK(B307),ISBLANK(C307),ISBLANK(D307),ISBLANK(E307),ISBLANK(F307),ISBLANK(G307),ISBLANK(H307)),St.Wert_Schritt2.keineAngaben,St.Wert_Schritt2.fehlendeAngaben),'Berechnungen 1'!O311)</f>
        <v>999</v>
      </c>
    </row>
    <row r="308" spans="1:10" x14ac:dyDescent="0.2">
      <c r="A308" s="5"/>
      <c r="B308" s="5"/>
      <c r="C308" s="5"/>
      <c r="D308" s="5"/>
      <c r="E308" s="5"/>
      <c r="F308" s="5"/>
      <c r="G308" s="5"/>
      <c r="H308" s="5"/>
      <c r="I308" s="5"/>
    </row>
  </sheetData>
  <sheetProtection password="9982" sheet="1" objects="1" scenarios="1" selectLockedCells="1"/>
  <mergeCells count="1">
    <mergeCell ref="D2:I2"/>
  </mergeCells>
  <phoneticPr fontId="16" type="noConversion"/>
  <conditionalFormatting sqref="I8:J307">
    <cfRule type="expression" dxfId="28" priority="1">
      <formula>$J8=9999</formula>
    </cfRule>
    <cfRule type="expression" dxfId="27" priority="4">
      <formula>$J8=0</formula>
    </cfRule>
    <cfRule type="expression" dxfId="26" priority="5">
      <formula>$J8=2</formula>
    </cfRule>
    <cfRule type="expression" dxfId="25" priority="6">
      <formula>$J8=1</formula>
    </cfRule>
  </conditionalFormatting>
  <conditionalFormatting sqref="L12">
    <cfRule type="expression" dxfId="24" priority="2" stopIfTrue="1">
      <formula>Kategorie1=13</formula>
    </cfRule>
    <cfRule type="expression" dxfId="23" priority="3" stopIfTrue="1">
      <formula>$F$55</formula>
    </cfRule>
  </conditionalFormatting>
  <dataValidations count="5">
    <dataValidation type="list" allowBlank="1" showInputMessage="1" showErrorMessage="1" sqref="H24:H307">
      <formula1>St.Wert_Hacken</formula1>
    </dataValidation>
    <dataValidation type="decimal" operator="greaterThanOrEqual" allowBlank="1" showInputMessage="1" showErrorMessage="1" sqref="E8:E307">
      <formula1>0</formula1>
    </dataValidation>
    <dataValidation type="whole" allowBlank="1" showInputMessage="1" showErrorMessage="1" sqref="F8:F307">
      <formula1>0</formula1>
      <formula2>8760</formula2>
    </dataValidation>
    <dataValidation type="whole" allowBlank="1" showInputMessage="1" showErrorMessage="1" sqref="G8:G307">
      <formula1>1900</formula1>
      <formula2>2050</formula2>
    </dataValidation>
    <dataValidation type="list" allowBlank="1" showInputMessage="1" showErrorMessage="1" sqref="H8:H23">
      <formula1>St.Wert_Hacken</formula1>
    </dataValidation>
  </dataValidations>
  <pageMargins left="0.51181102362204722" right="0.51181102362204722" top="0.39370078740157483" bottom="0.27559055118110237" header="0.31496062992125984" footer="0.19685039370078741"/>
  <pageSetup paperSize="9" orientation="landscape"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AI313"/>
  <sheetViews>
    <sheetView showGridLines="0" zoomScaleNormal="100" zoomScalePageLayoutView="110" workbookViewId="0">
      <pane xSplit="13" ySplit="12" topLeftCell="N13" activePane="bottomRight" state="frozen"/>
      <selection activeCell="A7" sqref="A7"/>
      <selection pane="topRight" activeCell="A7" sqref="A7"/>
      <selection pane="bottomLeft" activeCell="A7" sqref="A7"/>
      <selection pane="bottomRight" activeCell="E6" sqref="E6"/>
    </sheetView>
  </sheetViews>
  <sheetFormatPr baseColWidth="10" defaultColWidth="10.75" defaultRowHeight="14.25" x14ac:dyDescent="0.2"/>
  <cols>
    <col min="1" max="1" width="3.375" style="2" customWidth="1"/>
    <col min="2" max="3" width="4.75" style="185" hidden="1" customWidth="1"/>
    <col min="4" max="5" width="23.375" style="2" customWidth="1"/>
    <col min="6" max="6" width="13.125" style="2" customWidth="1"/>
    <col min="7" max="8" width="5.375" style="2" customWidth="1"/>
    <col min="9" max="9" width="5.75" style="2" customWidth="1"/>
    <col min="10" max="13" width="11" style="185" hidden="1" customWidth="1"/>
    <col min="14" max="14" width="11.25" style="2" customWidth="1"/>
    <col min="15" max="15" width="7.375" style="2" bestFit="1" customWidth="1"/>
    <col min="16" max="16" width="10.75" style="2" bestFit="1" customWidth="1"/>
    <col min="17" max="17" width="6.625" style="2" hidden="1" customWidth="1"/>
    <col min="18" max="18" width="5.125" style="2" hidden="1" customWidth="1"/>
    <col min="19" max="19" width="6.375" style="2" hidden="1" customWidth="1"/>
    <col min="20" max="20" width="8.375" style="16" hidden="1" customWidth="1"/>
    <col min="21" max="21" width="8.375" style="2" bestFit="1" customWidth="1"/>
    <col min="22" max="22" width="8.125" style="2" customWidth="1"/>
    <col min="23" max="25" width="6" style="2" customWidth="1"/>
    <col min="26" max="26" width="8.125" style="2" customWidth="1"/>
    <col min="27" max="27" width="6.375" style="2" customWidth="1"/>
    <col min="28" max="28" width="8.125" style="2" customWidth="1"/>
    <col min="29" max="29" width="7.5" style="2" customWidth="1"/>
    <col min="30" max="30" width="6.375" style="2" customWidth="1"/>
    <col min="31" max="31" width="8.125" style="2" customWidth="1"/>
    <col min="32" max="32" width="7.5" style="2" customWidth="1"/>
    <col min="33" max="33" width="6.375" style="2" customWidth="1"/>
    <col min="34" max="34" width="8.125" style="2" customWidth="1"/>
    <col min="35" max="35" width="7.5" style="2" customWidth="1"/>
    <col min="36" max="16384" width="10.75" style="2"/>
  </cols>
  <sheetData>
    <row r="1" spans="1:35" ht="18" x14ac:dyDescent="0.25">
      <c r="A1" s="1" t="str">
        <f>Sprachen!C33</f>
        <v>Outil d'analyse grossière ProEPA - installations de pompage efficaces (énergie)</v>
      </c>
      <c r="C1" s="186"/>
      <c r="Q1" s="15"/>
      <c r="R1" s="15"/>
      <c r="S1" s="15"/>
      <c r="T1" s="15"/>
      <c r="Z1" s="141" t="str">
        <f>'Etape 1'!I1</f>
        <v>Version 1.4.03, 2017-03-27</v>
      </c>
    </row>
    <row r="2" spans="1:35" ht="15.75" x14ac:dyDescent="0.25">
      <c r="A2" s="3" t="str">
        <f>Sprachen!C34</f>
        <v>Etape 2</v>
      </c>
      <c r="C2" s="187"/>
      <c r="O2" s="422" t="str">
        <f>IF(ISBLANK(Txt_Firma.Name.etc),"",Txt_Firma.Name.etc)</f>
        <v>Muster AG, Pumpenstrasse 1, 9999 Musterdorf</v>
      </c>
      <c r="P2" s="422"/>
      <c r="Q2" s="422"/>
      <c r="R2" s="422"/>
      <c r="S2" s="422"/>
      <c r="T2" s="422"/>
      <c r="U2" s="422"/>
      <c r="V2" s="422"/>
      <c r="W2" s="422"/>
      <c r="X2" s="422"/>
      <c r="Y2" s="422"/>
      <c r="Z2" s="422"/>
    </row>
    <row r="3" spans="1:35" ht="2.4500000000000002" customHeight="1" x14ac:dyDescent="0.2">
      <c r="Q3" s="15"/>
      <c r="R3" s="15"/>
      <c r="S3" s="15"/>
      <c r="T3" s="15"/>
    </row>
    <row r="4" spans="1:35" x14ac:dyDescent="0.2">
      <c r="A4" s="16" t="str">
        <f>Sprachen!C35</f>
        <v>Dans cette "Etape 2", les installations sélectionnées à l'étape 1 sont analysées plus en détail.</v>
      </c>
      <c r="D4" s="16"/>
      <c r="E4" s="16"/>
      <c r="F4" s="16"/>
      <c r="G4" s="16"/>
      <c r="H4" s="16"/>
      <c r="I4" s="16"/>
      <c r="Q4" s="15"/>
      <c r="R4" s="15"/>
      <c r="S4" s="15"/>
      <c r="T4" s="15"/>
    </row>
    <row r="5" spans="1:35" ht="2.4500000000000002" customHeight="1" x14ac:dyDescent="0.2">
      <c r="Q5" s="15"/>
      <c r="R5" s="15"/>
      <c r="S5" s="15"/>
      <c r="T5" s="15"/>
    </row>
    <row r="6" spans="1:35" x14ac:dyDescent="0.2">
      <c r="A6" s="16"/>
      <c r="D6" s="145" t="str">
        <f>Sprachen!C36</f>
        <v>Prix du courant:</v>
      </c>
      <c r="E6" s="85"/>
      <c r="F6" s="2" t="str">
        <f>Sprachen!C37</f>
        <v>Rp/kWh</v>
      </c>
      <c r="G6" s="16"/>
      <c r="H6" s="16"/>
      <c r="I6" s="16"/>
      <c r="Q6" s="15"/>
      <c r="R6" s="15"/>
      <c r="S6" s="15"/>
      <c r="T6" s="15"/>
    </row>
    <row r="7" spans="1:35" x14ac:dyDescent="0.2">
      <c r="D7" s="146" t="str">
        <f>Sprachen!C38</f>
        <v>--&gt; Valeur utilisée:</v>
      </c>
      <c r="E7" s="2">
        <f>IF(ISBLANK(E6),St.Wert_Preis.Strom,E6)</f>
        <v>16</v>
      </c>
      <c r="F7" s="2" t="str">
        <f>Sprachen!C39</f>
        <v>Rp/kWh</v>
      </c>
      <c r="Q7" s="15"/>
      <c r="R7" s="15"/>
      <c r="S7" s="15"/>
      <c r="T7" s="15"/>
    </row>
    <row r="8" spans="1:35" ht="2.4500000000000002" customHeight="1" x14ac:dyDescent="0.2">
      <c r="D8" s="284" t="s">
        <v>397</v>
      </c>
      <c r="E8" s="285" t="str">
        <f>St.Wert_Sortiervariante.Schritt2</f>
        <v>N° selon étape 1</v>
      </c>
      <c r="F8" s="94" t="str">
        <f ca="1">VLOOKUP(E8,Matrix_Uebersetzung,2,FALSE)</f>
        <v>N° selon étape 1</v>
      </c>
      <c r="Q8" s="15"/>
      <c r="R8" s="15"/>
      <c r="S8" s="15"/>
      <c r="T8" s="15"/>
    </row>
    <row r="9" spans="1:35" s="62" customFormat="1" ht="2.4500000000000002" customHeight="1" x14ac:dyDescent="0.25">
      <c r="A9" s="94">
        <f>'Berechnungen 1'!B9</f>
        <v>2</v>
      </c>
      <c r="B9" s="188"/>
      <c r="C9" s="188">
        <f>'Berechnungen 1'!B9</f>
        <v>2</v>
      </c>
      <c r="D9" s="94">
        <f>'Berechnungen 1'!C9</f>
        <v>3</v>
      </c>
      <c r="E9" s="94">
        <f>'Berechnungen 1'!D9</f>
        <v>4</v>
      </c>
      <c r="F9" s="94">
        <f>'Berechnungen 1'!E9</f>
        <v>5</v>
      </c>
      <c r="G9" s="94">
        <f>'Berechnungen 1'!F9</f>
        <v>6</v>
      </c>
      <c r="H9" s="94">
        <f>'Berechnungen 1'!G9</f>
        <v>7</v>
      </c>
      <c r="I9" s="94">
        <f>'Berechnungen 1'!H9</f>
        <v>8</v>
      </c>
      <c r="J9" s="188">
        <f>'Berechnungen 1'!AC9</f>
        <v>29</v>
      </c>
      <c r="K9" s="188">
        <f>'Berechnungen 1'!Q9</f>
        <v>17</v>
      </c>
      <c r="L9" s="188">
        <f>'Berechnungen 1'!B9</f>
        <v>2</v>
      </c>
      <c r="M9" s="188">
        <f>'Berechnungen 1'!J9</f>
        <v>10</v>
      </c>
      <c r="N9" s="95"/>
      <c r="O9" s="96"/>
      <c r="P9" s="96"/>
      <c r="Q9" s="189"/>
      <c r="R9" s="189"/>
      <c r="S9" s="189"/>
      <c r="T9" s="189">
        <f>'Berechnungen 1'!Z9</f>
        <v>26</v>
      </c>
      <c r="U9" s="96"/>
      <c r="V9" s="96"/>
      <c r="W9" s="96"/>
      <c r="X9" s="96"/>
      <c r="Y9" s="96"/>
      <c r="Z9" s="96"/>
      <c r="AA9" s="94"/>
      <c r="AB9" s="94"/>
      <c r="AC9" s="94"/>
      <c r="AD9" s="94"/>
      <c r="AE9" s="94"/>
      <c r="AF9" s="94"/>
      <c r="AG9" s="94"/>
      <c r="AH9" s="94"/>
      <c r="AI9" s="94"/>
    </row>
    <row r="10" spans="1:35" x14ac:dyDescent="0.2">
      <c r="A10" s="302" t="str">
        <f ca="1">IF(K10=9999,txt_Schritt2.Angaben.fehlen.in.Schritt1,"")</f>
        <v/>
      </c>
      <c r="K10" s="291">
        <f ca="1">MAX(K13:K312)</f>
        <v>999</v>
      </c>
      <c r="N10" s="423" t="str">
        <f>Sprachen!C40</f>
        <v>Système</v>
      </c>
      <c r="O10" s="424"/>
      <c r="P10" s="424"/>
      <c r="Q10" s="423" t="str">
        <f>Sprachen!C41</f>
        <v>Moteur</v>
      </c>
      <c r="R10" s="424"/>
      <c r="S10" s="424"/>
      <c r="T10" s="424"/>
      <c r="U10" s="424"/>
      <c r="V10" s="432"/>
      <c r="W10" s="425" t="str">
        <f>Sprachen!C42</f>
        <v>Temps de marche, débit volumique:</v>
      </c>
      <c r="X10" s="426"/>
      <c r="Y10" s="426"/>
      <c r="Z10" s="426"/>
      <c r="AA10" s="428" t="str">
        <f>Sprachen!C43</f>
        <v>Estimation du potentiel d'économie pour</v>
      </c>
      <c r="AB10" s="428"/>
      <c r="AC10" s="428"/>
      <c r="AD10" s="428"/>
      <c r="AE10" s="428"/>
      <c r="AF10" s="428"/>
      <c r="AG10" s="428"/>
      <c r="AH10" s="428"/>
      <c r="AI10" s="428"/>
    </row>
    <row r="11" spans="1:35" s="263" customFormat="1" ht="12" x14ac:dyDescent="0.2">
      <c r="A11" s="384" t="str">
        <f>'Etape 1'!A6</f>
        <v>N°</v>
      </c>
      <c r="B11" s="385" t="s">
        <v>154</v>
      </c>
      <c r="C11" s="385" t="s">
        <v>313</v>
      </c>
      <c r="D11" s="384" t="str">
        <f>'Etape 1'!B6</f>
        <v>Dénomination</v>
      </c>
      <c r="E11" s="408" t="str">
        <f>'Etape 1'!C6</f>
        <v>Autres dénominations personnelles</v>
      </c>
      <c r="F11" s="384" t="str">
        <f>'Etape 1'!D6</f>
        <v>Lieu</v>
      </c>
      <c r="G11" s="384" t="str">
        <f>'Etape 1'!E6</f>
        <v>P</v>
      </c>
      <c r="H11" s="384" t="str">
        <f>'Etape 1'!F6</f>
        <v>t</v>
      </c>
      <c r="I11" s="384" t="str">
        <f>'Etape 1'!G6</f>
        <v>Année</v>
      </c>
      <c r="J11" s="385" t="s">
        <v>107</v>
      </c>
      <c r="K11" s="385" t="s">
        <v>147</v>
      </c>
      <c r="L11" s="385" t="s">
        <v>38</v>
      </c>
      <c r="M11" s="385" t="s">
        <v>318</v>
      </c>
      <c r="N11" s="353" t="str">
        <f>Sprachen!C44</f>
        <v>Circuit</v>
      </c>
      <c r="O11" s="353" t="str">
        <f>Sprachen!C45</f>
        <v>Besoins</v>
      </c>
      <c r="P11" s="353" t="str">
        <f>Sprachen!C46</f>
        <v>Régulation</v>
      </c>
      <c r="Q11" s="429" t="str">
        <f>Sprachen!C47</f>
        <v>Nombre de poles</v>
      </c>
      <c r="R11" s="430"/>
      <c r="S11" s="431"/>
      <c r="T11" s="433" t="str">
        <f>Sprachen!C48</f>
        <v>Catégorie d'efficacité</v>
      </c>
      <c r="U11" s="434"/>
      <c r="V11" s="435"/>
      <c r="W11" s="197">
        <f>Sprachen!C49</f>
        <v>0.25</v>
      </c>
      <c r="X11" s="197">
        <f>Sprachen!C50</f>
        <v>0.5</v>
      </c>
      <c r="Y11" s="197">
        <f>Sprachen!C51</f>
        <v>0.75</v>
      </c>
      <c r="Z11" s="198">
        <f>Sprachen!C52</f>
        <v>1</v>
      </c>
      <c r="AA11" s="427" t="str">
        <f>Sprachen!C53</f>
        <v>Remplacement du moteur</v>
      </c>
      <c r="AB11" s="427"/>
      <c r="AC11" s="427"/>
      <c r="AD11" s="427" t="str">
        <f>Sprachen!C54</f>
        <v>Régulation vitesse de rotation</v>
      </c>
      <c r="AE11" s="427"/>
      <c r="AF11" s="427"/>
      <c r="AG11" s="427" t="str">
        <f>Sprachen!C55</f>
        <v>Redimensionnement installation</v>
      </c>
      <c r="AH11" s="427"/>
      <c r="AI11" s="427"/>
    </row>
    <row r="12" spans="1:35" ht="10.5" customHeight="1" x14ac:dyDescent="0.2">
      <c r="A12" s="65"/>
      <c r="B12" s="184"/>
      <c r="C12" s="184"/>
      <c r="D12" s="65"/>
      <c r="E12" s="65"/>
      <c r="F12" s="65"/>
      <c r="G12" s="75" t="str">
        <f>'Etape 1'!E7</f>
        <v>[kW]</v>
      </c>
      <c r="H12" s="75" t="str">
        <f>'Etape 1'!F7</f>
        <v>[h/a]</v>
      </c>
      <c r="I12" s="75" t="str">
        <f>'Etape 1'!G7</f>
        <v>construction</v>
      </c>
      <c r="J12" s="184"/>
      <c r="K12" s="184"/>
      <c r="L12" s="184"/>
      <c r="M12" s="184" t="s">
        <v>105</v>
      </c>
      <c r="N12" s="75" t="str">
        <f>Sprachen!C56</f>
        <v>ouvert / fermé</v>
      </c>
      <c r="O12" s="75" t="str">
        <f>Sprachen!C57</f>
        <v>variable / cst</v>
      </c>
      <c r="P12" s="75" t="str">
        <f>Sprachen!C58</f>
        <v>Aucune/E/Bp/CF</v>
      </c>
      <c r="Q12" s="182" t="str">
        <f>Sprachen!C59</f>
        <v>Supposition</v>
      </c>
      <c r="R12" s="182" t="str">
        <f>Sprachen!C60</f>
        <v>Saisie</v>
      </c>
      <c r="S12" s="183" t="str">
        <f>Sprachen!C61</f>
        <v>--&gt; valeur</v>
      </c>
      <c r="T12" s="182" t="str">
        <f>Sprachen!C62</f>
        <v>Supposition</v>
      </c>
      <c r="U12" s="75" t="str">
        <f>Sprachen!C63</f>
        <v>Saisie</v>
      </c>
      <c r="V12" s="159" t="str">
        <f>Sprachen!C64</f>
        <v>--&gt; valeur</v>
      </c>
      <c r="W12" s="75" t="str">
        <f>Sprachen!C65</f>
        <v>[h/a]</v>
      </c>
      <c r="X12" s="75" t="str">
        <f>Sprachen!C65</f>
        <v>[h/a]</v>
      </c>
      <c r="Y12" s="75" t="str">
        <f>Sprachen!C65</f>
        <v>[h/a]</v>
      </c>
      <c r="Z12" s="75" t="str">
        <f>Sprachen!C65</f>
        <v>[h/a]</v>
      </c>
      <c r="AA12" s="75" t="str">
        <f>Sprachen!C66</f>
        <v>[%]</v>
      </c>
      <c r="AB12" s="75" t="str">
        <f>Sprachen!C67</f>
        <v>[kWh/a]</v>
      </c>
      <c r="AC12" s="75" t="str">
        <f>Sprachen!C68</f>
        <v>[CHF/a]</v>
      </c>
      <c r="AD12" s="75" t="str">
        <f>Sprachen!C66</f>
        <v>[%]</v>
      </c>
      <c r="AE12" s="75" t="str">
        <f>Sprachen!C67</f>
        <v>[kWh/a]</v>
      </c>
      <c r="AF12" s="75" t="str">
        <f>Sprachen!C68</f>
        <v>[CHF/a]</v>
      </c>
      <c r="AG12" s="75" t="str">
        <f>Sprachen!C66</f>
        <v>[%]</v>
      </c>
      <c r="AH12" s="75" t="str">
        <f>Sprachen!C67</f>
        <v>[kWh/a]</v>
      </c>
      <c r="AI12" s="75" t="str">
        <f>Sprachen!C68</f>
        <v>[CHF/a]</v>
      </c>
    </row>
    <row r="13" spans="1:35" x14ac:dyDescent="0.2">
      <c r="A13" s="71">
        <f t="shared" ref="A13:A76" ca="1" si="0">IF(OR(K13=0,K13=1,K13=2,K13=9999),VLOOKUP($C13,Matrix_Berechnungen1.Rang.Pumpendaten.Zwischenresultate,A$9,0),"")</f>
        <v>1</v>
      </c>
      <c r="B13" s="184">
        <v>1</v>
      </c>
      <c r="C13" s="192">
        <f ca="1">IF(ISERROR(LARGE('Berechnungen 1'!$A$12:$A$311,B13)),"",LARGE('Berechnungen 1'!$A$12:$A$311,B13))</f>
        <v>300</v>
      </c>
      <c r="D13" s="76" t="str">
        <f t="shared" ref="D13:E32" ca="1" si="1">IF(ISNUMBER($A13),IF(VLOOKUP($C13,Matrix_Berechnungen1.Rang.Pumpendaten.Zwischenresultate,$C$9,0)&gt;0,IF(VLOOKUP($C13,Matrix_Berechnungen1.Rang.Pumpendaten.Zwischenresultate,D$9,0)=0,"",VLOOKUP($C13,Matrix_Berechnungen1.Rang.Pumpendaten.Zwischenresultate,D$9,0)),""),"")</f>
        <v>Pumpe 1</v>
      </c>
      <c r="E13" s="76" t="str">
        <f t="shared" ca="1" si="1"/>
        <v>A1</v>
      </c>
      <c r="F13" s="155" t="str">
        <f t="shared" ref="F13:F44" ca="1" si="2">IF(ISNUMBER(A13),IF(VLOOKUP($C13,Matrix_Berechnungen1.Rang.Pumpendaten.Zwischenresultate,C$9,0)&gt;0,IF(VLOOKUP($C13,Matrix_Berechnungen1.Rang.Pumpendaten.Zwischenresultate,F$9,0)=0,"",VLOOKUP($C13,Matrix_Berechnungen1.Rang.Pumpendaten.Zwischenresultate,F$9,0)),""),"")</f>
        <v>Werkstatt</v>
      </c>
      <c r="G13" s="204">
        <f t="shared" ref="G13:G44" ca="1" si="3">IF(ISNUMBER(A13),IF(VLOOKUP($C13,Matrix_Berechnungen1.Rang.Pumpendaten.Zwischenresultate,C$9,0)&gt;0,IF(VLOOKUP($C13,Matrix_Berechnungen1.Rang.Pumpendaten.Zwischenresultate,G$9,0)=0,"",VLOOKUP($C13,Matrix_Berechnungen1.Rang.Pumpendaten.Zwischenresultate,G$9,0)),""),"")</f>
        <v>10</v>
      </c>
      <c r="H13" s="156">
        <f ca="1">IF(ISNUMBER(A13),IF(VLOOKUP($C13,Matrix_Berechnungen1.Rang.Pumpendaten.Zwischenresultate,C$9,0)&gt;0,IF(VLOOKUP($C13,Matrix_Berechnungen1.Rang.Pumpendaten.Zwischenresultate,H$9,0)=0,"",VLOOKUP($C13,Matrix_Berechnungen1.Rang.Pumpendaten.Zwischenresultate,H$9,0)),""),"")</f>
        <v>2000</v>
      </c>
      <c r="I13" s="155" t="str">
        <f t="shared" ref="I13:I44" ca="1" si="4">IF(ISNUMBER(A13),IF(VLOOKUP($C13,Matrix_Berechnungen1.Rang.Pumpendaten.Zwischenresultate,C$9,0)&gt;0,IF(VLOOKUP($C13,Matrix_Berechnungen1.Rang.Pumpendaten.Zwischenresultate,I$9,0)=0,"",VLOOKUP($C13,Matrix_Berechnungen1.Rang.Pumpendaten.Zwischenresultate,I$9,0)),""),"")</f>
        <v/>
      </c>
      <c r="J13" s="184">
        <f t="shared" ref="J13:J44" ca="1" si="5">IF(VLOOKUP($C13,Matrix_Berechnungen1.Rang.Pumpendaten.Zwischenresultate,C$9,0)&gt;0,VLOOKUP($C13,Matrix_Berechnungen1.Rang.Pumpendaten.Zwischenresultate,J$9,0),"")</f>
        <v>2.8595681160637056</v>
      </c>
      <c r="K13" s="184">
        <f ca="1">IF(OR(ISBLANK('Etape 1'!E8),ISBLANK('Etape 1'!F8)),IF(AND(ISBLANK('Etape 1'!B8),ISBLANK('Etape 1'!C8),ISBLANK('Etape 1'!D8),ISBLANK('Etape 1'!E8),ISBLANK('Etape 1'!F8),ISBLANK('Etape 1'!G8),ISBLANK('Etape 1'!H8)),999,9999),IF(VLOOKUP($C13,Matrix_Berechnungen1.Rang.Pumpendaten.Zwischenresultate,$C$9,0)&gt;0,VLOOKUP($C13,Matrix_Berechnungen1.Rang.Pumpendaten.Zwischenresultate,K$9,0),""))</f>
        <v>2</v>
      </c>
      <c r="L13" s="184">
        <f t="shared" ref="L13:M32" ca="1" si="6">IF(VLOOKUP($C13,Matrix_Berechnungen1.Rang.Pumpendaten.Zwischenresultate,$C$9,0)&gt;0,VLOOKUP($C13,Matrix_Berechnungen1.Rang.Pumpendaten.Zwischenresultate,L$9,0),"")</f>
        <v>1</v>
      </c>
      <c r="M13" s="184">
        <f t="shared" ca="1" si="6"/>
        <v>20000</v>
      </c>
      <c r="N13" s="84"/>
      <c r="O13" s="84" t="s">
        <v>167</v>
      </c>
      <c r="P13" s="84" t="s">
        <v>170</v>
      </c>
      <c r="Q13" s="69">
        <f t="shared" ref="Q13:Q44" ca="1" si="7">IF(ISNUMBER(A13),St.Wert_Motor.Pole.Anzahl,"")</f>
        <v>4</v>
      </c>
      <c r="R13" s="84"/>
      <c r="S13" s="65">
        <f ca="1">IF(ISBLANK(R13),Q13,R13)</f>
        <v>4</v>
      </c>
      <c r="T13" s="69" t="str">
        <f t="shared" ref="T13:T44" ca="1" si="8">IF(ISNUMBER(A13),VLOOKUP($C13,Matrix_Berechnungen1.Rang.Pumpendaten.Zwischenresultate,T$9,0),"")</f>
        <v>&lt;IE0</v>
      </c>
      <c r="U13" s="84"/>
      <c r="V13" s="65" t="str">
        <f ca="1">IF(ISBLANK(U13),T13,U13)</f>
        <v>&lt;IE0</v>
      </c>
      <c r="W13" s="108">
        <v>2000</v>
      </c>
      <c r="X13" s="108"/>
      <c r="Y13" s="108"/>
      <c r="Z13" s="110">
        <f ca="1">IF(ISNUMBER(A13),IF(ISNUMBER(H13),H13-SUM(W13:Y13),0-SUM(W13:Y13)),"")</f>
        <v>0</v>
      </c>
      <c r="AA13" s="199" t="str">
        <f ca="1">IF(ISERROR('Berechnungen 2'!AR16),"",'Berechnungen 2'!AR16)</f>
        <v/>
      </c>
      <c r="AB13" s="200" t="str">
        <f ca="1">IF(ISERROR('Berechnungen 2'!AS16),"",'Berechnungen 2'!AS16)</f>
        <v/>
      </c>
      <c r="AC13" s="200" t="str">
        <f ca="1">IF(ISERROR('Berechnungen 2'!AT16),"",'Berechnungen 2'!AT16)</f>
        <v/>
      </c>
      <c r="AD13" s="199">
        <f ca="1">IF(ISERROR('Berechnungen 2'!BE16),"",'Berechnungen 2'!BE16)</f>
        <v>0</v>
      </c>
      <c r="AE13" s="200">
        <f ca="1">IF(ISERROR('Berechnungen 2'!BF16),"",'Berechnungen 2'!BF16)</f>
        <v>0</v>
      </c>
      <c r="AF13" s="200">
        <f ca="1">IF(ISERROR('Berechnungen 2'!BG16),"",'Berechnungen 2'!BG16)</f>
        <v>0</v>
      </c>
      <c r="AG13" s="199">
        <f ca="1">IF(ISNUMBER(A13),IF(ISERROR('Berechnungen 2'!BK16),"",'Berechnungen 2'!BK16),"")</f>
        <v>0.31999999999999995</v>
      </c>
      <c r="AH13" s="200">
        <f ca="1">IF(ISERROR('Berechnungen 2'!BL16),"",'Berechnungen 2'!BL16)</f>
        <v>3199.9999999999995</v>
      </c>
      <c r="AI13" s="200">
        <f ca="1">IF(ISERROR('Berechnungen 2'!BM16),"",'Berechnungen 2'!BM16)</f>
        <v>511.99999999999994</v>
      </c>
    </row>
    <row r="14" spans="1:35" x14ac:dyDescent="0.2">
      <c r="A14" s="71">
        <f t="shared" ca="1" si="0"/>
        <v>2</v>
      </c>
      <c r="B14" s="193">
        <f>B13+1</f>
        <v>2</v>
      </c>
      <c r="C14" s="192">
        <f ca="1">IF(ISERROR(LARGE('Berechnungen 1'!$A$12:$A$311,B14)),"",LARGE('Berechnungen 1'!$A$12:$A$311,B14))</f>
        <v>299</v>
      </c>
      <c r="D14" s="76" t="str">
        <f t="shared" ca="1" si="1"/>
        <v>Pumpe 2</v>
      </c>
      <c r="E14" s="76" t="str">
        <f t="shared" ca="1" si="1"/>
        <v>A2</v>
      </c>
      <c r="F14" s="155" t="str">
        <f t="shared" ca="1" si="2"/>
        <v>Heizzentrale</v>
      </c>
      <c r="G14" s="204">
        <f t="shared" ca="1" si="3"/>
        <v>136</v>
      </c>
      <c r="H14" s="156">
        <f t="shared" ref="H14:H44" ca="1" si="9">IF(ISNUMBER(A14),IF(VLOOKUP($C14,Matrix_Berechnungen1.Rang.Pumpendaten.Zwischenresultate,C$9,0)&gt;0,IF(VLOOKUP($C14,Matrix_Berechnungen1.Rang.Pumpendaten.Zwischenresultate,H$9,0)=0,"",VLOOKUP($C14,Matrix_Berechnungen1.Rang.Pumpendaten.Zwischenresultate,H$9,0)),""),"")</f>
        <v>3000</v>
      </c>
      <c r="I14" s="155">
        <f t="shared" ca="1" si="4"/>
        <v>1900</v>
      </c>
      <c r="J14" s="184">
        <f t="shared" ca="1" si="5"/>
        <v>1.2199197860962567</v>
      </c>
      <c r="K14" s="184">
        <f ca="1">IF(OR(ISBLANK('Etape 1'!E9),ISBLANK('Etape 1'!F9)),IF(AND(ISBLANK('Etape 1'!B9),ISBLANK('Etape 1'!C9),ISBLANK('Etape 1'!D9),ISBLANK('Etape 1'!E9),ISBLANK('Etape 1'!F9),ISBLANK('Etape 1'!G9),ISBLANK('Etape 1'!H9)),999,9999),IF(VLOOKUP($C14,Matrix_Berechnungen1.Rang.Pumpendaten.Zwischenresultate,$C$9,0)&gt;0,VLOOKUP($C14,Matrix_Berechnungen1.Rang.Pumpendaten.Zwischenresultate,K$9,0),""))</f>
        <v>1</v>
      </c>
      <c r="L14" s="184">
        <f t="shared" ca="1" si="6"/>
        <v>2</v>
      </c>
      <c r="M14" s="184">
        <f t="shared" ca="1" si="6"/>
        <v>408000</v>
      </c>
      <c r="N14" s="84"/>
      <c r="O14" s="84" t="s">
        <v>167</v>
      </c>
      <c r="P14" s="84" t="s">
        <v>170</v>
      </c>
      <c r="Q14" s="69">
        <f t="shared" ca="1" si="7"/>
        <v>4</v>
      </c>
      <c r="R14" s="84"/>
      <c r="S14" s="65">
        <f t="shared" ref="S14:S77" ca="1" si="10">IF(ISBLANK(R14),Q14,R14)</f>
        <v>4</v>
      </c>
      <c r="T14" s="69" t="str">
        <f t="shared" ca="1" si="8"/>
        <v>&lt;IE0</v>
      </c>
      <c r="U14" s="84" t="s">
        <v>70</v>
      </c>
      <c r="V14" s="65" t="str">
        <f t="shared" ref="V14:V77" si="11">IF(ISBLANK(U14),T14,U14)</f>
        <v>&lt;IE0</v>
      </c>
      <c r="W14" s="108"/>
      <c r="X14" s="108"/>
      <c r="Y14" s="108">
        <v>3000</v>
      </c>
      <c r="Z14" s="110">
        <f t="shared" ref="Z14:Z77" ca="1" si="12">IF(ISNUMBER(A14),IF(ISNUMBER(H14),H14-SUM(W14:Y14),0-SUM(W14:Y14)),"")</f>
        <v>0</v>
      </c>
      <c r="AA14" s="199">
        <f ca="1">IF(ISERROR('Berechnungen 2'!AR17),"",'Berechnungen 2'!AR17)</f>
        <v>5.6056182870010018E-2</v>
      </c>
      <c r="AB14" s="200">
        <f ca="1">IF(ISERROR('Berechnungen 2'!AS17),"",'Berechnungen 2'!AS17)</f>
        <v>20583.83034986768</v>
      </c>
      <c r="AC14" s="200">
        <f ca="1">IF(ISERROR('Berechnungen 2'!AT17),"",'Berechnungen 2'!AT17)</f>
        <v>3293.4128559788287</v>
      </c>
      <c r="AD14" s="199">
        <f ca="1">IF(ISERROR('Berechnungen 2'!BE17),"",'Berechnungen 2'!BE17)</f>
        <v>0</v>
      </c>
      <c r="AE14" s="200">
        <f ca="1">IF(ISERROR('Berechnungen 2'!BF17),"",'Berechnungen 2'!BF17)</f>
        <v>0</v>
      </c>
      <c r="AF14" s="200">
        <f ca="1">IF(ISERROR('Berechnungen 2'!BG17),"",'Berechnungen 2'!BG17)</f>
        <v>0</v>
      </c>
      <c r="AG14" s="199">
        <f ca="1">IF(ISNUMBER(A14),IF(ISERROR('Berechnungen 2'!BK17),"",'Berechnungen 2'!BK17),"")</f>
        <v>0.16700000000000004</v>
      </c>
      <c r="AH14" s="200">
        <f ca="1">IF(ISERROR('Berechnungen 2'!BL17),"",'Berechnungen 2'!BL17)</f>
        <v>61322.400000000016</v>
      </c>
      <c r="AI14" s="200">
        <f ca="1">IF(ISERROR('Berechnungen 2'!BM17),"",'Berechnungen 2'!BM17)</f>
        <v>9811.5840000000026</v>
      </c>
    </row>
    <row r="15" spans="1:35" x14ac:dyDescent="0.2">
      <c r="A15" s="71">
        <f t="shared" ca="1" si="0"/>
        <v>3</v>
      </c>
      <c r="B15" s="193">
        <f t="shared" ref="B15:B78" si="13">B14+1</f>
        <v>3</v>
      </c>
      <c r="C15" s="192">
        <f ca="1">IF(ISERROR(LARGE('Berechnungen 1'!$A$12:$A$311,B15)),"",LARGE('Berechnungen 1'!$A$12:$A$311,B15))</f>
        <v>298</v>
      </c>
      <c r="D15" s="76" t="str">
        <f t="shared" ca="1" si="1"/>
        <v>Pumpe 3</v>
      </c>
      <c r="E15" s="76" t="str">
        <f t="shared" ca="1" si="1"/>
        <v>A3</v>
      </c>
      <c r="F15" s="155" t="str">
        <f t="shared" ca="1" si="2"/>
        <v/>
      </c>
      <c r="G15" s="204">
        <f t="shared" ca="1" si="3"/>
        <v>250</v>
      </c>
      <c r="H15" s="156">
        <f t="shared" ca="1" si="9"/>
        <v>100</v>
      </c>
      <c r="I15" s="155">
        <f t="shared" ca="1" si="4"/>
        <v>1980</v>
      </c>
      <c r="J15" s="184">
        <f t="shared" ca="1" si="5"/>
        <v>35.454545454545453</v>
      </c>
      <c r="K15" s="184">
        <f ca="1">IF(OR(ISBLANK('Etape 1'!E10),ISBLANK('Etape 1'!F10)),IF(AND(ISBLANK('Etape 1'!B10),ISBLANK('Etape 1'!C10),ISBLANK('Etape 1'!D10),ISBLANK('Etape 1'!E10),ISBLANK('Etape 1'!F10),ISBLANK('Etape 1'!G10),ISBLANK('Etape 1'!H10)),999,9999),IF(VLOOKUP($C15,Matrix_Berechnungen1.Rang.Pumpendaten.Zwischenresultate,$C$9,0)&gt;0,VLOOKUP($C15,Matrix_Berechnungen1.Rang.Pumpendaten.Zwischenresultate,K$9,0),""))</f>
        <v>0</v>
      </c>
      <c r="L15" s="184">
        <f t="shared" ca="1" si="6"/>
        <v>3</v>
      </c>
      <c r="M15" s="184">
        <f t="shared" ca="1" si="6"/>
        <v>25000</v>
      </c>
      <c r="N15" s="84"/>
      <c r="O15" s="84"/>
      <c r="P15" s="84"/>
      <c r="Q15" s="69">
        <f t="shared" ca="1" si="7"/>
        <v>4</v>
      </c>
      <c r="R15" s="84"/>
      <c r="S15" s="65">
        <f t="shared" ca="1" si="10"/>
        <v>4</v>
      </c>
      <c r="T15" s="69" t="str">
        <f t="shared" ca="1" si="8"/>
        <v>IE0 (Eff3)</v>
      </c>
      <c r="U15" s="84"/>
      <c r="V15" s="65" t="str">
        <f t="shared" ca="1" si="11"/>
        <v>IE0 (Eff3)</v>
      </c>
      <c r="W15" s="108"/>
      <c r="X15" s="108"/>
      <c r="Y15" s="108"/>
      <c r="Z15" s="110">
        <f t="shared" ca="1" si="12"/>
        <v>100</v>
      </c>
      <c r="AA15" s="199">
        <f ca="1">IF(ISERROR('Berechnungen 2'!AR18),"",'Berechnungen 2'!AR18)</f>
        <v>4.0290032729542902E-2</v>
      </c>
      <c r="AB15" s="200">
        <f ca="1">IF(ISERROR('Berechnungen 2'!AS18),"",'Berechnungen 2'!AS18)</f>
        <v>1107.9759000624299</v>
      </c>
      <c r="AC15" s="200">
        <f ca="1">IF(ISERROR('Berechnungen 2'!AT18),"",'Berechnungen 2'!AT18)</f>
        <v>177.2761440099888</v>
      </c>
      <c r="AD15" s="199">
        <f ca="1">IF(ISERROR('Berechnungen 2'!BE18),"",'Berechnungen 2'!BE18)</f>
        <v>0</v>
      </c>
      <c r="AE15" s="200">
        <f ca="1">IF(ISERROR('Berechnungen 2'!BF18),"",'Berechnungen 2'!BF18)</f>
        <v>0</v>
      </c>
      <c r="AF15" s="200">
        <f ca="1">IF(ISERROR('Berechnungen 2'!BG18),"",'Berechnungen 2'!BG18)</f>
        <v>0</v>
      </c>
      <c r="AG15" s="199">
        <f ca="1">IF(ISNUMBER(A15),IF(ISERROR('Berechnungen 2'!BK18),"",'Berechnungen 2'!BK18),"")</f>
        <v>0.15000000000000002</v>
      </c>
      <c r="AH15" s="200">
        <f ca="1">IF(ISERROR('Berechnungen 2'!BL18),"",'Berechnungen 2'!BL18)</f>
        <v>4125.0000000000009</v>
      </c>
      <c r="AI15" s="200">
        <f ca="1">IF(ISERROR('Berechnungen 2'!BM18),"",'Berechnungen 2'!BM18)</f>
        <v>660.00000000000011</v>
      </c>
    </row>
    <row r="16" spans="1:35" x14ac:dyDescent="0.2">
      <c r="A16" s="71" t="str">
        <f t="shared" si="0"/>
        <v/>
      </c>
      <c r="B16" s="193">
        <f t="shared" si="13"/>
        <v>4</v>
      </c>
      <c r="C16" s="192">
        <f ca="1">IF(ISERROR(LARGE('Berechnungen 1'!$A$12:$A$311,B16)),"",LARGE('Berechnungen 1'!$A$12:$A$311,B16))</f>
        <v>297</v>
      </c>
      <c r="D16" s="76" t="str">
        <f t="shared" si="1"/>
        <v/>
      </c>
      <c r="E16" s="76" t="str">
        <f t="shared" si="1"/>
        <v/>
      </c>
      <c r="F16" s="155" t="str">
        <f t="shared" si="2"/>
        <v/>
      </c>
      <c r="G16" s="204" t="str">
        <f t="shared" si="3"/>
        <v/>
      </c>
      <c r="H16" s="156" t="str">
        <f t="shared" si="9"/>
        <v/>
      </c>
      <c r="I16" s="155" t="str">
        <f t="shared" si="4"/>
        <v/>
      </c>
      <c r="J16" s="184">
        <f t="shared" ca="1" si="5"/>
        <v>999999</v>
      </c>
      <c r="K16" s="184">
        <f>IF(OR(ISBLANK('Etape 1'!E11),ISBLANK('Etape 1'!F11)),IF(AND(ISBLANK('Etape 1'!B11),ISBLANK('Etape 1'!C11),ISBLANK('Etape 1'!D11),ISBLANK('Etape 1'!E11),ISBLANK('Etape 1'!F11),ISBLANK('Etape 1'!G11),ISBLANK('Etape 1'!H11)),999,9999),IF(VLOOKUP($C16,Matrix_Berechnungen1.Rang.Pumpendaten.Zwischenresultate,$C$9,0)&gt;0,VLOOKUP($C16,Matrix_Berechnungen1.Rang.Pumpendaten.Zwischenresultate,K$9,0),""))</f>
        <v>999</v>
      </c>
      <c r="L16" s="184">
        <f t="shared" ca="1" si="6"/>
        <v>4</v>
      </c>
      <c r="M16" s="184">
        <f t="shared" ca="1" si="6"/>
        <v>0</v>
      </c>
      <c r="N16" s="84"/>
      <c r="O16" s="84"/>
      <c r="P16" s="84"/>
      <c r="Q16" s="69" t="str">
        <f t="shared" si="7"/>
        <v/>
      </c>
      <c r="R16" s="84"/>
      <c r="S16" s="65" t="str">
        <f t="shared" si="10"/>
        <v/>
      </c>
      <c r="T16" s="69" t="str">
        <f t="shared" si="8"/>
        <v/>
      </c>
      <c r="U16" s="84"/>
      <c r="V16" s="65" t="str">
        <f t="shared" si="11"/>
        <v/>
      </c>
      <c r="W16" s="108"/>
      <c r="X16" s="108"/>
      <c r="Y16" s="108"/>
      <c r="Z16" s="110" t="str">
        <f t="shared" si="12"/>
        <v/>
      </c>
      <c r="AA16" s="199" t="str">
        <f>IF(ISERROR('Berechnungen 2'!AR19),"",'Berechnungen 2'!AR19)</f>
        <v/>
      </c>
      <c r="AB16" s="200" t="str">
        <f>IF(ISERROR('Berechnungen 2'!AS19),"",'Berechnungen 2'!AS19)</f>
        <v/>
      </c>
      <c r="AC16" s="200" t="str">
        <f>IF(ISERROR('Berechnungen 2'!AT19),"",'Berechnungen 2'!AT19)</f>
        <v/>
      </c>
      <c r="AD16" s="199" t="str">
        <f>IF(ISERROR('Berechnungen 2'!BE19),"",'Berechnungen 2'!BE19)</f>
        <v/>
      </c>
      <c r="AE16" s="200" t="str">
        <f>IF(ISERROR('Berechnungen 2'!BF19),"",'Berechnungen 2'!BF19)</f>
        <v/>
      </c>
      <c r="AF16" s="200" t="str">
        <f>IF(ISERROR('Berechnungen 2'!BG19),"",'Berechnungen 2'!BG19)</f>
        <v/>
      </c>
      <c r="AG16" s="199" t="str">
        <f>IF(ISNUMBER(A16),IF(ISERROR('Berechnungen 2'!BK19),"",'Berechnungen 2'!BK19),"")</f>
        <v/>
      </c>
      <c r="AH16" s="200" t="str">
        <f>IF(ISERROR('Berechnungen 2'!BL19),"",'Berechnungen 2'!BL19)</f>
        <v/>
      </c>
      <c r="AI16" s="200" t="str">
        <f>IF(ISERROR('Berechnungen 2'!BM19),"",'Berechnungen 2'!BM19)</f>
        <v/>
      </c>
    </row>
    <row r="17" spans="1:35" x14ac:dyDescent="0.2">
      <c r="A17" s="71" t="str">
        <f t="shared" si="0"/>
        <v/>
      </c>
      <c r="B17" s="193">
        <f t="shared" si="13"/>
        <v>5</v>
      </c>
      <c r="C17" s="192">
        <f ca="1">IF(ISERROR(LARGE('Berechnungen 1'!$A$12:$A$311,B17)),"",LARGE('Berechnungen 1'!$A$12:$A$311,B17))</f>
        <v>296</v>
      </c>
      <c r="D17" s="76" t="str">
        <f t="shared" si="1"/>
        <v/>
      </c>
      <c r="E17" s="76" t="str">
        <f t="shared" si="1"/>
        <v/>
      </c>
      <c r="F17" s="155" t="str">
        <f t="shared" si="2"/>
        <v/>
      </c>
      <c r="G17" s="204" t="str">
        <f t="shared" si="3"/>
        <v/>
      </c>
      <c r="H17" s="156" t="str">
        <f t="shared" si="9"/>
        <v/>
      </c>
      <c r="I17" s="155" t="str">
        <f t="shared" si="4"/>
        <v/>
      </c>
      <c r="J17" s="184">
        <f t="shared" ca="1" si="5"/>
        <v>999999</v>
      </c>
      <c r="K17" s="184">
        <f>IF(OR(ISBLANK('Etape 1'!E12),ISBLANK('Etape 1'!F12)),IF(AND(ISBLANK('Etape 1'!B12),ISBLANK('Etape 1'!C12),ISBLANK('Etape 1'!D12),ISBLANK('Etape 1'!E12),ISBLANK('Etape 1'!F12),ISBLANK('Etape 1'!G12),ISBLANK('Etape 1'!H12)),999,9999),IF(VLOOKUP($C17,Matrix_Berechnungen1.Rang.Pumpendaten.Zwischenresultate,$C$9,0)&gt;0,VLOOKUP($C17,Matrix_Berechnungen1.Rang.Pumpendaten.Zwischenresultate,K$9,0),""))</f>
        <v>999</v>
      </c>
      <c r="L17" s="184">
        <f t="shared" ca="1" si="6"/>
        <v>5</v>
      </c>
      <c r="M17" s="184">
        <f t="shared" ca="1" si="6"/>
        <v>0</v>
      </c>
      <c r="N17" s="84"/>
      <c r="O17" s="84"/>
      <c r="P17" s="84"/>
      <c r="Q17" s="69" t="str">
        <f t="shared" si="7"/>
        <v/>
      </c>
      <c r="R17" s="84"/>
      <c r="S17" s="65" t="str">
        <f t="shared" si="10"/>
        <v/>
      </c>
      <c r="T17" s="69" t="str">
        <f t="shared" si="8"/>
        <v/>
      </c>
      <c r="U17" s="84"/>
      <c r="V17" s="65" t="str">
        <f t="shared" si="11"/>
        <v/>
      </c>
      <c r="W17" s="108"/>
      <c r="X17" s="108"/>
      <c r="Y17" s="108"/>
      <c r="Z17" s="110" t="str">
        <f t="shared" si="12"/>
        <v/>
      </c>
      <c r="AA17" s="199" t="str">
        <f>IF(ISERROR('Berechnungen 2'!AR20),"",'Berechnungen 2'!AR20)</f>
        <v/>
      </c>
      <c r="AB17" s="200" t="str">
        <f>IF(ISERROR('Berechnungen 2'!AS20),"",'Berechnungen 2'!AS20)</f>
        <v/>
      </c>
      <c r="AC17" s="200" t="str">
        <f>IF(ISERROR('Berechnungen 2'!AT20),"",'Berechnungen 2'!AT20)</f>
        <v/>
      </c>
      <c r="AD17" s="199" t="str">
        <f>IF(ISERROR('Berechnungen 2'!BE20),"",'Berechnungen 2'!BE20)</f>
        <v/>
      </c>
      <c r="AE17" s="200" t="str">
        <f>IF(ISERROR('Berechnungen 2'!BF20),"",'Berechnungen 2'!BF20)</f>
        <v/>
      </c>
      <c r="AF17" s="200" t="str">
        <f>IF(ISERROR('Berechnungen 2'!BG20),"",'Berechnungen 2'!BG20)</f>
        <v/>
      </c>
      <c r="AG17" s="199" t="str">
        <f>IF(ISNUMBER(A17),IF(ISERROR('Berechnungen 2'!BK20),"",'Berechnungen 2'!BK20),"")</f>
        <v/>
      </c>
      <c r="AH17" s="200" t="str">
        <f>IF(ISERROR('Berechnungen 2'!BL20),"",'Berechnungen 2'!BL20)</f>
        <v/>
      </c>
      <c r="AI17" s="200" t="str">
        <f>IF(ISERROR('Berechnungen 2'!BM20),"",'Berechnungen 2'!BM20)</f>
        <v/>
      </c>
    </row>
    <row r="18" spans="1:35" x14ac:dyDescent="0.2">
      <c r="A18" s="71" t="str">
        <f t="shared" si="0"/>
        <v/>
      </c>
      <c r="B18" s="193">
        <f t="shared" si="13"/>
        <v>6</v>
      </c>
      <c r="C18" s="192">
        <f ca="1">IF(ISERROR(LARGE('Berechnungen 1'!$A$12:$A$311,B18)),"",LARGE('Berechnungen 1'!$A$12:$A$311,B18))</f>
        <v>295</v>
      </c>
      <c r="D18" s="76" t="str">
        <f t="shared" si="1"/>
        <v/>
      </c>
      <c r="E18" s="76" t="str">
        <f t="shared" si="1"/>
        <v/>
      </c>
      <c r="F18" s="155" t="str">
        <f t="shared" si="2"/>
        <v/>
      </c>
      <c r="G18" s="204" t="str">
        <f t="shared" si="3"/>
        <v/>
      </c>
      <c r="H18" s="156" t="str">
        <f t="shared" si="9"/>
        <v/>
      </c>
      <c r="I18" s="155" t="str">
        <f t="shared" si="4"/>
        <v/>
      </c>
      <c r="J18" s="184">
        <f t="shared" ca="1" si="5"/>
        <v>999999</v>
      </c>
      <c r="K18" s="184">
        <f>IF(OR(ISBLANK('Etape 1'!E13),ISBLANK('Etape 1'!F13)),IF(AND(ISBLANK('Etape 1'!B13),ISBLANK('Etape 1'!C13),ISBLANK('Etape 1'!D13),ISBLANK('Etape 1'!E13),ISBLANK('Etape 1'!F13),ISBLANK('Etape 1'!G13),ISBLANK('Etape 1'!H13)),999,9999),IF(VLOOKUP($C18,Matrix_Berechnungen1.Rang.Pumpendaten.Zwischenresultate,$C$9,0)&gt;0,VLOOKUP($C18,Matrix_Berechnungen1.Rang.Pumpendaten.Zwischenresultate,K$9,0),""))</f>
        <v>999</v>
      </c>
      <c r="L18" s="184">
        <f t="shared" ca="1" si="6"/>
        <v>6</v>
      </c>
      <c r="M18" s="184">
        <f t="shared" ca="1" si="6"/>
        <v>0</v>
      </c>
      <c r="N18" s="84"/>
      <c r="O18" s="84"/>
      <c r="P18" s="84"/>
      <c r="Q18" s="69" t="str">
        <f t="shared" si="7"/>
        <v/>
      </c>
      <c r="R18" s="84"/>
      <c r="S18" s="65" t="str">
        <f t="shared" si="10"/>
        <v/>
      </c>
      <c r="T18" s="69" t="str">
        <f t="shared" si="8"/>
        <v/>
      </c>
      <c r="U18" s="84"/>
      <c r="V18" s="65" t="str">
        <f t="shared" si="11"/>
        <v/>
      </c>
      <c r="W18" s="108"/>
      <c r="X18" s="108"/>
      <c r="Y18" s="108"/>
      <c r="Z18" s="110" t="str">
        <f t="shared" si="12"/>
        <v/>
      </c>
      <c r="AA18" s="199" t="str">
        <f>IF(ISERROR('Berechnungen 2'!AR21),"",'Berechnungen 2'!AR21)</f>
        <v/>
      </c>
      <c r="AB18" s="200" t="str">
        <f>IF(ISERROR('Berechnungen 2'!AS21),"",'Berechnungen 2'!AS21)</f>
        <v/>
      </c>
      <c r="AC18" s="200" t="str">
        <f>IF(ISERROR('Berechnungen 2'!AT21),"",'Berechnungen 2'!AT21)</f>
        <v/>
      </c>
      <c r="AD18" s="199" t="str">
        <f>IF(ISERROR('Berechnungen 2'!BE21),"",'Berechnungen 2'!BE21)</f>
        <v/>
      </c>
      <c r="AE18" s="200" t="str">
        <f>IF(ISERROR('Berechnungen 2'!BF21),"",'Berechnungen 2'!BF21)</f>
        <v/>
      </c>
      <c r="AF18" s="200" t="str">
        <f>IF(ISERROR('Berechnungen 2'!BG21),"",'Berechnungen 2'!BG21)</f>
        <v/>
      </c>
      <c r="AG18" s="199" t="str">
        <f>IF(ISNUMBER(A18),IF(ISERROR('Berechnungen 2'!BK21),"",'Berechnungen 2'!BK21),"")</f>
        <v/>
      </c>
      <c r="AH18" s="200" t="str">
        <f>IF(ISERROR('Berechnungen 2'!BL21),"",'Berechnungen 2'!BL21)</f>
        <v/>
      </c>
      <c r="AI18" s="200" t="str">
        <f>IF(ISERROR('Berechnungen 2'!BM21),"",'Berechnungen 2'!BM21)</f>
        <v/>
      </c>
    </row>
    <row r="19" spans="1:35" x14ac:dyDescent="0.2">
      <c r="A19" s="71" t="str">
        <f t="shared" si="0"/>
        <v/>
      </c>
      <c r="B19" s="193">
        <f t="shared" si="13"/>
        <v>7</v>
      </c>
      <c r="C19" s="192">
        <f ca="1">IF(ISERROR(LARGE('Berechnungen 1'!$A$12:$A$311,B19)),"",LARGE('Berechnungen 1'!$A$12:$A$311,B19))</f>
        <v>294</v>
      </c>
      <c r="D19" s="76" t="str">
        <f t="shared" si="1"/>
        <v/>
      </c>
      <c r="E19" s="76" t="str">
        <f t="shared" si="1"/>
        <v/>
      </c>
      <c r="F19" s="155" t="str">
        <f t="shared" si="2"/>
        <v/>
      </c>
      <c r="G19" s="204" t="str">
        <f t="shared" si="3"/>
        <v/>
      </c>
      <c r="H19" s="156" t="str">
        <f t="shared" si="9"/>
        <v/>
      </c>
      <c r="I19" s="155" t="str">
        <f t="shared" si="4"/>
        <v/>
      </c>
      <c r="J19" s="184">
        <f t="shared" ca="1" si="5"/>
        <v>999999</v>
      </c>
      <c r="K19" s="184">
        <f>IF(OR(ISBLANK('Etape 1'!E14),ISBLANK('Etape 1'!F14)),IF(AND(ISBLANK('Etape 1'!B14),ISBLANK('Etape 1'!C14),ISBLANK('Etape 1'!D14),ISBLANK('Etape 1'!E14),ISBLANK('Etape 1'!F14),ISBLANK('Etape 1'!G14),ISBLANK('Etape 1'!H14)),999,9999),IF(VLOOKUP($C19,Matrix_Berechnungen1.Rang.Pumpendaten.Zwischenresultate,$C$9,0)&gt;0,VLOOKUP($C19,Matrix_Berechnungen1.Rang.Pumpendaten.Zwischenresultate,K$9,0),""))</f>
        <v>999</v>
      </c>
      <c r="L19" s="184">
        <f t="shared" ca="1" si="6"/>
        <v>7</v>
      </c>
      <c r="M19" s="184">
        <f t="shared" ca="1" si="6"/>
        <v>0</v>
      </c>
      <c r="N19" s="84"/>
      <c r="O19" s="84"/>
      <c r="P19" s="84"/>
      <c r="Q19" s="69" t="str">
        <f t="shared" si="7"/>
        <v/>
      </c>
      <c r="R19" s="84"/>
      <c r="S19" s="65" t="str">
        <f t="shared" si="10"/>
        <v/>
      </c>
      <c r="T19" s="69" t="str">
        <f t="shared" si="8"/>
        <v/>
      </c>
      <c r="U19" s="84"/>
      <c r="V19" s="65" t="str">
        <f t="shared" si="11"/>
        <v/>
      </c>
      <c r="W19" s="108"/>
      <c r="X19" s="108"/>
      <c r="Y19" s="108"/>
      <c r="Z19" s="110" t="str">
        <f t="shared" si="12"/>
        <v/>
      </c>
      <c r="AA19" s="199" t="str">
        <f>IF(ISERROR('Berechnungen 2'!AR22),"",'Berechnungen 2'!AR22)</f>
        <v/>
      </c>
      <c r="AB19" s="200" t="str">
        <f>IF(ISERROR('Berechnungen 2'!AS22),"",'Berechnungen 2'!AS22)</f>
        <v/>
      </c>
      <c r="AC19" s="200" t="str">
        <f>IF(ISERROR('Berechnungen 2'!AT22),"",'Berechnungen 2'!AT22)</f>
        <v/>
      </c>
      <c r="AD19" s="199" t="str">
        <f>IF(ISERROR('Berechnungen 2'!BE22),"",'Berechnungen 2'!BE22)</f>
        <v/>
      </c>
      <c r="AE19" s="200" t="str">
        <f>IF(ISERROR('Berechnungen 2'!BF22),"",'Berechnungen 2'!BF22)</f>
        <v/>
      </c>
      <c r="AF19" s="200" t="str">
        <f>IF(ISERROR('Berechnungen 2'!BG22),"",'Berechnungen 2'!BG22)</f>
        <v/>
      </c>
      <c r="AG19" s="199" t="str">
        <f>IF(ISNUMBER(A19),IF(ISERROR('Berechnungen 2'!BK22),"",'Berechnungen 2'!BK22),"")</f>
        <v/>
      </c>
      <c r="AH19" s="200" t="str">
        <f>IF(ISERROR('Berechnungen 2'!BL22),"",'Berechnungen 2'!BL22)</f>
        <v/>
      </c>
      <c r="AI19" s="200" t="str">
        <f>IF(ISERROR('Berechnungen 2'!BM22),"",'Berechnungen 2'!BM22)</f>
        <v/>
      </c>
    </row>
    <row r="20" spans="1:35" x14ac:dyDescent="0.2">
      <c r="A20" s="71" t="str">
        <f t="shared" si="0"/>
        <v/>
      </c>
      <c r="B20" s="193">
        <f t="shared" si="13"/>
        <v>8</v>
      </c>
      <c r="C20" s="192">
        <f ca="1">IF(ISERROR(LARGE('Berechnungen 1'!$A$12:$A$311,B20)),"",LARGE('Berechnungen 1'!$A$12:$A$311,B20))</f>
        <v>293</v>
      </c>
      <c r="D20" s="76" t="str">
        <f t="shared" si="1"/>
        <v/>
      </c>
      <c r="E20" s="76" t="str">
        <f t="shared" si="1"/>
        <v/>
      </c>
      <c r="F20" s="155" t="str">
        <f t="shared" si="2"/>
        <v/>
      </c>
      <c r="G20" s="204" t="str">
        <f t="shared" si="3"/>
        <v/>
      </c>
      <c r="H20" s="156" t="str">
        <f t="shared" si="9"/>
        <v/>
      </c>
      <c r="I20" s="155" t="str">
        <f t="shared" si="4"/>
        <v/>
      </c>
      <c r="J20" s="184">
        <f t="shared" ca="1" si="5"/>
        <v>999999</v>
      </c>
      <c r="K20" s="184">
        <f>IF(OR(ISBLANK('Etape 1'!E15),ISBLANK('Etape 1'!F15)),IF(AND(ISBLANK('Etape 1'!B15),ISBLANK('Etape 1'!C15),ISBLANK('Etape 1'!D15),ISBLANK('Etape 1'!E15),ISBLANK('Etape 1'!F15),ISBLANK('Etape 1'!G15),ISBLANK('Etape 1'!H15)),999,9999),IF(VLOOKUP($C20,Matrix_Berechnungen1.Rang.Pumpendaten.Zwischenresultate,$C$9,0)&gt;0,VLOOKUP($C20,Matrix_Berechnungen1.Rang.Pumpendaten.Zwischenresultate,K$9,0),""))</f>
        <v>999</v>
      </c>
      <c r="L20" s="184">
        <f t="shared" ca="1" si="6"/>
        <v>8</v>
      </c>
      <c r="M20" s="184">
        <f t="shared" ca="1" si="6"/>
        <v>0</v>
      </c>
      <c r="N20" s="84"/>
      <c r="O20" s="84"/>
      <c r="P20" s="84"/>
      <c r="Q20" s="69" t="str">
        <f t="shared" si="7"/>
        <v/>
      </c>
      <c r="R20" s="84"/>
      <c r="S20" s="65" t="str">
        <f t="shared" si="10"/>
        <v/>
      </c>
      <c r="T20" s="69" t="str">
        <f t="shared" si="8"/>
        <v/>
      </c>
      <c r="U20" s="84"/>
      <c r="V20" s="65" t="str">
        <f t="shared" si="11"/>
        <v/>
      </c>
      <c r="W20" s="108"/>
      <c r="X20" s="108"/>
      <c r="Y20" s="108"/>
      <c r="Z20" s="110" t="str">
        <f t="shared" si="12"/>
        <v/>
      </c>
      <c r="AA20" s="199" t="str">
        <f>IF(ISERROR('Berechnungen 2'!AR23),"",'Berechnungen 2'!AR23)</f>
        <v/>
      </c>
      <c r="AB20" s="200" t="str">
        <f>IF(ISERROR('Berechnungen 2'!AS23),"",'Berechnungen 2'!AS23)</f>
        <v/>
      </c>
      <c r="AC20" s="200" t="str">
        <f>IF(ISERROR('Berechnungen 2'!AT23),"",'Berechnungen 2'!AT23)</f>
        <v/>
      </c>
      <c r="AD20" s="199" t="str">
        <f>IF(ISERROR('Berechnungen 2'!BE23),"",'Berechnungen 2'!BE23)</f>
        <v/>
      </c>
      <c r="AE20" s="200" t="str">
        <f>IF(ISERROR('Berechnungen 2'!BF23),"",'Berechnungen 2'!BF23)</f>
        <v/>
      </c>
      <c r="AF20" s="200" t="str">
        <f>IF(ISERROR('Berechnungen 2'!BG23),"",'Berechnungen 2'!BG23)</f>
        <v/>
      </c>
      <c r="AG20" s="199" t="str">
        <f>IF(ISNUMBER(A20),IF(ISERROR('Berechnungen 2'!BK23),"",'Berechnungen 2'!BK23),"")</f>
        <v/>
      </c>
      <c r="AH20" s="200" t="str">
        <f>IF(ISERROR('Berechnungen 2'!BL23),"",'Berechnungen 2'!BL23)</f>
        <v/>
      </c>
      <c r="AI20" s="200" t="str">
        <f>IF(ISERROR('Berechnungen 2'!BM23),"",'Berechnungen 2'!BM23)</f>
        <v/>
      </c>
    </row>
    <row r="21" spans="1:35" x14ac:dyDescent="0.2">
      <c r="A21" s="71" t="str">
        <f t="shared" si="0"/>
        <v/>
      </c>
      <c r="B21" s="193">
        <f t="shared" si="13"/>
        <v>9</v>
      </c>
      <c r="C21" s="192">
        <f ca="1">IF(ISERROR(LARGE('Berechnungen 1'!$A$12:$A$311,B21)),"",LARGE('Berechnungen 1'!$A$12:$A$311,B21))</f>
        <v>292</v>
      </c>
      <c r="D21" s="76" t="str">
        <f t="shared" si="1"/>
        <v/>
      </c>
      <c r="E21" s="76" t="str">
        <f t="shared" si="1"/>
        <v/>
      </c>
      <c r="F21" s="155" t="str">
        <f t="shared" si="2"/>
        <v/>
      </c>
      <c r="G21" s="204" t="str">
        <f t="shared" si="3"/>
        <v/>
      </c>
      <c r="H21" s="156" t="str">
        <f t="shared" si="9"/>
        <v/>
      </c>
      <c r="I21" s="155" t="str">
        <f t="shared" si="4"/>
        <v/>
      </c>
      <c r="J21" s="184">
        <f t="shared" ca="1" si="5"/>
        <v>999999</v>
      </c>
      <c r="K21" s="184">
        <f>IF(OR(ISBLANK('Etape 1'!E16),ISBLANK('Etape 1'!F16)),IF(AND(ISBLANK('Etape 1'!B16),ISBLANK('Etape 1'!C16),ISBLANK('Etape 1'!D16),ISBLANK('Etape 1'!E16),ISBLANK('Etape 1'!F16),ISBLANK('Etape 1'!G16),ISBLANK('Etape 1'!H16)),999,9999),IF(VLOOKUP($C21,Matrix_Berechnungen1.Rang.Pumpendaten.Zwischenresultate,$C$9,0)&gt;0,VLOOKUP($C21,Matrix_Berechnungen1.Rang.Pumpendaten.Zwischenresultate,K$9,0),""))</f>
        <v>999</v>
      </c>
      <c r="L21" s="184">
        <f t="shared" ca="1" si="6"/>
        <v>9</v>
      </c>
      <c r="M21" s="184">
        <f t="shared" ca="1" si="6"/>
        <v>0</v>
      </c>
      <c r="N21" s="84"/>
      <c r="O21" s="84"/>
      <c r="P21" s="84"/>
      <c r="Q21" s="69" t="str">
        <f t="shared" si="7"/>
        <v/>
      </c>
      <c r="R21" s="84"/>
      <c r="S21" s="65" t="str">
        <f t="shared" si="10"/>
        <v/>
      </c>
      <c r="T21" s="69" t="str">
        <f t="shared" si="8"/>
        <v/>
      </c>
      <c r="U21" s="84"/>
      <c r="V21" s="65" t="str">
        <f t="shared" si="11"/>
        <v/>
      </c>
      <c r="W21" s="108"/>
      <c r="X21" s="108"/>
      <c r="Y21" s="108"/>
      <c r="Z21" s="110" t="str">
        <f t="shared" si="12"/>
        <v/>
      </c>
      <c r="AA21" s="199" t="str">
        <f>IF(ISERROR('Berechnungen 2'!AR24),"",'Berechnungen 2'!AR24)</f>
        <v/>
      </c>
      <c r="AB21" s="200" t="str">
        <f>IF(ISERROR('Berechnungen 2'!AS24),"",'Berechnungen 2'!AS24)</f>
        <v/>
      </c>
      <c r="AC21" s="200" t="str">
        <f>IF(ISERROR('Berechnungen 2'!AT24),"",'Berechnungen 2'!AT24)</f>
        <v/>
      </c>
      <c r="AD21" s="199" t="str">
        <f>IF(ISERROR('Berechnungen 2'!BE24),"",'Berechnungen 2'!BE24)</f>
        <v/>
      </c>
      <c r="AE21" s="200" t="str">
        <f>IF(ISERROR('Berechnungen 2'!BF24),"",'Berechnungen 2'!BF24)</f>
        <v/>
      </c>
      <c r="AF21" s="200" t="str">
        <f>IF(ISERROR('Berechnungen 2'!BG24),"",'Berechnungen 2'!BG24)</f>
        <v/>
      </c>
      <c r="AG21" s="199" t="str">
        <f>IF(ISNUMBER(A21),IF(ISERROR('Berechnungen 2'!BK24),"",'Berechnungen 2'!BK24),"")</f>
        <v/>
      </c>
      <c r="AH21" s="200" t="str">
        <f>IF(ISERROR('Berechnungen 2'!BL24),"",'Berechnungen 2'!BL24)</f>
        <v/>
      </c>
      <c r="AI21" s="200" t="str">
        <f>IF(ISERROR('Berechnungen 2'!BM24),"",'Berechnungen 2'!BM24)</f>
        <v/>
      </c>
    </row>
    <row r="22" spans="1:35" x14ac:dyDescent="0.2">
      <c r="A22" s="71" t="str">
        <f t="shared" si="0"/>
        <v/>
      </c>
      <c r="B22" s="193">
        <f t="shared" si="13"/>
        <v>10</v>
      </c>
      <c r="C22" s="192">
        <f ca="1">IF(ISERROR(LARGE('Berechnungen 1'!$A$12:$A$311,B22)),"",LARGE('Berechnungen 1'!$A$12:$A$311,B22))</f>
        <v>291</v>
      </c>
      <c r="D22" s="76" t="str">
        <f t="shared" si="1"/>
        <v/>
      </c>
      <c r="E22" s="76" t="str">
        <f t="shared" si="1"/>
        <v/>
      </c>
      <c r="F22" s="155" t="str">
        <f t="shared" si="2"/>
        <v/>
      </c>
      <c r="G22" s="204" t="str">
        <f t="shared" si="3"/>
        <v/>
      </c>
      <c r="H22" s="156" t="str">
        <f t="shared" si="9"/>
        <v/>
      </c>
      <c r="I22" s="155" t="str">
        <f t="shared" si="4"/>
        <v/>
      </c>
      <c r="J22" s="184">
        <f t="shared" ca="1" si="5"/>
        <v>999999</v>
      </c>
      <c r="K22" s="184">
        <f>IF(OR(ISBLANK('Etape 1'!E17),ISBLANK('Etape 1'!F17)),IF(AND(ISBLANK('Etape 1'!B17),ISBLANK('Etape 1'!C17),ISBLANK('Etape 1'!D17),ISBLANK('Etape 1'!E17),ISBLANK('Etape 1'!F17),ISBLANK('Etape 1'!G17),ISBLANK('Etape 1'!H17)),999,9999),IF(VLOOKUP($C22,Matrix_Berechnungen1.Rang.Pumpendaten.Zwischenresultate,$C$9,0)&gt;0,VLOOKUP($C22,Matrix_Berechnungen1.Rang.Pumpendaten.Zwischenresultate,K$9,0),""))</f>
        <v>999</v>
      </c>
      <c r="L22" s="184">
        <f t="shared" ca="1" si="6"/>
        <v>10</v>
      </c>
      <c r="M22" s="184">
        <f t="shared" ca="1" si="6"/>
        <v>0</v>
      </c>
      <c r="N22" s="84"/>
      <c r="O22" s="84"/>
      <c r="P22" s="84"/>
      <c r="Q22" s="69" t="str">
        <f t="shared" si="7"/>
        <v/>
      </c>
      <c r="R22" s="84"/>
      <c r="S22" s="65" t="str">
        <f t="shared" si="10"/>
        <v/>
      </c>
      <c r="T22" s="69" t="str">
        <f t="shared" si="8"/>
        <v/>
      </c>
      <c r="U22" s="84"/>
      <c r="V22" s="65" t="str">
        <f t="shared" si="11"/>
        <v/>
      </c>
      <c r="W22" s="108"/>
      <c r="X22" s="108"/>
      <c r="Y22" s="108"/>
      <c r="Z22" s="110" t="str">
        <f t="shared" si="12"/>
        <v/>
      </c>
      <c r="AA22" s="199" t="str">
        <f>IF(ISERROR('Berechnungen 2'!AR25),"",'Berechnungen 2'!AR25)</f>
        <v/>
      </c>
      <c r="AB22" s="200" t="str">
        <f>IF(ISERROR('Berechnungen 2'!AS25),"",'Berechnungen 2'!AS25)</f>
        <v/>
      </c>
      <c r="AC22" s="200" t="str">
        <f>IF(ISERROR('Berechnungen 2'!AT25),"",'Berechnungen 2'!AT25)</f>
        <v/>
      </c>
      <c r="AD22" s="199" t="str">
        <f>IF(ISERROR('Berechnungen 2'!BE25),"",'Berechnungen 2'!BE25)</f>
        <v/>
      </c>
      <c r="AE22" s="200" t="str">
        <f>IF(ISERROR('Berechnungen 2'!BF25),"",'Berechnungen 2'!BF25)</f>
        <v/>
      </c>
      <c r="AF22" s="200" t="str">
        <f>IF(ISERROR('Berechnungen 2'!BG25),"",'Berechnungen 2'!BG25)</f>
        <v/>
      </c>
      <c r="AG22" s="199" t="str">
        <f>IF(ISNUMBER(A22),IF(ISERROR('Berechnungen 2'!BK25),"",'Berechnungen 2'!BK25),"")</f>
        <v/>
      </c>
      <c r="AH22" s="200" t="str">
        <f>IF(ISERROR('Berechnungen 2'!BL25),"",'Berechnungen 2'!BL25)</f>
        <v/>
      </c>
      <c r="AI22" s="200" t="str">
        <f>IF(ISERROR('Berechnungen 2'!BM25),"",'Berechnungen 2'!BM25)</f>
        <v/>
      </c>
    </row>
    <row r="23" spans="1:35" x14ac:dyDescent="0.2">
      <c r="A23" s="71" t="str">
        <f t="shared" si="0"/>
        <v/>
      </c>
      <c r="B23" s="193">
        <f t="shared" si="13"/>
        <v>11</v>
      </c>
      <c r="C23" s="192">
        <f ca="1">IF(ISERROR(LARGE('Berechnungen 1'!$A$12:$A$311,B23)),"",LARGE('Berechnungen 1'!$A$12:$A$311,B23))</f>
        <v>290</v>
      </c>
      <c r="D23" s="76" t="str">
        <f t="shared" si="1"/>
        <v/>
      </c>
      <c r="E23" s="76" t="str">
        <f t="shared" si="1"/>
        <v/>
      </c>
      <c r="F23" s="155" t="str">
        <f t="shared" si="2"/>
        <v/>
      </c>
      <c r="G23" s="204" t="str">
        <f t="shared" si="3"/>
        <v/>
      </c>
      <c r="H23" s="156" t="str">
        <f t="shared" si="9"/>
        <v/>
      </c>
      <c r="I23" s="155" t="str">
        <f t="shared" si="4"/>
        <v/>
      </c>
      <c r="J23" s="184">
        <f t="shared" ca="1" si="5"/>
        <v>999999</v>
      </c>
      <c r="K23" s="184">
        <f>IF(OR(ISBLANK('Etape 1'!E18),ISBLANK('Etape 1'!F18)),IF(AND(ISBLANK('Etape 1'!B18),ISBLANK('Etape 1'!C18),ISBLANK('Etape 1'!D18),ISBLANK('Etape 1'!E18),ISBLANK('Etape 1'!F18),ISBLANK('Etape 1'!G18),ISBLANK('Etape 1'!H18)),999,9999),IF(VLOOKUP($C23,Matrix_Berechnungen1.Rang.Pumpendaten.Zwischenresultate,$C$9,0)&gt;0,VLOOKUP($C23,Matrix_Berechnungen1.Rang.Pumpendaten.Zwischenresultate,K$9,0),""))</f>
        <v>999</v>
      </c>
      <c r="L23" s="184">
        <f t="shared" ca="1" si="6"/>
        <v>11</v>
      </c>
      <c r="M23" s="184">
        <f t="shared" ca="1" si="6"/>
        <v>0</v>
      </c>
      <c r="N23" s="84"/>
      <c r="O23" s="84"/>
      <c r="P23" s="84"/>
      <c r="Q23" s="69" t="str">
        <f t="shared" si="7"/>
        <v/>
      </c>
      <c r="R23" s="84"/>
      <c r="S23" s="65" t="str">
        <f t="shared" si="10"/>
        <v/>
      </c>
      <c r="T23" s="69" t="str">
        <f t="shared" si="8"/>
        <v/>
      </c>
      <c r="U23" s="84"/>
      <c r="V23" s="65" t="str">
        <f t="shared" si="11"/>
        <v/>
      </c>
      <c r="W23" s="108"/>
      <c r="X23" s="108"/>
      <c r="Y23" s="108"/>
      <c r="Z23" s="110" t="str">
        <f t="shared" si="12"/>
        <v/>
      </c>
      <c r="AA23" s="199" t="str">
        <f>IF(ISERROR('Berechnungen 2'!AR26),"",'Berechnungen 2'!AR26)</f>
        <v/>
      </c>
      <c r="AB23" s="200" t="str">
        <f>IF(ISERROR('Berechnungen 2'!AS26),"",'Berechnungen 2'!AS26)</f>
        <v/>
      </c>
      <c r="AC23" s="200" t="str">
        <f>IF(ISERROR('Berechnungen 2'!AT26),"",'Berechnungen 2'!AT26)</f>
        <v/>
      </c>
      <c r="AD23" s="199" t="str">
        <f>IF(ISERROR('Berechnungen 2'!BE26),"",'Berechnungen 2'!BE26)</f>
        <v/>
      </c>
      <c r="AE23" s="200" t="str">
        <f>IF(ISERROR('Berechnungen 2'!BF26),"",'Berechnungen 2'!BF26)</f>
        <v/>
      </c>
      <c r="AF23" s="200" t="str">
        <f>IF(ISERROR('Berechnungen 2'!BG26),"",'Berechnungen 2'!BG26)</f>
        <v/>
      </c>
      <c r="AG23" s="199" t="str">
        <f>IF(ISNUMBER(A23),IF(ISERROR('Berechnungen 2'!BK26),"",'Berechnungen 2'!BK26),"")</f>
        <v/>
      </c>
      <c r="AH23" s="200" t="str">
        <f>IF(ISERROR('Berechnungen 2'!BL26),"",'Berechnungen 2'!BL26)</f>
        <v/>
      </c>
      <c r="AI23" s="200" t="str">
        <f>IF(ISERROR('Berechnungen 2'!BM26),"",'Berechnungen 2'!BM26)</f>
        <v/>
      </c>
    </row>
    <row r="24" spans="1:35" x14ac:dyDescent="0.2">
      <c r="A24" s="71" t="str">
        <f t="shared" si="0"/>
        <v/>
      </c>
      <c r="B24" s="193">
        <f t="shared" si="13"/>
        <v>12</v>
      </c>
      <c r="C24" s="192">
        <f ca="1">IF(ISERROR(LARGE('Berechnungen 1'!$A$12:$A$311,B24)),"",LARGE('Berechnungen 1'!$A$12:$A$311,B24))</f>
        <v>289</v>
      </c>
      <c r="D24" s="76" t="str">
        <f t="shared" si="1"/>
        <v/>
      </c>
      <c r="E24" s="76" t="str">
        <f t="shared" si="1"/>
        <v/>
      </c>
      <c r="F24" s="155" t="str">
        <f t="shared" si="2"/>
        <v/>
      </c>
      <c r="G24" s="204" t="str">
        <f t="shared" si="3"/>
        <v/>
      </c>
      <c r="H24" s="156" t="str">
        <f t="shared" si="9"/>
        <v/>
      </c>
      <c r="I24" s="155" t="str">
        <f t="shared" si="4"/>
        <v/>
      </c>
      <c r="J24" s="184">
        <f t="shared" ca="1" si="5"/>
        <v>999999</v>
      </c>
      <c r="K24" s="184">
        <f>IF(OR(ISBLANK('Etape 1'!E19),ISBLANK('Etape 1'!F19)),IF(AND(ISBLANK('Etape 1'!B19),ISBLANK('Etape 1'!C19),ISBLANK('Etape 1'!D19),ISBLANK('Etape 1'!E19),ISBLANK('Etape 1'!F19),ISBLANK('Etape 1'!G19),ISBLANK('Etape 1'!H19)),999,9999),IF(VLOOKUP($C24,Matrix_Berechnungen1.Rang.Pumpendaten.Zwischenresultate,$C$9,0)&gt;0,VLOOKUP($C24,Matrix_Berechnungen1.Rang.Pumpendaten.Zwischenresultate,K$9,0),""))</f>
        <v>999</v>
      </c>
      <c r="L24" s="184">
        <f t="shared" ca="1" si="6"/>
        <v>12</v>
      </c>
      <c r="M24" s="184">
        <f t="shared" ca="1" si="6"/>
        <v>0</v>
      </c>
      <c r="N24" s="84"/>
      <c r="O24" s="84"/>
      <c r="P24" s="84"/>
      <c r="Q24" s="69" t="str">
        <f t="shared" si="7"/>
        <v/>
      </c>
      <c r="R24" s="84"/>
      <c r="S24" s="65" t="str">
        <f t="shared" si="10"/>
        <v/>
      </c>
      <c r="T24" s="69" t="str">
        <f t="shared" si="8"/>
        <v/>
      </c>
      <c r="U24" s="84"/>
      <c r="V24" s="65" t="str">
        <f t="shared" si="11"/>
        <v/>
      </c>
      <c r="W24" s="108"/>
      <c r="X24" s="108"/>
      <c r="Y24" s="108"/>
      <c r="Z24" s="110" t="str">
        <f t="shared" si="12"/>
        <v/>
      </c>
      <c r="AA24" s="199" t="str">
        <f>IF(ISERROR('Berechnungen 2'!AR27),"",'Berechnungen 2'!AR27)</f>
        <v/>
      </c>
      <c r="AB24" s="200" t="str">
        <f>IF(ISERROR('Berechnungen 2'!AS27),"",'Berechnungen 2'!AS27)</f>
        <v/>
      </c>
      <c r="AC24" s="200" t="str">
        <f>IF(ISERROR('Berechnungen 2'!AT27),"",'Berechnungen 2'!AT27)</f>
        <v/>
      </c>
      <c r="AD24" s="199" t="str">
        <f>IF(ISERROR('Berechnungen 2'!BE27),"",'Berechnungen 2'!BE27)</f>
        <v/>
      </c>
      <c r="AE24" s="200" t="str">
        <f>IF(ISERROR('Berechnungen 2'!BF27),"",'Berechnungen 2'!BF27)</f>
        <v/>
      </c>
      <c r="AF24" s="200" t="str">
        <f>IF(ISERROR('Berechnungen 2'!BG27),"",'Berechnungen 2'!BG27)</f>
        <v/>
      </c>
      <c r="AG24" s="199" t="str">
        <f>IF(ISNUMBER(A24),IF(ISERROR('Berechnungen 2'!BK27),"",'Berechnungen 2'!BK27),"")</f>
        <v/>
      </c>
      <c r="AH24" s="200" t="str">
        <f>IF(ISERROR('Berechnungen 2'!BL27),"",'Berechnungen 2'!BL27)</f>
        <v/>
      </c>
      <c r="AI24" s="200" t="str">
        <f>IF(ISERROR('Berechnungen 2'!BM27),"",'Berechnungen 2'!BM27)</f>
        <v/>
      </c>
    </row>
    <row r="25" spans="1:35" x14ac:dyDescent="0.2">
      <c r="A25" s="71" t="str">
        <f t="shared" si="0"/>
        <v/>
      </c>
      <c r="B25" s="193">
        <f t="shared" si="13"/>
        <v>13</v>
      </c>
      <c r="C25" s="192">
        <f ca="1">IF(ISERROR(LARGE('Berechnungen 1'!$A$12:$A$311,B25)),"",LARGE('Berechnungen 1'!$A$12:$A$311,B25))</f>
        <v>288</v>
      </c>
      <c r="D25" s="76" t="str">
        <f t="shared" si="1"/>
        <v/>
      </c>
      <c r="E25" s="76" t="str">
        <f t="shared" si="1"/>
        <v/>
      </c>
      <c r="F25" s="155" t="str">
        <f t="shared" si="2"/>
        <v/>
      </c>
      <c r="G25" s="204" t="str">
        <f t="shared" si="3"/>
        <v/>
      </c>
      <c r="H25" s="156" t="str">
        <f t="shared" si="9"/>
        <v/>
      </c>
      <c r="I25" s="155" t="str">
        <f t="shared" si="4"/>
        <v/>
      </c>
      <c r="J25" s="184">
        <f t="shared" ca="1" si="5"/>
        <v>999999</v>
      </c>
      <c r="K25" s="184">
        <f>IF(OR(ISBLANK('Etape 1'!E20),ISBLANK('Etape 1'!F20)),IF(AND(ISBLANK('Etape 1'!B20),ISBLANK('Etape 1'!C20),ISBLANK('Etape 1'!D20),ISBLANK('Etape 1'!E20),ISBLANK('Etape 1'!F20),ISBLANK('Etape 1'!G20),ISBLANK('Etape 1'!H20)),999,9999),IF(VLOOKUP($C25,Matrix_Berechnungen1.Rang.Pumpendaten.Zwischenresultate,$C$9,0)&gt;0,VLOOKUP($C25,Matrix_Berechnungen1.Rang.Pumpendaten.Zwischenresultate,K$9,0),""))</f>
        <v>999</v>
      </c>
      <c r="L25" s="184">
        <f t="shared" ca="1" si="6"/>
        <v>13</v>
      </c>
      <c r="M25" s="184">
        <f t="shared" ca="1" si="6"/>
        <v>0</v>
      </c>
      <c r="N25" s="84"/>
      <c r="O25" s="84"/>
      <c r="P25" s="84"/>
      <c r="Q25" s="69" t="str">
        <f t="shared" si="7"/>
        <v/>
      </c>
      <c r="R25" s="84"/>
      <c r="S25" s="65" t="str">
        <f t="shared" si="10"/>
        <v/>
      </c>
      <c r="T25" s="69" t="str">
        <f t="shared" si="8"/>
        <v/>
      </c>
      <c r="U25" s="84"/>
      <c r="V25" s="65" t="str">
        <f t="shared" si="11"/>
        <v/>
      </c>
      <c r="W25" s="108"/>
      <c r="X25" s="108"/>
      <c r="Y25" s="108"/>
      <c r="Z25" s="110" t="str">
        <f t="shared" si="12"/>
        <v/>
      </c>
      <c r="AA25" s="199" t="str">
        <f>IF(ISERROR('Berechnungen 2'!AR28),"",'Berechnungen 2'!AR28)</f>
        <v/>
      </c>
      <c r="AB25" s="200" t="str">
        <f>IF(ISERROR('Berechnungen 2'!AS28),"",'Berechnungen 2'!AS28)</f>
        <v/>
      </c>
      <c r="AC25" s="200" t="str">
        <f>IF(ISERROR('Berechnungen 2'!AT28),"",'Berechnungen 2'!AT28)</f>
        <v/>
      </c>
      <c r="AD25" s="199" t="str">
        <f>IF(ISERROR('Berechnungen 2'!BE28),"",'Berechnungen 2'!BE28)</f>
        <v/>
      </c>
      <c r="AE25" s="200" t="str">
        <f>IF(ISERROR('Berechnungen 2'!BF28),"",'Berechnungen 2'!BF28)</f>
        <v/>
      </c>
      <c r="AF25" s="200" t="str">
        <f>IF(ISERROR('Berechnungen 2'!BG28),"",'Berechnungen 2'!BG28)</f>
        <v/>
      </c>
      <c r="AG25" s="199" t="str">
        <f>IF(ISNUMBER(A25),IF(ISERROR('Berechnungen 2'!BK28),"",'Berechnungen 2'!BK28),"")</f>
        <v/>
      </c>
      <c r="AH25" s="200" t="str">
        <f>IF(ISERROR('Berechnungen 2'!BL28),"",'Berechnungen 2'!BL28)</f>
        <v/>
      </c>
      <c r="AI25" s="200" t="str">
        <f>IF(ISERROR('Berechnungen 2'!BM28),"",'Berechnungen 2'!BM28)</f>
        <v/>
      </c>
    </row>
    <row r="26" spans="1:35" x14ac:dyDescent="0.2">
      <c r="A26" s="71" t="str">
        <f t="shared" si="0"/>
        <v/>
      </c>
      <c r="B26" s="193">
        <f t="shared" si="13"/>
        <v>14</v>
      </c>
      <c r="C26" s="192">
        <f ca="1">IF(ISERROR(LARGE('Berechnungen 1'!$A$12:$A$311,B26)),"",LARGE('Berechnungen 1'!$A$12:$A$311,B26))</f>
        <v>287</v>
      </c>
      <c r="D26" s="76" t="str">
        <f t="shared" si="1"/>
        <v/>
      </c>
      <c r="E26" s="76" t="str">
        <f t="shared" si="1"/>
        <v/>
      </c>
      <c r="F26" s="155" t="str">
        <f t="shared" si="2"/>
        <v/>
      </c>
      <c r="G26" s="204" t="str">
        <f t="shared" si="3"/>
        <v/>
      </c>
      <c r="H26" s="156" t="str">
        <f t="shared" si="9"/>
        <v/>
      </c>
      <c r="I26" s="155" t="str">
        <f t="shared" si="4"/>
        <v/>
      </c>
      <c r="J26" s="184">
        <f t="shared" ca="1" si="5"/>
        <v>999999</v>
      </c>
      <c r="K26" s="184">
        <f>IF(OR(ISBLANK('Etape 1'!E21),ISBLANK('Etape 1'!F21)),IF(AND(ISBLANK('Etape 1'!B21),ISBLANK('Etape 1'!C21),ISBLANK('Etape 1'!D21),ISBLANK('Etape 1'!E21),ISBLANK('Etape 1'!F21),ISBLANK('Etape 1'!G21),ISBLANK('Etape 1'!H21)),999,9999),IF(VLOOKUP($C26,Matrix_Berechnungen1.Rang.Pumpendaten.Zwischenresultate,$C$9,0)&gt;0,VLOOKUP($C26,Matrix_Berechnungen1.Rang.Pumpendaten.Zwischenresultate,K$9,0),""))</f>
        <v>999</v>
      </c>
      <c r="L26" s="184">
        <f t="shared" ca="1" si="6"/>
        <v>14</v>
      </c>
      <c r="M26" s="184">
        <f t="shared" ca="1" si="6"/>
        <v>0</v>
      </c>
      <c r="N26" s="84"/>
      <c r="O26" s="84"/>
      <c r="P26" s="84"/>
      <c r="Q26" s="69" t="str">
        <f t="shared" si="7"/>
        <v/>
      </c>
      <c r="R26" s="84"/>
      <c r="S26" s="65" t="str">
        <f t="shared" si="10"/>
        <v/>
      </c>
      <c r="T26" s="69" t="str">
        <f t="shared" si="8"/>
        <v/>
      </c>
      <c r="U26" s="84"/>
      <c r="V26" s="65" t="str">
        <f t="shared" si="11"/>
        <v/>
      </c>
      <c r="W26" s="108"/>
      <c r="X26" s="108"/>
      <c r="Y26" s="108"/>
      <c r="Z26" s="110" t="str">
        <f t="shared" si="12"/>
        <v/>
      </c>
      <c r="AA26" s="199" t="str">
        <f>IF(ISERROR('Berechnungen 2'!AR29),"",'Berechnungen 2'!AR29)</f>
        <v/>
      </c>
      <c r="AB26" s="200" t="str">
        <f>IF(ISERROR('Berechnungen 2'!AS29),"",'Berechnungen 2'!AS29)</f>
        <v/>
      </c>
      <c r="AC26" s="200" t="str">
        <f>IF(ISERROR('Berechnungen 2'!AT29),"",'Berechnungen 2'!AT29)</f>
        <v/>
      </c>
      <c r="AD26" s="199" t="str">
        <f>IF(ISERROR('Berechnungen 2'!BE29),"",'Berechnungen 2'!BE29)</f>
        <v/>
      </c>
      <c r="AE26" s="200" t="str">
        <f>IF(ISERROR('Berechnungen 2'!BF29),"",'Berechnungen 2'!BF29)</f>
        <v/>
      </c>
      <c r="AF26" s="200" t="str">
        <f>IF(ISERROR('Berechnungen 2'!BG29),"",'Berechnungen 2'!BG29)</f>
        <v/>
      </c>
      <c r="AG26" s="199" t="str">
        <f>IF(ISNUMBER(A26),IF(ISERROR('Berechnungen 2'!BK29),"",'Berechnungen 2'!BK29),"")</f>
        <v/>
      </c>
      <c r="AH26" s="200" t="str">
        <f>IF(ISERROR('Berechnungen 2'!BL29),"",'Berechnungen 2'!BL29)</f>
        <v/>
      </c>
      <c r="AI26" s="200" t="str">
        <f>IF(ISERROR('Berechnungen 2'!BM29),"",'Berechnungen 2'!BM29)</f>
        <v/>
      </c>
    </row>
    <row r="27" spans="1:35" x14ac:dyDescent="0.2">
      <c r="A27" s="71" t="str">
        <f t="shared" si="0"/>
        <v/>
      </c>
      <c r="B27" s="193">
        <f t="shared" si="13"/>
        <v>15</v>
      </c>
      <c r="C27" s="192">
        <f ca="1">IF(ISERROR(LARGE('Berechnungen 1'!$A$12:$A$311,B27)),"",LARGE('Berechnungen 1'!$A$12:$A$311,B27))</f>
        <v>286</v>
      </c>
      <c r="D27" s="76" t="str">
        <f t="shared" si="1"/>
        <v/>
      </c>
      <c r="E27" s="76" t="str">
        <f t="shared" si="1"/>
        <v/>
      </c>
      <c r="F27" s="155" t="str">
        <f t="shared" si="2"/>
        <v/>
      </c>
      <c r="G27" s="204" t="str">
        <f t="shared" si="3"/>
        <v/>
      </c>
      <c r="H27" s="156" t="str">
        <f t="shared" si="9"/>
        <v/>
      </c>
      <c r="I27" s="155" t="str">
        <f t="shared" si="4"/>
        <v/>
      </c>
      <c r="J27" s="184">
        <f t="shared" ca="1" si="5"/>
        <v>999999</v>
      </c>
      <c r="K27" s="184">
        <f>IF(OR(ISBLANK('Etape 1'!E22),ISBLANK('Etape 1'!F22)),IF(AND(ISBLANK('Etape 1'!B22),ISBLANK('Etape 1'!C22),ISBLANK('Etape 1'!D22),ISBLANK('Etape 1'!E22),ISBLANK('Etape 1'!F22),ISBLANK('Etape 1'!G22),ISBLANK('Etape 1'!H22)),999,9999),IF(VLOOKUP($C27,Matrix_Berechnungen1.Rang.Pumpendaten.Zwischenresultate,$C$9,0)&gt;0,VLOOKUP($C27,Matrix_Berechnungen1.Rang.Pumpendaten.Zwischenresultate,K$9,0),""))</f>
        <v>999</v>
      </c>
      <c r="L27" s="184">
        <f t="shared" ca="1" si="6"/>
        <v>15</v>
      </c>
      <c r="M27" s="184">
        <f t="shared" ca="1" si="6"/>
        <v>0</v>
      </c>
      <c r="N27" s="84"/>
      <c r="O27" s="84"/>
      <c r="P27" s="84"/>
      <c r="Q27" s="69" t="str">
        <f t="shared" si="7"/>
        <v/>
      </c>
      <c r="R27" s="84"/>
      <c r="S27" s="65" t="str">
        <f t="shared" si="10"/>
        <v/>
      </c>
      <c r="T27" s="69" t="str">
        <f t="shared" si="8"/>
        <v/>
      </c>
      <c r="U27" s="84"/>
      <c r="V27" s="65" t="str">
        <f t="shared" si="11"/>
        <v/>
      </c>
      <c r="W27" s="108"/>
      <c r="X27" s="108"/>
      <c r="Y27" s="108"/>
      <c r="Z27" s="110" t="str">
        <f t="shared" si="12"/>
        <v/>
      </c>
      <c r="AA27" s="199" t="str">
        <f>IF(ISERROR('Berechnungen 2'!AR30),"",'Berechnungen 2'!AR30)</f>
        <v/>
      </c>
      <c r="AB27" s="200" t="str">
        <f>IF(ISERROR('Berechnungen 2'!AS30),"",'Berechnungen 2'!AS30)</f>
        <v/>
      </c>
      <c r="AC27" s="200" t="str">
        <f>IF(ISERROR('Berechnungen 2'!AT30),"",'Berechnungen 2'!AT30)</f>
        <v/>
      </c>
      <c r="AD27" s="199" t="str">
        <f>IF(ISERROR('Berechnungen 2'!BE30),"",'Berechnungen 2'!BE30)</f>
        <v/>
      </c>
      <c r="AE27" s="200" t="str">
        <f>IF(ISERROR('Berechnungen 2'!BF30),"",'Berechnungen 2'!BF30)</f>
        <v/>
      </c>
      <c r="AF27" s="200" t="str">
        <f>IF(ISERROR('Berechnungen 2'!BG30),"",'Berechnungen 2'!BG30)</f>
        <v/>
      </c>
      <c r="AG27" s="199" t="str">
        <f>IF(ISNUMBER(A27),IF(ISERROR('Berechnungen 2'!BK30),"",'Berechnungen 2'!BK30),"")</f>
        <v/>
      </c>
      <c r="AH27" s="200" t="str">
        <f>IF(ISERROR('Berechnungen 2'!BL30),"",'Berechnungen 2'!BL30)</f>
        <v/>
      </c>
      <c r="AI27" s="200" t="str">
        <f>IF(ISERROR('Berechnungen 2'!BM30),"",'Berechnungen 2'!BM30)</f>
        <v/>
      </c>
    </row>
    <row r="28" spans="1:35" x14ac:dyDescent="0.2">
      <c r="A28" s="71" t="str">
        <f t="shared" si="0"/>
        <v/>
      </c>
      <c r="B28" s="193">
        <f t="shared" si="13"/>
        <v>16</v>
      </c>
      <c r="C28" s="192">
        <f ca="1">IF(ISERROR(LARGE('Berechnungen 1'!$A$12:$A$311,B28)),"",LARGE('Berechnungen 1'!$A$12:$A$311,B28))</f>
        <v>285</v>
      </c>
      <c r="D28" s="76" t="str">
        <f t="shared" si="1"/>
        <v/>
      </c>
      <c r="E28" s="76" t="str">
        <f t="shared" si="1"/>
        <v/>
      </c>
      <c r="F28" s="155" t="str">
        <f t="shared" si="2"/>
        <v/>
      </c>
      <c r="G28" s="204" t="str">
        <f t="shared" si="3"/>
        <v/>
      </c>
      <c r="H28" s="156" t="str">
        <f t="shared" si="9"/>
        <v/>
      </c>
      <c r="I28" s="155" t="str">
        <f t="shared" si="4"/>
        <v/>
      </c>
      <c r="J28" s="184">
        <f t="shared" ca="1" si="5"/>
        <v>999999</v>
      </c>
      <c r="K28" s="184">
        <f>IF(OR(ISBLANK('Etape 1'!E23),ISBLANK('Etape 1'!F23)),IF(AND(ISBLANK('Etape 1'!B23),ISBLANK('Etape 1'!C23),ISBLANK('Etape 1'!D23),ISBLANK('Etape 1'!E23),ISBLANK('Etape 1'!F23),ISBLANK('Etape 1'!G23),ISBLANK('Etape 1'!H23)),999,9999),IF(VLOOKUP($C28,Matrix_Berechnungen1.Rang.Pumpendaten.Zwischenresultate,$C$9,0)&gt;0,VLOOKUP($C28,Matrix_Berechnungen1.Rang.Pumpendaten.Zwischenresultate,K$9,0),""))</f>
        <v>999</v>
      </c>
      <c r="L28" s="184">
        <f t="shared" ca="1" si="6"/>
        <v>16</v>
      </c>
      <c r="M28" s="184">
        <f t="shared" ca="1" si="6"/>
        <v>0</v>
      </c>
      <c r="N28" s="84"/>
      <c r="O28" s="84"/>
      <c r="P28" s="84"/>
      <c r="Q28" s="69" t="str">
        <f t="shared" si="7"/>
        <v/>
      </c>
      <c r="R28" s="84"/>
      <c r="S28" s="65" t="str">
        <f t="shared" si="10"/>
        <v/>
      </c>
      <c r="T28" s="69" t="str">
        <f t="shared" si="8"/>
        <v/>
      </c>
      <c r="U28" s="84"/>
      <c r="V28" s="65" t="str">
        <f t="shared" si="11"/>
        <v/>
      </c>
      <c r="W28" s="108"/>
      <c r="X28" s="108"/>
      <c r="Y28" s="108"/>
      <c r="Z28" s="110" t="str">
        <f t="shared" si="12"/>
        <v/>
      </c>
      <c r="AA28" s="199" t="str">
        <f>IF(ISERROR('Berechnungen 2'!AR31),"",'Berechnungen 2'!AR31)</f>
        <v/>
      </c>
      <c r="AB28" s="200" t="str">
        <f>IF(ISERROR('Berechnungen 2'!AS31),"",'Berechnungen 2'!AS31)</f>
        <v/>
      </c>
      <c r="AC28" s="200" t="str">
        <f>IF(ISERROR('Berechnungen 2'!AT31),"",'Berechnungen 2'!AT31)</f>
        <v/>
      </c>
      <c r="AD28" s="199" t="str">
        <f>IF(ISERROR('Berechnungen 2'!BE31),"",'Berechnungen 2'!BE31)</f>
        <v/>
      </c>
      <c r="AE28" s="200" t="str">
        <f>IF(ISERROR('Berechnungen 2'!BF31),"",'Berechnungen 2'!BF31)</f>
        <v/>
      </c>
      <c r="AF28" s="200" t="str">
        <f>IF(ISERROR('Berechnungen 2'!BG31),"",'Berechnungen 2'!BG31)</f>
        <v/>
      </c>
      <c r="AG28" s="199" t="str">
        <f>IF(ISNUMBER(A28),IF(ISERROR('Berechnungen 2'!BK31),"",'Berechnungen 2'!BK31),"")</f>
        <v/>
      </c>
      <c r="AH28" s="200" t="str">
        <f>IF(ISERROR('Berechnungen 2'!BL31),"",'Berechnungen 2'!BL31)</f>
        <v/>
      </c>
      <c r="AI28" s="200" t="str">
        <f>IF(ISERROR('Berechnungen 2'!BM31),"",'Berechnungen 2'!BM31)</f>
        <v/>
      </c>
    </row>
    <row r="29" spans="1:35" x14ac:dyDescent="0.2">
      <c r="A29" s="71" t="str">
        <f t="shared" si="0"/>
        <v/>
      </c>
      <c r="B29" s="193">
        <f t="shared" si="13"/>
        <v>17</v>
      </c>
      <c r="C29" s="192">
        <f ca="1">IF(ISERROR(LARGE('Berechnungen 1'!$A$12:$A$311,B29)),"",LARGE('Berechnungen 1'!$A$12:$A$311,B29))</f>
        <v>284</v>
      </c>
      <c r="D29" s="76" t="str">
        <f t="shared" si="1"/>
        <v/>
      </c>
      <c r="E29" s="76" t="str">
        <f t="shared" si="1"/>
        <v/>
      </c>
      <c r="F29" s="155" t="str">
        <f t="shared" si="2"/>
        <v/>
      </c>
      <c r="G29" s="204" t="str">
        <f t="shared" si="3"/>
        <v/>
      </c>
      <c r="H29" s="156" t="str">
        <f t="shared" si="9"/>
        <v/>
      </c>
      <c r="I29" s="155" t="str">
        <f t="shared" si="4"/>
        <v/>
      </c>
      <c r="J29" s="184">
        <f t="shared" ca="1" si="5"/>
        <v>999999</v>
      </c>
      <c r="K29" s="184">
        <f>IF(OR(ISBLANK('Etape 1'!E24),ISBLANK('Etape 1'!F24)),IF(AND(ISBLANK('Etape 1'!B24),ISBLANK('Etape 1'!C24),ISBLANK('Etape 1'!D24),ISBLANK('Etape 1'!E24),ISBLANK('Etape 1'!F24),ISBLANK('Etape 1'!G24),ISBLANK('Etape 1'!H24)),999,9999),IF(VLOOKUP($C29,Matrix_Berechnungen1.Rang.Pumpendaten.Zwischenresultate,$C$9,0)&gt;0,VLOOKUP($C29,Matrix_Berechnungen1.Rang.Pumpendaten.Zwischenresultate,K$9,0),""))</f>
        <v>999</v>
      </c>
      <c r="L29" s="184">
        <f t="shared" ca="1" si="6"/>
        <v>17</v>
      </c>
      <c r="M29" s="184">
        <f t="shared" ca="1" si="6"/>
        <v>0</v>
      </c>
      <c r="N29" s="84"/>
      <c r="O29" s="84"/>
      <c r="P29" s="84"/>
      <c r="Q29" s="69" t="str">
        <f t="shared" si="7"/>
        <v/>
      </c>
      <c r="R29" s="84"/>
      <c r="S29" s="65" t="str">
        <f t="shared" si="10"/>
        <v/>
      </c>
      <c r="T29" s="69" t="str">
        <f t="shared" si="8"/>
        <v/>
      </c>
      <c r="U29" s="84"/>
      <c r="V29" s="65" t="str">
        <f t="shared" si="11"/>
        <v/>
      </c>
      <c r="W29" s="108"/>
      <c r="X29" s="108"/>
      <c r="Y29" s="108"/>
      <c r="Z29" s="110" t="str">
        <f t="shared" si="12"/>
        <v/>
      </c>
      <c r="AA29" s="199" t="str">
        <f>IF(ISERROR('Berechnungen 2'!AR32),"",'Berechnungen 2'!AR32)</f>
        <v/>
      </c>
      <c r="AB29" s="200" t="str">
        <f>IF(ISERROR('Berechnungen 2'!AS32),"",'Berechnungen 2'!AS32)</f>
        <v/>
      </c>
      <c r="AC29" s="200" t="str">
        <f>IF(ISERROR('Berechnungen 2'!AT32),"",'Berechnungen 2'!AT32)</f>
        <v/>
      </c>
      <c r="AD29" s="199" t="str">
        <f>IF(ISERROR('Berechnungen 2'!BE32),"",'Berechnungen 2'!BE32)</f>
        <v/>
      </c>
      <c r="AE29" s="200" t="str">
        <f>IF(ISERROR('Berechnungen 2'!BF32),"",'Berechnungen 2'!BF32)</f>
        <v/>
      </c>
      <c r="AF29" s="200" t="str">
        <f>IF(ISERROR('Berechnungen 2'!BG32),"",'Berechnungen 2'!BG32)</f>
        <v/>
      </c>
      <c r="AG29" s="199" t="str">
        <f>IF(ISNUMBER(A29),IF(ISERROR('Berechnungen 2'!BK32),"",'Berechnungen 2'!BK32),"")</f>
        <v/>
      </c>
      <c r="AH29" s="200" t="str">
        <f>IF(ISERROR('Berechnungen 2'!BL32),"",'Berechnungen 2'!BL32)</f>
        <v/>
      </c>
      <c r="AI29" s="200" t="str">
        <f>IF(ISERROR('Berechnungen 2'!BM32),"",'Berechnungen 2'!BM32)</f>
        <v/>
      </c>
    </row>
    <row r="30" spans="1:35" x14ac:dyDescent="0.2">
      <c r="A30" s="71" t="str">
        <f t="shared" si="0"/>
        <v/>
      </c>
      <c r="B30" s="193">
        <f t="shared" si="13"/>
        <v>18</v>
      </c>
      <c r="C30" s="192">
        <f ca="1">IF(ISERROR(LARGE('Berechnungen 1'!$A$12:$A$311,B30)),"",LARGE('Berechnungen 1'!$A$12:$A$311,B30))</f>
        <v>283</v>
      </c>
      <c r="D30" s="76" t="str">
        <f t="shared" si="1"/>
        <v/>
      </c>
      <c r="E30" s="76" t="str">
        <f t="shared" si="1"/>
        <v/>
      </c>
      <c r="F30" s="155" t="str">
        <f t="shared" si="2"/>
        <v/>
      </c>
      <c r="G30" s="204" t="str">
        <f t="shared" si="3"/>
        <v/>
      </c>
      <c r="H30" s="156" t="str">
        <f t="shared" si="9"/>
        <v/>
      </c>
      <c r="I30" s="155" t="str">
        <f t="shared" si="4"/>
        <v/>
      </c>
      <c r="J30" s="184">
        <f t="shared" ca="1" si="5"/>
        <v>999999</v>
      </c>
      <c r="K30" s="184">
        <f>IF(OR(ISBLANK('Etape 1'!E25),ISBLANK('Etape 1'!F25)),IF(AND(ISBLANK('Etape 1'!B25),ISBLANK('Etape 1'!C25),ISBLANK('Etape 1'!D25),ISBLANK('Etape 1'!E25),ISBLANK('Etape 1'!F25),ISBLANK('Etape 1'!G25),ISBLANK('Etape 1'!H25)),999,9999),IF(VLOOKUP($C30,Matrix_Berechnungen1.Rang.Pumpendaten.Zwischenresultate,$C$9,0)&gt;0,VLOOKUP($C30,Matrix_Berechnungen1.Rang.Pumpendaten.Zwischenresultate,K$9,0),""))</f>
        <v>999</v>
      </c>
      <c r="L30" s="184">
        <f t="shared" ca="1" si="6"/>
        <v>18</v>
      </c>
      <c r="M30" s="184">
        <f t="shared" ca="1" si="6"/>
        <v>0</v>
      </c>
      <c r="N30" s="84"/>
      <c r="O30" s="84"/>
      <c r="P30" s="84"/>
      <c r="Q30" s="69" t="str">
        <f t="shared" si="7"/>
        <v/>
      </c>
      <c r="R30" s="84"/>
      <c r="S30" s="65" t="str">
        <f t="shared" si="10"/>
        <v/>
      </c>
      <c r="T30" s="69" t="str">
        <f t="shared" si="8"/>
        <v/>
      </c>
      <c r="U30" s="84"/>
      <c r="V30" s="65" t="str">
        <f t="shared" si="11"/>
        <v/>
      </c>
      <c r="W30" s="108"/>
      <c r="X30" s="108"/>
      <c r="Y30" s="108"/>
      <c r="Z30" s="110" t="str">
        <f t="shared" si="12"/>
        <v/>
      </c>
      <c r="AA30" s="199" t="str">
        <f>IF(ISERROR('Berechnungen 2'!AR33),"",'Berechnungen 2'!AR33)</f>
        <v/>
      </c>
      <c r="AB30" s="200" t="str">
        <f>IF(ISERROR('Berechnungen 2'!AS33),"",'Berechnungen 2'!AS33)</f>
        <v/>
      </c>
      <c r="AC30" s="200" t="str">
        <f>IF(ISERROR('Berechnungen 2'!AT33),"",'Berechnungen 2'!AT33)</f>
        <v/>
      </c>
      <c r="AD30" s="199" t="str">
        <f>IF(ISERROR('Berechnungen 2'!BE33),"",'Berechnungen 2'!BE33)</f>
        <v/>
      </c>
      <c r="AE30" s="200" t="str">
        <f>IF(ISERROR('Berechnungen 2'!BF33),"",'Berechnungen 2'!BF33)</f>
        <v/>
      </c>
      <c r="AF30" s="200" t="str">
        <f>IF(ISERROR('Berechnungen 2'!BG33),"",'Berechnungen 2'!BG33)</f>
        <v/>
      </c>
      <c r="AG30" s="199" t="str">
        <f>IF(ISNUMBER(A30),IF(ISERROR('Berechnungen 2'!BK33),"",'Berechnungen 2'!BK33),"")</f>
        <v/>
      </c>
      <c r="AH30" s="200" t="str">
        <f>IF(ISERROR('Berechnungen 2'!BL33),"",'Berechnungen 2'!BL33)</f>
        <v/>
      </c>
      <c r="AI30" s="200" t="str">
        <f>IF(ISERROR('Berechnungen 2'!BM33),"",'Berechnungen 2'!BM33)</f>
        <v/>
      </c>
    </row>
    <row r="31" spans="1:35" x14ac:dyDescent="0.2">
      <c r="A31" s="71" t="str">
        <f t="shared" si="0"/>
        <v/>
      </c>
      <c r="B31" s="193">
        <f t="shared" si="13"/>
        <v>19</v>
      </c>
      <c r="C31" s="192">
        <f ca="1">IF(ISERROR(LARGE('Berechnungen 1'!$A$12:$A$311,B31)),"",LARGE('Berechnungen 1'!$A$12:$A$311,B31))</f>
        <v>282</v>
      </c>
      <c r="D31" s="76" t="str">
        <f t="shared" si="1"/>
        <v/>
      </c>
      <c r="E31" s="76" t="str">
        <f t="shared" si="1"/>
        <v/>
      </c>
      <c r="F31" s="155" t="str">
        <f t="shared" si="2"/>
        <v/>
      </c>
      <c r="G31" s="204" t="str">
        <f t="shared" si="3"/>
        <v/>
      </c>
      <c r="H31" s="156" t="str">
        <f t="shared" si="9"/>
        <v/>
      </c>
      <c r="I31" s="155" t="str">
        <f t="shared" si="4"/>
        <v/>
      </c>
      <c r="J31" s="184">
        <f t="shared" ca="1" si="5"/>
        <v>999999</v>
      </c>
      <c r="K31" s="184">
        <f>IF(OR(ISBLANK('Etape 1'!E26),ISBLANK('Etape 1'!F26)),IF(AND(ISBLANK('Etape 1'!B26),ISBLANK('Etape 1'!C26),ISBLANK('Etape 1'!D26),ISBLANK('Etape 1'!E26),ISBLANK('Etape 1'!F26),ISBLANK('Etape 1'!G26),ISBLANK('Etape 1'!H26)),999,9999),IF(VLOOKUP($C31,Matrix_Berechnungen1.Rang.Pumpendaten.Zwischenresultate,$C$9,0)&gt;0,VLOOKUP($C31,Matrix_Berechnungen1.Rang.Pumpendaten.Zwischenresultate,K$9,0),""))</f>
        <v>999</v>
      </c>
      <c r="L31" s="184">
        <f t="shared" ca="1" si="6"/>
        <v>19</v>
      </c>
      <c r="M31" s="184">
        <f t="shared" ca="1" si="6"/>
        <v>0</v>
      </c>
      <c r="N31" s="84"/>
      <c r="O31" s="84"/>
      <c r="P31" s="84"/>
      <c r="Q31" s="69" t="str">
        <f t="shared" si="7"/>
        <v/>
      </c>
      <c r="R31" s="84"/>
      <c r="S31" s="65" t="str">
        <f t="shared" si="10"/>
        <v/>
      </c>
      <c r="T31" s="69" t="str">
        <f t="shared" si="8"/>
        <v/>
      </c>
      <c r="U31" s="84"/>
      <c r="V31" s="65" t="str">
        <f t="shared" si="11"/>
        <v/>
      </c>
      <c r="W31" s="108"/>
      <c r="X31" s="108"/>
      <c r="Y31" s="108"/>
      <c r="Z31" s="110" t="str">
        <f t="shared" si="12"/>
        <v/>
      </c>
      <c r="AA31" s="199" t="str">
        <f>IF(ISERROR('Berechnungen 2'!AR34),"",'Berechnungen 2'!AR34)</f>
        <v/>
      </c>
      <c r="AB31" s="200" t="str">
        <f>IF(ISERROR('Berechnungen 2'!AS34),"",'Berechnungen 2'!AS34)</f>
        <v/>
      </c>
      <c r="AC31" s="200" t="str">
        <f>IF(ISERROR('Berechnungen 2'!AT34),"",'Berechnungen 2'!AT34)</f>
        <v/>
      </c>
      <c r="AD31" s="199" t="str">
        <f>IF(ISERROR('Berechnungen 2'!BE34),"",'Berechnungen 2'!BE34)</f>
        <v/>
      </c>
      <c r="AE31" s="200" t="str">
        <f>IF(ISERROR('Berechnungen 2'!BF34),"",'Berechnungen 2'!BF34)</f>
        <v/>
      </c>
      <c r="AF31" s="200" t="str">
        <f>IF(ISERROR('Berechnungen 2'!BG34),"",'Berechnungen 2'!BG34)</f>
        <v/>
      </c>
      <c r="AG31" s="199" t="str">
        <f>IF(ISNUMBER(A31),IF(ISERROR('Berechnungen 2'!BK34),"",'Berechnungen 2'!BK34),"")</f>
        <v/>
      </c>
      <c r="AH31" s="200" t="str">
        <f>IF(ISERROR('Berechnungen 2'!BL34),"",'Berechnungen 2'!BL34)</f>
        <v/>
      </c>
      <c r="AI31" s="200" t="str">
        <f>IF(ISERROR('Berechnungen 2'!BM34),"",'Berechnungen 2'!BM34)</f>
        <v/>
      </c>
    </row>
    <row r="32" spans="1:35" x14ac:dyDescent="0.2">
      <c r="A32" s="71" t="str">
        <f t="shared" si="0"/>
        <v/>
      </c>
      <c r="B32" s="193">
        <f t="shared" si="13"/>
        <v>20</v>
      </c>
      <c r="C32" s="192">
        <f ca="1">IF(ISERROR(LARGE('Berechnungen 1'!$A$12:$A$311,B32)),"",LARGE('Berechnungen 1'!$A$12:$A$311,B32))</f>
        <v>281</v>
      </c>
      <c r="D32" s="76" t="str">
        <f t="shared" si="1"/>
        <v/>
      </c>
      <c r="E32" s="76" t="str">
        <f t="shared" si="1"/>
        <v/>
      </c>
      <c r="F32" s="155" t="str">
        <f t="shared" si="2"/>
        <v/>
      </c>
      <c r="G32" s="204" t="str">
        <f t="shared" si="3"/>
        <v/>
      </c>
      <c r="H32" s="156" t="str">
        <f t="shared" si="9"/>
        <v/>
      </c>
      <c r="I32" s="155" t="str">
        <f t="shared" si="4"/>
        <v/>
      </c>
      <c r="J32" s="184">
        <f t="shared" ca="1" si="5"/>
        <v>999999</v>
      </c>
      <c r="K32" s="184">
        <f>IF(OR(ISBLANK('Etape 1'!E27),ISBLANK('Etape 1'!F27)),IF(AND(ISBLANK('Etape 1'!B27),ISBLANK('Etape 1'!C27),ISBLANK('Etape 1'!D27),ISBLANK('Etape 1'!E27),ISBLANK('Etape 1'!F27),ISBLANK('Etape 1'!G27),ISBLANK('Etape 1'!H27)),999,9999),IF(VLOOKUP($C32,Matrix_Berechnungen1.Rang.Pumpendaten.Zwischenresultate,$C$9,0)&gt;0,VLOOKUP($C32,Matrix_Berechnungen1.Rang.Pumpendaten.Zwischenresultate,K$9,0),""))</f>
        <v>999</v>
      </c>
      <c r="L32" s="184">
        <f t="shared" ca="1" si="6"/>
        <v>20</v>
      </c>
      <c r="M32" s="184">
        <f t="shared" ca="1" si="6"/>
        <v>0</v>
      </c>
      <c r="N32" s="84"/>
      <c r="O32" s="84"/>
      <c r="P32" s="84"/>
      <c r="Q32" s="69" t="str">
        <f t="shared" si="7"/>
        <v/>
      </c>
      <c r="R32" s="84"/>
      <c r="S32" s="65" t="str">
        <f t="shared" si="10"/>
        <v/>
      </c>
      <c r="T32" s="69" t="str">
        <f t="shared" si="8"/>
        <v/>
      </c>
      <c r="U32" s="84"/>
      <c r="V32" s="65" t="str">
        <f t="shared" si="11"/>
        <v/>
      </c>
      <c r="W32" s="108"/>
      <c r="X32" s="108"/>
      <c r="Y32" s="108"/>
      <c r="Z32" s="110" t="str">
        <f t="shared" si="12"/>
        <v/>
      </c>
      <c r="AA32" s="199" t="str">
        <f>IF(ISERROR('Berechnungen 2'!AR35),"",'Berechnungen 2'!AR35)</f>
        <v/>
      </c>
      <c r="AB32" s="200" t="str">
        <f>IF(ISERROR('Berechnungen 2'!AS35),"",'Berechnungen 2'!AS35)</f>
        <v/>
      </c>
      <c r="AC32" s="200" t="str">
        <f>IF(ISERROR('Berechnungen 2'!AT35),"",'Berechnungen 2'!AT35)</f>
        <v/>
      </c>
      <c r="AD32" s="199" t="str">
        <f>IF(ISERROR('Berechnungen 2'!BE35),"",'Berechnungen 2'!BE35)</f>
        <v/>
      </c>
      <c r="AE32" s="200" t="str">
        <f>IF(ISERROR('Berechnungen 2'!BF35),"",'Berechnungen 2'!BF35)</f>
        <v/>
      </c>
      <c r="AF32" s="200" t="str">
        <f>IF(ISERROR('Berechnungen 2'!BG35),"",'Berechnungen 2'!BG35)</f>
        <v/>
      </c>
      <c r="AG32" s="199" t="str">
        <f>IF(ISNUMBER(A32),IF(ISERROR('Berechnungen 2'!BK35),"",'Berechnungen 2'!BK35),"")</f>
        <v/>
      </c>
      <c r="AH32" s="200" t="str">
        <f>IF(ISERROR('Berechnungen 2'!BL35),"",'Berechnungen 2'!BL35)</f>
        <v/>
      </c>
      <c r="AI32" s="200" t="str">
        <f>IF(ISERROR('Berechnungen 2'!BM35),"",'Berechnungen 2'!BM35)</f>
        <v/>
      </c>
    </row>
    <row r="33" spans="1:35" x14ac:dyDescent="0.2">
      <c r="A33" s="71" t="str">
        <f t="shared" si="0"/>
        <v/>
      </c>
      <c r="B33" s="193">
        <f t="shared" si="13"/>
        <v>21</v>
      </c>
      <c r="C33" s="192">
        <f ca="1">IF(ISERROR(LARGE('Berechnungen 1'!$A$12:$A$311,B33)),"",LARGE('Berechnungen 1'!$A$12:$A$311,B33))</f>
        <v>280</v>
      </c>
      <c r="D33" s="76" t="str">
        <f t="shared" ref="D33:E52" si="14">IF(ISNUMBER($A33),IF(VLOOKUP($C33,Matrix_Berechnungen1.Rang.Pumpendaten.Zwischenresultate,$C$9,0)&gt;0,IF(VLOOKUP($C33,Matrix_Berechnungen1.Rang.Pumpendaten.Zwischenresultate,D$9,0)=0,"",VLOOKUP($C33,Matrix_Berechnungen1.Rang.Pumpendaten.Zwischenresultate,D$9,0)),""),"")</f>
        <v/>
      </c>
      <c r="E33" s="76" t="str">
        <f t="shared" si="14"/>
        <v/>
      </c>
      <c r="F33" s="155" t="str">
        <f t="shared" si="2"/>
        <v/>
      </c>
      <c r="G33" s="204" t="str">
        <f t="shared" si="3"/>
        <v/>
      </c>
      <c r="H33" s="156" t="str">
        <f t="shared" si="9"/>
        <v/>
      </c>
      <c r="I33" s="155" t="str">
        <f t="shared" si="4"/>
        <v/>
      </c>
      <c r="J33" s="184">
        <f t="shared" ca="1" si="5"/>
        <v>999999</v>
      </c>
      <c r="K33" s="184">
        <f>IF(OR(ISBLANK('Etape 1'!E28),ISBLANK('Etape 1'!F28)),IF(AND(ISBLANK('Etape 1'!B28),ISBLANK('Etape 1'!C28),ISBLANK('Etape 1'!D28),ISBLANK('Etape 1'!E28),ISBLANK('Etape 1'!F28),ISBLANK('Etape 1'!G28),ISBLANK('Etape 1'!H28)),999,9999),IF(VLOOKUP($C33,Matrix_Berechnungen1.Rang.Pumpendaten.Zwischenresultate,$C$9,0)&gt;0,VLOOKUP($C33,Matrix_Berechnungen1.Rang.Pumpendaten.Zwischenresultate,K$9,0),""))</f>
        <v>999</v>
      </c>
      <c r="L33" s="184">
        <f t="shared" ref="L33:M52" ca="1" si="15">IF(VLOOKUP($C33,Matrix_Berechnungen1.Rang.Pumpendaten.Zwischenresultate,$C$9,0)&gt;0,VLOOKUP($C33,Matrix_Berechnungen1.Rang.Pumpendaten.Zwischenresultate,L$9,0),"")</f>
        <v>21</v>
      </c>
      <c r="M33" s="184">
        <f t="shared" ca="1" si="15"/>
        <v>0</v>
      </c>
      <c r="N33" s="84"/>
      <c r="O33" s="84"/>
      <c r="P33" s="84"/>
      <c r="Q33" s="69" t="str">
        <f t="shared" si="7"/>
        <v/>
      </c>
      <c r="R33" s="84"/>
      <c r="S33" s="65" t="str">
        <f t="shared" si="10"/>
        <v/>
      </c>
      <c r="T33" s="69" t="str">
        <f t="shared" si="8"/>
        <v/>
      </c>
      <c r="U33" s="84"/>
      <c r="V33" s="65" t="str">
        <f t="shared" si="11"/>
        <v/>
      </c>
      <c r="W33" s="108"/>
      <c r="X33" s="108"/>
      <c r="Y33" s="108"/>
      <c r="Z33" s="110" t="str">
        <f t="shared" si="12"/>
        <v/>
      </c>
      <c r="AA33" s="199" t="str">
        <f>IF(ISERROR('Berechnungen 2'!AR36),"",'Berechnungen 2'!AR36)</f>
        <v/>
      </c>
      <c r="AB33" s="200" t="str">
        <f>IF(ISERROR('Berechnungen 2'!AS36),"",'Berechnungen 2'!AS36)</f>
        <v/>
      </c>
      <c r="AC33" s="200" t="str">
        <f>IF(ISERROR('Berechnungen 2'!AT36),"",'Berechnungen 2'!AT36)</f>
        <v/>
      </c>
      <c r="AD33" s="199" t="str">
        <f>IF(ISERROR('Berechnungen 2'!BE36),"",'Berechnungen 2'!BE36)</f>
        <v/>
      </c>
      <c r="AE33" s="200" t="str">
        <f>IF(ISERROR('Berechnungen 2'!BF36),"",'Berechnungen 2'!BF36)</f>
        <v/>
      </c>
      <c r="AF33" s="200" t="str">
        <f>IF(ISERROR('Berechnungen 2'!BG36),"",'Berechnungen 2'!BG36)</f>
        <v/>
      </c>
      <c r="AG33" s="199" t="str">
        <f>IF(ISNUMBER(A33),IF(ISERROR('Berechnungen 2'!BK36),"",'Berechnungen 2'!BK36),"")</f>
        <v/>
      </c>
      <c r="AH33" s="200" t="str">
        <f>IF(ISERROR('Berechnungen 2'!BL36),"",'Berechnungen 2'!BL36)</f>
        <v/>
      </c>
      <c r="AI33" s="200" t="str">
        <f>IF(ISERROR('Berechnungen 2'!BM36),"",'Berechnungen 2'!BM36)</f>
        <v/>
      </c>
    </row>
    <row r="34" spans="1:35" x14ac:dyDescent="0.2">
      <c r="A34" s="71" t="str">
        <f t="shared" si="0"/>
        <v/>
      </c>
      <c r="B34" s="193">
        <f t="shared" si="13"/>
        <v>22</v>
      </c>
      <c r="C34" s="192">
        <f ca="1">IF(ISERROR(LARGE('Berechnungen 1'!$A$12:$A$311,B34)),"",LARGE('Berechnungen 1'!$A$12:$A$311,B34))</f>
        <v>279</v>
      </c>
      <c r="D34" s="76" t="str">
        <f t="shared" si="14"/>
        <v/>
      </c>
      <c r="E34" s="76" t="str">
        <f t="shared" si="14"/>
        <v/>
      </c>
      <c r="F34" s="155" t="str">
        <f t="shared" si="2"/>
        <v/>
      </c>
      <c r="G34" s="204" t="str">
        <f t="shared" si="3"/>
        <v/>
      </c>
      <c r="H34" s="156" t="str">
        <f t="shared" si="9"/>
        <v/>
      </c>
      <c r="I34" s="155" t="str">
        <f t="shared" si="4"/>
        <v/>
      </c>
      <c r="J34" s="184">
        <f t="shared" ca="1" si="5"/>
        <v>999999</v>
      </c>
      <c r="K34" s="184">
        <f>IF(OR(ISBLANK('Etape 1'!E29),ISBLANK('Etape 1'!F29)),IF(AND(ISBLANK('Etape 1'!B29),ISBLANK('Etape 1'!C29),ISBLANK('Etape 1'!D29),ISBLANK('Etape 1'!E29),ISBLANK('Etape 1'!F29),ISBLANK('Etape 1'!G29),ISBLANK('Etape 1'!H29)),999,9999),IF(VLOOKUP($C34,Matrix_Berechnungen1.Rang.Pumpendaten.Zwischenresultate,$C$9,0)&gt;0,VLOOKUP($C34,Matrix_Berechnungen1.Rang.Pumpendaten.Zwischenresultate,K$9,0),""))</f>
        <v>999</v>
      </c>
      <c r="L34" s="184">
        <f t="shared" ca="1" si="15"/>
        <v>22</v>
      </c>
      <c r="M34" s="184">
        <f t="shared" ca="1" si="15"/>
        <v>0</v>
      </c>
      <c r="N34" s="84"/>
      <c r="O34" s="84"/>
      <c r="P34" s="84"/>
      <c r="Q34" s="69" t="str">
        <f t="shared" si="7"/>
        <v/>
      </c>
      <c r="R34" s="84"/>
      <c r="S34" s="65" t="str">
        <f t="shared" si="10"/>
        <v/>
      </c>
      <c r="T34" s="69" t="str">
        <f t="shared" si="8"/>
        <v/>
      </c>
      <c r="U34" s="84"/>
      <c r="V34" s="65" t="str">
        <f t="shared" si="11"/>
        <v/>
      </c>
      <c r="W34" s="108"/>
      <c r="X34" s="108"/>
      <c r="Y34" s="108"/>
      <c r="Z34" s="110" t="str">
        <f t="shared" si="12"/>
        <v/>
      </c>
      <c r="AA34" s="199" t="str">
        <f>IF(ISERROR('Berechnungen 2'!AR37),"",'Berechnungen 2'!AR37)</f>
        <v/>
      </c>
      <c r="AB34" s="200" t="str">
        <f>IF(ISERROR('Berechnungen 2'!AS37),"",'Berechnungen 2'!AS37)</f>
        <v/>
      </c>
      <c r="AC34" s="200" t="str">
        <f>IF(ISERROR('Berechnungen 2'!AT37),"",'Berechnungen 2'!AT37)</f>
        <v/>
      </c>
      <c r="AD34" s="199" t="str">
        <f>IF(ISERROR('Berechnungen 2'!BE37),"",'Berechnungen 2'!BE37)</f>
        <v/>
      </c>
      <c r="AE34" s="200" t="str">
        <f>IF(ISERROR('Berechnungen 2'!BF37),"",'Berechnungen 2'!BF37)</f>
        <v/>
      </c>
      <c r="AF34" s="200" t="str">
        <f>IF(ISERROR('Berechnungen 2'!BG37),"",'Berechnungen 2'!BG37)</f>
        <v/>
      </c>
      <c r="AG34" s="199" t="str">
        <f>IF(ISNUMBER(A34),IF(ISERROR('Berechnungen 2'!BK37),"",'Berechnungen 2'!BK37),"")</f>
        <v/>
      </c>
      <c r="AH34" s="200" t="str">
        <f>IF(ISERROR('Berechnungen 2'!BL37),"",'Berechnungen 2'!BL37)</f>
        <v/>
      </c>
      <c r="AI34" s="200" t="str">
        <f>IF(ISERROR('Berechnungen 2'!BM37),"",'Berechnungen 2'!BM37)</f>
        <v/>
      </c>
    </row>
    <row r="35" spans="1:35" x14ac:dyDescent="0.2">
      <c r="A35" s="71" t="str">
        <f t="shared" si="0"/>
        <v/>
      </c>
      <c r="B35" s="193">
        <f t="shared" si="13"/>
        <v>23</v>
      </c>
      <c r="C35" s="192">
        <f ca="1">IF(ISERROR(LARGE('Berechnungen 1'!$A$12:$A$311,B35)),"",LARGE('Berechnungen 1'!$A$12:$A$311,B35))</f>
        <v>278</v>
      </c>
      <c r="D35" s="76" t="str">
        <f t="shared" si="14"/>
        <v/>
      </c>
      <c r="E35" s="76" t="str">
        <f t="shared" si="14"/>
        <v/>
      </c>
      <c r="F35" s="155" t="str">
        <f t="shared" si="2"/>
        <v/>
      </c>
      <c r="G35" s="204" t="str">
        <f t="shared" si="3"/>
        <v/>
      </c>
      <c r="H35" s="156" t="str">
        <f t="shared" si="9"/>
        <v/>
      </c>
      <c r="I35" s="155" t="str">
        <f t="shared" si="4"/>
        <v/>
      </c>
      <c r="J35" s="184">
        <f t="shared" ca="1" si="5"/>
        <v>999999</v>
      </c>
      <c r="K35" s="184">
        <f>IF(OR(ISBLANK('Etape 1'!E30),ISBLANK('Etape 1'!F30)),IF(AND(ISBLANK('Etape 1'!B30),ISBLANK('Etape 1'!C30),ISBLANK('Etape 1'!D30),ISBLANK('Etape 1'!E30),ISBLANK('Etape 1'!F30),ISBLANK('Etape 1'!G30),ISBLANK('Etape 1'!H30)),999,9999),IF(VLOOKUP($C35,Matrix_Berechnungen1.Rang.Pumpendaten.Zwischenresultate,$C$9,0)&gt;0,VLOOKUP($C35,Matrix_Berechnungen1.Rang.Pumpendaten.Zwischenresultate,K$9,0),""))</f>
        <v>999</v>
      </c>
      <c r="L35" s="184">
        <f t="shared" ca="1" si="15"/>
        <v>23</v>
      </c>
      <c r="M35" s="184">
        <f t="shared" ca="1" si="15"/>
        <v>0</v>
      </c>
      <c r="N35" s="84"/>
      <c r="O35" s="84"/>
      <c r="P35" s="84"/>
      <c r="Q35" s="69" t="str">
        <f t="shared" si="7"/>
        <v/>
      </c>
      <c r="R35" s="84"/>
      <c r="S35" s="65" t="str">
        <f t="shared" si="10"/>
        <v/>
      </c>
      <c r="T35" s="69" t="str">
        <f t="shared" si="8"/>
        <v/>
      </c>
      <c r="U35" s="84"/>
      <c r="V35" s="65" t="str">
        <f t="shared" si="11"/>
        <v/>
      </c>
      <c r="W35" s="108"/>
      <c r="X35" s="108"/>
      <c r="Y35" s="108"/>
      <c r="Z35" s="110" t="str">
        <f t="shared" si="12"/>
        <v/>
      </c>
      <c r="AA35" s="199" t="str">
        <f>IF(ISERROR('Berechnungen 2'!AR38),"",'Berechnungen 2'!AR38)</f>
        <v/>
      </c>
      <c r="AB35" s="200" t="str">
        <f>IF(ISERROR('Berechnungen 2'!AS38),"",'Berechnungen 2'!AS38)</f>
        <v/>
      </c>
      <c r="AC35" s="200" t="str">
        <f>IF(ISERROR('Berechnungen 2'!AT38),"",'Berechnungen 2'!AT38)</f>
        <v/>
      </c>
      <c r="AD35" s="199" t="str">
        <f>IF(ISERROR('Berechnungen 2'!BE38),"",'Berechnungen 2'!BE38)</f>
        <v/>
      </c>
      <c r="AE35" s="200" t="str">
        <f>IF(ISERROR('Berechnungen 2'!BF38),"",'Berechnungen 2'!BF38)</f>
        <v/>
      </c>
      <c r="AF35" s="200" t="str">
        <f>IF(ISERROR('Berechnungen 2'!BG38),"",'Berechnungen 2'!BG38)</f>
        <v/>
      </c>
      <c r="AG35" s="199" t="str">
        <f>IF(ISNUMBER(A35),IF(ISERROR('Berechnungen 2'!BK38),"",'Berechnungen 2'!BK38),"")</f>
        <v/>
      </c>
      <c r="AH35" s="200" t="str">
        <f>IF(ISERROR('Berechnungen 2'!BL38),"",'Berechnungen 2'!BL38)</f>
        <v/>
      </c>
      <c r="AI35" s="200" t="str">
        <f>IF(ISERROR('Berechnungen 2'!BM38),"",'Berechnungen 2'!BM38)</f>
        <v/>
      </c>
    </row>
    <row r="36" spans="1:35" x14ac:dyDescent="0.2">
      <c r="A36" s="71" t="str">
        <f t="shared" si="0"/>
        <v/>
      </c>
      <c r="B36" s="193">
        <f t="shared" si="13"/>
        <v>24</v>
      </c>
      <c r="C36" s="192">
        <f ca="1">IF(ISERROR(LARGE('Berechnungen 1'!$A$12:$A$311,B36)),"",LARGE('Berechnungen 1'!$A$12:$A$311,B36))</f>
        <v>277</v>
      </c>
      <c r="D36" s="76" t="str">
        <f t="shared" si="14"/>
        <v/>
      </c>
      <c r="E36" s="76" t="str">
        <f t="shared" si="14"/>
        <v/>
      </c>
      <c r="F36" s="155" t="str">
        <f t="shared" si="2"/>
        <v/>
      </c>
      <c r="G36" s="204" t="str">
        <f t="shared" si="3"/>
        <v/>
      </c>
      <c r="H36" s="156" t="str">
        <f t="shared" si="9"/>
        <v/>
      </c>
      <c r="I36" s="155" t="str">
        <f t="shared" si="4"/>
        <v/>
      </c>
      <c r="J36" s="184">
        <f t="shared" ca="1" si="5"/>
        <v>999999</v>
      </c>
      <c r="K36" s="184">
        <f>IF(OR(ISBLANK('Etape 1'!E31),ISBLANK('Etape 1'!F31)),IF(AND(ISBLANK('Etape 1'!B31),ISBLANK('Etape 1'!C31),ISBLANK('Etape 1'!D31),ISBLANK('Etape 1'!E31),ISBLANK('Etape 1'!F31),ISBLANK('Etape 1'!G31),ISBLANK('Etape 1'!H31)),999,9999),IF(VLOOKUP($C36,Matrix_Berechnungen1.Rang.Pumpendaten.Zwischenresultate,$C$9,0)&gt;0,VLOOKUP($C36,Matrix_Berechnungen1.Rang.Pumpendaten.Zwischenresultate,K$9,0),""))</f>
        <v>999</v>
      </c>
      <c r="L36" s="184">
        <f t="shared" ca="1" si="15"/>
        <v>24</v>
      </c>
      <c r="M36" s="184">
        <f t="shared" ca="1" si="15"/>
        <v>0</v>
      </c>
      <c r="N36" s="84"/>
      <c r="O36" s="84"/>
      <c r="P36" s="84"/>
      <c r="Q36" s="69" t="str">
        <f t="shared" si="7"/>
        <v/>
      </c>
      <c r="R36" s="84"/>
      <c r="S36" s="65" t="str">
        <f t="shared" si="10"/>
        <v/>
      </c>
      <c r="T36" s="69" t="str">
        <f t="shared" si="8"/>
        <v/>
      </c>
      <c r="U36" s="84"/>
      <c r="V36" s="65" t="str">
        <f t="shared" si="11"/>
        <v/>
      </c>
      <c r="W36" s="108"/>
      <c r="X36" s="108"/>
      <c r="Y36" s="108"/>
      <c r="Z36" s="110" t="str">
        <f t="shared" si="12"/>
        <v/>
      </c>
      <c r="AA36" s="199" t="str">
        <f>IF(ISERROR('Berechnungen 2'!AR39),"",'Berechnungen 2'!AR39)</f>
        <v/>
      </c>
      <c r="AB36" s="200" t="str">
        <f>IF(ISERROR('Berechnungen 2'!AS39),"",'Berechnungen 2'!AS39)</f>
        <v/>
      </c>
      <c r="AC36" s="200" t="str">
        <f>IF(ISERROR('Berechnungen 2'!AT39),"",'Berechnungen 2'!AT39)</f>
        <v/>
      </c>
      <c r="AD36" s="199" t="str">
        <f>IF(ISERROR('Berechnungen 2'!BE39),"",'Berechnungen 2'!BE39)</f>
        <v/>
      </c>
      <c r="AE36" s="200" t="str">
        <f>IF(ISERROR('Berechnungen 2'!BF39),"",'Berechnungen 2'!BF39)</f>
        <v/>
      </c>
      <c r="AF36" s="200" t="str">
        <f>IF(ISERROR('Berechnungen 2'!BG39),"",'Berechnungen 2'!BG39)</f>
        <v/>
      </c>
      <c r="AG36" s="199" t="str">
        <f>IF(ISNUMBER(A36),IF(ISERROR('Berechnungen 2'!BK39),"",'Berechnungen 2'!BK39),"")</f>
        <v/>
      </c>
      <c r="AH36" s="200" t="str">
        <f>IF(ISERROR('Berechnungen 2'!BL39),"",'Berechnungen 2'!BL39)</f>
        <v/>
      </c>
      <c r="AI36" s="200" t="str">
        <f>IF(ISERROR('Berechnungen 2'!BM39),"",'Berechnungen 2'!BM39)</f>
        <v/>
      </c>
    </row>
    <row r="37" spans="1:35" x14ac:dyDescent="0.2">
      <c r="A37" s="71" t="str">
        <f t="shared" si="0"/>
        <v/>
      </c>
      <c r="B37" s="193">
        <f t="shared" si="13"/>
        <v>25</v>
      </c>
      <c r="C37" s="192">
        <f ca="1">IF(ISERROR(LARGE('Berechnungen 1'!$A$12:$A$311,B37)),"",LARGE('Berechnungen 1'!$A$12:$A$311,B37))</f>
        <v>276</v>
      </c>
      <c r="D37" s="76" t="str">
        <f t="shared" si="14"/>
        <v/>
      </c>
      <c r="E37" s="76" t="str">
        <f t="shared" si="14"/>
        <v/>
      </c>
      <c r="F37" s="155" t="str">
        <f t="shared" si="2"/>
        <v/>
      </c>
      <c r="G37" s="204" t="str">
        <f t="shared" si="3"/>
        <v/>
      </c>
      <c r="H37" s="156" t="str">
        <f t="shared" si="9"/>
        <v/>
      </c>
      <c r="I37" s="155" t="str">
        <f t="shared" si="4"/>
        <v/>
      </c>
      <c r="J37" s="184">
        <f t="shared" ca="1" si="5"/>
        <v>999999</v>
      </c>
      <c r="K37" s="184">
        <f>IF(OR(ISBLANK('Etape 1'!E32),ISBLANK('Etape 1'!F32)),IF(AND(ISBLANK('Etape 1'!B32),ISBLANK('Etape 1'!C32),ISBLANK('Etape 1'!D32),ISBLANK('Etape 1'!E32),ISBLANK('Etape 1'!F32),ISBLANK('Etape 1'!G32),ISBLANK('Etape 1'!H32)),999,9999),IF(VLOOKUP($C37,Matrix_Berechnungen1.Rang.Pumpendaten.Zwischenresultate,$C$9,0)&gt;0,VLOOKUP($C37,Matrix_Berechnungen1.Rang.Pumpendaten.Zwischenresultate,K$9,0),""))</f>
        <v>999</v>
      </c>
      <c r="L37" s="184">
        <f t="shared" ca="1" si="15"/>
        <v>25</v>
      </c>
      <c r="M37" s="184">
        <f t="shared" ca="1" si="15"/>
        <v>0</v>
      </c>
      <c r="N37" s="84"/>
      <c r="O37" s="84"/>
      <c r="P37" s="84"/>
      <c r="Q37" s="69" t="str">
        <f t="shared" si="7"/>
        <v/>
      </c>
      <c r="R37" s="84"/>
      <c r="S37" s="65" t="str">
        <f t="shared" si="10"/>
        <v/>
      </c>
      <c r="T37" s="69" t="str">
        <f t="shared" si="8"/>
        <v/>
      </c>
      <c r="U37" s="84"/>
      <c r="V37" s="65" t="str">
        <f t="shared" si="11"/>
        <v/>
      </c>
      <c r="W37" s="108"/>
      <c r="X37" s="108"/>
      <c r="Y37" s="108"/>
      <c r="Z37" s="110" t="str">
        <f t="shared" si="12"/>
        <v/>
      </c>
      <c r="AA37" s="199" t="str">
        <f>IF(ISERROR('Berechnungen 2'!AR40),"",'Berechnungen 2'!AR40)</f>
        <v/>
      </c>
      <c r="AB37" s="200" t="str">
        <f>IF(ISERROR('Berechnungen 2'!AS40),"",'Berechnungen 2'!AS40)</f>
        <v/>
      </c>
      <c r="AC37" s="200" t="str">
        <f>IF(ISERROR('Berechnungen 2'!AT40),"",'Berechnungen 2'!AT40)</f>
        <v/>
      </c>
      <c r="AD37" s="199" t="str">
        <f>IF(ISERROR('Berechnungen 2'!BE40),"",'Berechnungen 2'!BE40)</f>
        <v/>
      </c>
      <c r="AE37" s="200" t="str">
        <f>IF(ISERROR('Berechnungen 2'!BF40),"",'Berechnungen 2'!BF40)</f>
        <v/>
      </c>
      <c r="AF37" s="200" t="str">
        <f>IF(ISERROR('Berechnungen 2'!BG40),"",'Berechnungen 2'!BG40)</f>
        <v/>
      </c>
      <c r="AG37" s="199" t="str">
        <f>IF(ISNUMBER(A37),IF(ISERROR('Berechnungen 2'!BK40),"",'Berechnungen 2'!BK40),"")</f>
        <v/>
      </c>
      <c r="AH37" s="200" t="str">
        <f>IF(ISERROR('Berechnungen 2'!BL40),"",'Berechnungen 2'!BL40)</f>
        <v/>
      </c>
      <c r="AI37" s="200" t="str">
        <f>IF(ISERROR('Berechnungen 2'!BM40),"",'Berechnungen 2'!BM40)</f>
        <v/>
      </c>
    </row>
    <row r="38" spans="1:35" x14ac:dyDescent="0.2">
      <c r="A38" s="71" t="str">
        <f t="shared" si="0"/>
        <v/>
      </c>
      <c r="B38" s="193">
        <f t="shared" si="13"/>
        <v>26</v>
      </c>
      <c r="C38" s="192">
        <f ca="1">IF(ISERROR(LARGE('Berechnungen 1'!$A$12:$A$311,B38)),"",LARGE('Berechnungen 1'!$A$12:$A$311,B38))</f>
        <v>275</v>
      </c>
      <c r="D38" s="76" t="str">
        <f t="shared" si="14"/>
        <v/>
      </c>
      <c r="E38" s="76" t="str">
        <f t="shared" si="14"/>
        <v/>
      </c>
      <c r="F38" s="155" t="str">
        <f t="shared" si="2"/>
        <v/>
      </c>
      <c r="G38" s="204" t="str">
        <f t="shared" si="3"/>
        <v/>
      </c>
      <c r="H38" s="156" t="str">
        <f t="shared" si="9"/>
        <v/>
      </c>
      <c r="I38" s="155" t="str">
        <f t="shared" si="4"/>
        <v/>
      </c>
      <c r="J38" s="184">
        <f t="shared" ca="1" si="5"/>
        <v>999999</v>
      </c>
      <c r="K38" s="184">
        <f>IF(OR(ISBLANK('Etape 1'!E33),ISBLANK('Etape 1'!F33)),IF(AND(ISBLANK('Etape 1'!B33),ISBLANK('Etape 1'!C33),ISBLANK('Etape 1'!D33),ISBLANK('Etape 1'!E33),ISBLANK('Etape 1'!F33),ISBLANK('Etape 1'!G33),ISBLANK('Etape 1'!H33)),999,9999),IF(VLOOKUP($C38,Matrix_Berechnungen1.Rang.Pumpendaten.Zwischenresultate,$C$9,0)&gt;0,VLOOKUP($C38,Matrix_Berechnungen1.Rang.Pumpendaten.Zwischenresultate,K$9,0),""))</f>
        <v>999</v>
      </c>
      <c r="L38" s="184">
        <f t="shared" ca="1" si="15"/>
        <v>26</v>
      </c>
      <c r="M38" s="184">
        <f t="shared" ca="1" si="15"/>
        <v>0</v>
      </c>
      <c r="N38" s="84"/>
      <c r="O38" s="84"/>
      <c r="P38" s="84"/>
      <c r="Q38" s="69" t="str">
        <f t="shared" si="7"/>
        <v/>
      </c>
      <c r="R38" s="84"/>
      <c r="S38" s="65" t="str">
        <f t="shared" si="10"/>
        <v/>
      </c>
      <c r="T38" s="69" t="str">
        <f t="shared" si="8"/>
        <v/>
      </c>
      <c r="U38" s="84"/>
      <c r="V38" s="65" t="str">
        <f t="shared" si="11"/>
        <v/>
      </c>
      <c r="W38" s="108"/>
      <c r="X38" s="108"/>
      <c r="Y38" s="108"/>
      <c r="Z38" s="110" t="str">
        <f t="shared" si="12"/>
        <v/>
      </c>
      <c r="AA38" s="199" t="str">
        <f>IF(ISERROR('Berechnungen 2'!AR41),"",'Berechnungen 2'!AR41)</f>
        <v/>
      </c>
      <c r="AB38" s="200" t="str">
        <f>IF(ISERROR('Berechnungen 2'!AS41),"",'Berechnungen 2'!AS41)</f>
        <v/>
      </c>
      <c r="AC38" s="200" t="str">
        <f>IF(ISERROR('Berechnungen 2'!AT41),"",'Berechnungen 2'!AT41)</f>
        <v/>
      </c>
      <c r="AD38" s="199" t="str">
        <f>IF(ISERROR('Berechnungen 2'!BE41),"",'Berechnungen 2'!BE41)</f>
        <v/>
      </c>
      <c r="AE38" s="200" t="str">
        <f>IF(ISERROR('Berechnungen 2'!BF41),"",'Berechnungen 2'!BF41)</f>
        <v/>
      </c>
      <c r="AF38" s="200" t="str">
        <f>IF(ISERROR('Berechnungen 2'!BG41),"",'Berechnungen 2'!BG41)</f>
        <v/>
      </c>
      <c r="AG38" s="199" t="str">
        <f>IF(ISNUMBER(A38),IF(ISERROR('Berechnungen 2'!BK41),"",'Berechnungen 2'!BK41),"")</f>
        <v/>
      </c>
      <c r="AH38" s="200" t="str">
        <f>IF(ISERROR('Berechnungen 2'!BL41),"",'Berechnungen 2'!BL41)</f>
        <v/>
      </c>
      <c r="AI38" s="200" t="str">
        <f>IF(ISERROR('Berechnungen 2'!BM41),"",'Berechnungen 2'!BM41)</f>
        <v/>
      </c>
    </row>
    <row r="39" spans="1:35" x14ac:dyDescent="0.2">
      <c r="A39" s="71" t="str">
        <f t="shared" si="0"/>
        <v/>
      </c>
      <c r="B39" s="193">
        <f t="shared" si="13"/>
        <v>27</v>
      </c>
      <c r="C39" s="192">
        <f ca="1">IF(ISERROR(LARGE('Berechnungen 1'!$A$12:$A$311,B39)),"",LARGE('Berechnungen 1'!$A$12:$A$311,B39))</f>
        <v>274</v>
      </c>
      <c r="D39" s="76" t="str">
        <f t="shared" si="14"/>
        <v/>
      </c>
      <c r="E39" s="76" t="str">
        <f t="shared" si="14"/>
        <v/>
      </c>
      <c r="F39" s="155" t="str">
        <f t="shared" si="2"/>
        <v/>
      </c>
      <c r="G39" s="204" t="str">
        <f t="shared" si="3"/>
        <v/>
      </c>
      <c r="H39" s="156" t="str">
        <f t="shared" si="9"/>
        <v/>
      </c>
      <c r="I39" s="155" t="str">
        <f t="shared" si="4"/>
        <v/>
      </c>
      <c r="J39" s="184">
        <f t="shared" ca="1" si="5"/>
        <v>999999</v>
      </c>
      <c r="K39" s="184">
        <f>IF(OR(ISBLANK('Etape 1'!E34),ISBLANK('Etape 1'!F34)),IF(AND(ISBLANK('Etape 1'!B34),ISBLANK('Etape 1'!C34),ISBLANK('Etape 1'!D34),ISBLANK('Etape 1'!E34),ISBLANK('Etape 1'!F34),ISBLANK('Etape 1'!G34),ISBLANK('Etape 1'!H34)),999,9999),IF(VLOOKUP($C39,Matrix_Berechnungen1.Rang.Pumpendaten.Zwischenresultate,$C$9,0)&gt;0,VLOOKUP($C39,Matrix_Berechnungen1.Rang.Pumpendaten.Zwischenresultate,K$9,0),""))</f>
        <v>999</v>
      </c>
      <c r="L39" s="184">
        <f t="shared" ca="1" si="15"/>
        <v>27</v>
      </c>
      <c r="M39" s="184">
        <f t="shared" ca="1" si="15"/>
        <v>0</v>
      </c>
      <c r="N39" s="84"/>
      <c r="O39" s="84"/>
      <c r="P39" s="84"/>
      <c r="Q39" s="69" t="str">
        <f t="shared" si="7"/>
        <v/>
      </c>
      <c r="R39" s="84"/>
      <c r="S39" s="65" t="str">
        <f t="shared" si="10"/>
        <v/>
      </c>
      <c r="T39" s="69" t="str">
        <f t="shared" si="8"/>
        <v/>
      </c>
      <c r="U39" s="84"/>
      <c r="V39" s="65" t="str">
        <f t="shared" si="11"/>
        <v/>
      </c>
      <c r="W39" s="108"/>
      <c r="X39" s="108"/>
      <c r="Y39" s="108"/>
      <c r="Z39" s="110" t="str">
        <f t="shared" si="12"/>
        <v/>
      </c>
      <c r="AA39" s="199" t="str">
        <f>IF(ISERROR('Berechnungen 2'!AR42),"",'Berechnungen 2'!AR42)</f>
        <v/>
      </c>
      <c r="AB39" s="200" t="str">
        <f>IF(ISERROR('Berechnungen 2'!AS42),"",'Berechnungen 2'!AS42)</f>
        <v/>
      </c>
      <c r="AC39" s="200" t="str">
        <f>IF(ISERROR('Berechnungen 2'!AT42),"",'Berechnungen 2'!AT42)</f>
        <v/>
      </c>
      <c r="AD39" s="199" t="str">
        <f>IF(ISERROR('Berechnungen 2'!BE42),"",'Berechnungen 2'!BE42)</f>
        <v/>
      </c>
      <c r="AE39" s="200" t="str">
        <f>IF(ISERROR('Berechnungen 2'!BF42),"",'Berechnungen 2'!BF42)</f>
        <v/>
      </c>
      <c r="AF39" s="200" t="str">
        <f>IF(ISERROR('Berechnungen 2'!BG42),"",'Berechnungen 2'!BG42)</f>
        <v/>
      </c>
      <c r="AG39" s="199" t="str">
        <f>IF(ISNUMBER(A39),IF(ISERROR('Berechnungen 2'!BK42),"",'Berechnungen 2'!BK42),"")</f>
        <v/>
      </c>
      <c r="AH39" s="200" t="str">
        <f>IF(ISERROR('Berechnungen 2'!BL42),"",'Berechnungen 2'!BL42)</f>
        <v/>
      </c>
      <c r="AI39" s="200" t="str">
        <f>IF(ISERROR('Berechnungen 2'!BM42),"",'Berechnungen 2'!BM42)</f>
        <v/>
      </c>
    </row>
    <row r="40" spans="1:35" x14ac:dyDescent="0.2">
      <c r="A40" s="71" t="str">
        <f t="shared" si="0"/>
        <v/>
      </c>
      <c r="B40" s="193">
        <f t="shared" si="13"/>
        <v>28</v>
      </c>
      <c r="C40" s="192">
        <f ca="1">IF(ISERROR(LARGE('Berechnungen 1'!$A$12:$A$311,B40)),"",LARGE('Berechnungen 1'!$A$12:$A$311,B40))</f>
        <v>273</v>
      </c>
      <c r="D40" s="76" t="str">
        <f t="shared" si="14"/>
        <v/>
      </c>
      <c r="E40" s="76" t="str">
        <f t="shared" si="14"/>
        <v/>
      </c>
      <c r="F40" s="155" t="str">
        <f t="shared" si="2"/>
        <v/>
      </c>
      <c r="G40" s="204" t="str">
        <f t="shared" si="3"/>
        <v/>
      </c>
      <c r="H40" s="156" t="str">
        <f t="shared" si="9"/>
        <v/>
      </c>
      <c r="I40" s="155" t="str">
        <f t="shared" si="4"/>
        <v/>
      </c>
      <c r="J40" s="184">
        <f t="shared" ca="1" si="5"/>
        <v>999999</v>
      </c>
      <c r="K40" s="184">
        <f>IF(OR(ISBLANK('Etape 1'!E35),ISBLANK('Etape 1'!F35)),IF(AND(ISBLANK('Etape 1'!B35),ISBLANK('Etape 1'!C35),ISBLANK('Etape 1'!D35),ISBLANK('Etape 1'!E35),ISBLANK('Etape 1'!F35),ISBLANK('Etape 1'!G35),ISBLANK('Etape 1'!H35)),999,9999),IF(VLOOKUP($C40,Matrix_Berechnungen1.Rang.Pumpendaten.Zwischenresultate,$C$9,0)&gt;0,VLOOKUP($C40,Matrix_Berechnungen1.Rang.Pumpendaten.Zwischenresultate,K$9,0),""))</f>
        <v>999</v>
      </c>
      <c r="L40" s="184">
        <f t="shared" ca="1" si="15"/>
        <v>28</v>
      </c>
      <c r="M40" s="184">
        <f t="shared" ca="1" si="15"/>
        <v>0</v>
      </c>
      <c r="N40" s="84"/>
      <c r="O40" s="84"/>
      <c r="P40" s="84"/>
      <c r="Q40" s="69" t="str">
        <f t="shared" si="7"/>
        <v/>
      </c>
      <c r="R40" s="84"/>
      <c r="S40" s="65" t="str">
        <f t="shared" si="10"/>
        <v/>
      </c>
      <c r="T40" s="69" t="str">
        <f t="shared" si="8"/>
        <v/>
      </c>
      <c r="U40" s="84"/>
      <c r="V40" s="65" t="str">
        <f t="shared" si="11"/>
        <v/>
      </c>
      <c r="W40" s="108"/>
      <c r="X40" s="108"/>
      <c r="Y40" s="108"/>
      <c r="Z40" s="110" t="str">
        <f t="shared" si="12"/>
        <v/>
      </c>
      <c r="AA40" s="199" t="str">
        <f>IF(ISERROR('Berechnungen 2'!AR43),"",'Berechnungen 2'!AR43)</f>
        <v/>
      </c>
      <c r="AB40" s="200" t="str">
        <f>IF(ISERROR('Berechnungen 2'!AS43),"",'Berechnungen 2'!AS43)</f>
        <v/>
      </c>
      <c r="AC40" s="200" t="str">
        <f>IF(ISERROR('Berechnungen 2'!AT43),"",'Berechnungen 2'!AT43)</f>
        <v/>
      </c>
      <c r="AD40" s="199" t="str">
        <f>IF(ISERROR('Berechnungen 2'!BE43),"",'Berechnungen 2'!BE43)</f>
        <v/>
      </c>
      <c r="AE40" s="200" t="str">
        <f>IF(ISERROR('Berechnungen 2'!BF43),"",'Berechnungen 2'!BF43)</f>
        <v/>
      </c>
      <c r="AF40" s="200" t="str">
        <f>IF(ISERROR('Berechnungen 2'!BG43),"",'Berechnungen 2'!BG43)</f>
        <v/>
      </c>
      <c r="AG40" s="199" t="str">
        <f>IF(ISNUMBER(A40),IF(ISERROR('Berechnungen 2'!BK43),"",'Berechnungen 2'!BK43),"")</f>
        <v/>
      </c>
      <c r="AH40" s="200" t="str">
        <f>IF(ISERROR('Berechnungen 2'!BL43),"",'Berechnungen 2'!BL43)</f>
        <v/>
      </c>
      <c r="AI40" s="200" t="str">
        <f>IF(ISERROR('Berechnungen 2'!BM43),"",'Berechnungen 2'!BM43)</f>
        <v/>
      </c>
    </row>
    <row r="41" spans="1:35" x14ac:dyDescent="0.2">
      <c r="A41" s="71" t="str">
        <f t="shared" si="0"/>
        <v/>
      </c>
      <c r="B41" s="193">
        <f t="shared" si="13"/>
        <v>29</v>
      </c>
      <c r="C41" s="192">
        <f ca="1">IF(ISERROR(LARGE('Berechnungen 1'!$A$12:$A$311,B41)),"",LARGE('Berechnungen 1'!$A$12:$A$311,B41))</f>
        <v>272</v>
      </c>
      <c r="D41" s="76" t="str">
        <f t="shared" si="14"/>
        <v/>
      </c>
      <c r="E41" s="76" t="str">
        <f t="shared" si="14"/>
        <v/>
      </c>
      <c r="F41" s="155" t="str">
        <f t="shared" si="2"/>
        <v/>
      </c>
      <c r="G41" s="204" t="str">
        <f t="shared" si="3"/>
        <v/>
      </c>
      <c r="H41" s="156" t="str">
        <f t="shared" si="9"/>
        <v/>
      </c>
      <c r="I41" s="155" t="str">
        <f t="shared" si="4"/>
        <v/>
      </c>
      <c r="J41" s="184">
        <f t="shared" ca="1" si="5"/>
        <v>999999</v>
      </c>
      <c r="K41" s="184">
        <f>IF(OR(ISBLANK('Etape 1'!E36),ISBLANK('Etape 1'!F36)),IF(AND(ISBLANK('Etape 1'!B36),ISBLANK('Etape 1'!C36),ISBLANK('Etape 1'!D36),ISBLANK('Etape 1'!E36),ISBLANK('Etape 1'!F36),ISBLANK('Etape 1'!G36),ISBLANK('Etape 1'!H36)),999,9999),IF(VLOOKUP($C41,Matrix_Berechnungen1.Rang.Pumpendaten.Zwischenresultate,$C$9,0)&gt;0,VLOOKUP($C41,Matrix_Berechnungen1.Rang.Pumpendaten.Zwischenresultate,K$9,0),""))</f>
        <v>999</v>
      </c>
      <c r="L41" s="184">
        <f t="shared" ca="1" si="15"/>
        <v>29</v>
      </c>
      <c r="M41" s="184">
        <f t="shared" ca="1" si="15"/>
        <v>0</v>
      </c>
      <c r="N41" s="84"/>
      <c r="O41" s="84"/>
      <c r="P41" s="84"/>
      <c r="Q41" s="69" t="str">
        <f t="shared" si="7"/>
        <v/>
      </c>
      <c r="R41" s="84"/>
      <c r="S41" s="65" t="str">
        <f t="shared" si="10"/>
        <v/>
      </c>
      <c r="T41" s="69" t="str">
        <f t="shared" si="8"/>
        <v/>
      </c>
      <c r="U41" s="84"/>
      <c r="V41" s="65" t="str">
        <f t="shared" si="11"/>
        <v/>
      </c>
      <c r="W41" s="108"/>
      <c r="X41" s="108"/>
      <c r="Y41" s="108"/>
      <c r="Z41" s="110" t="str">
        <f t="shared" si="12"/>
        <v/>
      </c>
      <c r="AA41" s="199" t="str">
        <f>IF(ISERROR('Berechnungen 2'!AR44),"",'Berechnungen 2'!AR44)</f>
        <v/>
      </c>
      <c r="AB41" s="200" t="str">
        <f>IF(ISERROR('Berechnungen 2'!AS44),"",'Berechnungen 2'!AS44)</f>
        <v/>
      </c>
      <c r="AC41" s="200" t="str">
        <f>IF(ISERROR('Berechnungen 2'!AT44),"",'Berechnungen 2'!AT44)</f>
        <v/>
      </c>
      <c r="AD41" s="199" t="str">
        <f>IF(ISERROR('Berechnungen 2'!BE44),"",'Berechnungen 2'!BE44)</f>
        <v/>
      </c>
      <c r="AE41" s="200" t="str">
        <f>IF(ISERROR('Berechnungen 2'!BF44),"",'Berechnungen 2'!BF44)</f>
        <v/>
      </c>
      <c r="AF41" s="200" t="str">
        <f>IF(ISERROR('Berechnungen 2'!BG44),"",'Berechnungen 2'!BG44)</f>
        <v/>
      </c>
      <c r="AG41" s="199" t="str">
        <f>IF(ISNUMBER(A41),IF(ISERROR('Berechnungen 2'!BK44),"",'Berechnungen 2'!BK44),"")</f>
        <v/>
      </c>
      <c r="AH41" s="200" t="str">
        <f>IF(ISERROR('Berechnungen 2'!BL44),"",'Berechnungen 2'!BL44)</f>
        <v/>
      </c>
      <c r="AI41" s="200" t="str">
        <f>IF(ISERROR('Berechnungen 2'!BM44),"",'Berechnungen 2'!BM44)</f>
        <v/>
      </c>
    </row>
    <row r="42" spans="1:35" x14ac:dyDescent="0.2">
      <c r="A42" s="71" t="str">
        <f t="shared" si="0"/>
        <v/>
      </c>
      <c r="B42" s="193">
        <f t="shared" si="13"/>
        <v>30</v>
      </c>
      <c r="C42" s="192">
        <f ca="1">IF(ISERROR(LARGE('Berechnungen 1'!$A$12:$A$311,B42)),"",LARGE('Berechnungen 1'!$A$12:$A$311,B42))</f>
        <v>271</v>
      </c>
      <c r="D42" s="76" t="str">
        <f t="shared" si="14"/>
        <v/>
      </c>
      <c r="E42" s="76" t="str">
        <f t="shared" si="14"/>
        <v/>
      </c>
      <c r="F42" s="155" t="str">
        <f t="shared" si="2"/>
        <v/>
      </c>
      <c r="G42" s="204" t="str">
        <f t="shared" si="3"/>
        <v/>
      </c>
      <c r="H42" s="156" t="str">
        <f t="shared" si="9"/>
        <v/>
      </c>
      <c r="I42" s="155" t="str">
        <f t="shared" si="4"/>
        <v/>
      </c>
      <c r="J42" s="184">
        <f t="shared" ca="1" si="5"/>
        <v>999999</v>
      </c>
      <c r="K42" s="184">
        <f>IF(OR(ISBLANK('Etape 1'!E37),ISBLANK('Etape 1'!F37)),IF(AND(ISBLANK('Etape 1'!B37),ISBLANK('Etape 1'!C37),ISBLANK('Etape 1'!D37),ISBLANK('Etape 1'!E37),ISBLANK('Etape 1'!F37),ISBLANK('Etape 1'!G37),ISBLANK('Etape 1'!H37)),999,9999),IF(VLOOKUP($C42,Matrix_Berechnungen1.Rang.Pumpendaten.Zwischenresultate,$C$9,0)&gt;0,VLOOKUP($C42,Matrix_Berechnungen1.Rang.Pumpendaten.Zwischenresultate,K$9,0),""))</f>
        <v>999</v>
      </c>
      <c r="L42" s="184">
        <f t="shared" ca="1" si="15"/>
        <v>30</v>
      </c>
      <c r="M42" s="184">
        <f t="shared" ca="1" si="15"/>
        <v>0</v>
      </c>
      <c r="N42" s="84"/>
      <c r="O42" s="84"/>
      <c r="P42" s="84"/>
      <c r="Q42" s="69" t="str">
        <f t="shared" si="7"/>
        <v/>
      </c>
      <c r="R42" s="84"/>
      <c r="S42" s="65" t="str">
        <f t="shared" si="10"/>
        <v/>
      </c>
      <c r="T42" s="69" t="str">
        <f t="shared" si="8"/>
        <v/>
      </c>
      <c r="U42" s="84"/>
      <c r="V42" s="65" t="str">
        <f t="shared" si="11"/>
        <v/>
      </c>
      <c r="W42" s="108"/>
      <c r="X42" s="108"/>
      <c r="Y42" s="108"/>
      <c r="Z42" s="110" t="str">
        <f t="shared" si="12"/>
        <v/>
      </c>
      <c r="AA42" s="199" t="str">
        <f>IF(ISERROR('Berechnungen 2'!AR45),"",'Berechnungen 2'!AR45)</f>
        <v/>
      </c>
      <c r="AB42" s="200" t="str">
        <f>IF(ISERROR('Berechnungen 2'!AS45),"",'Berechnungen 2'!AS45)</f>
        <v/>
      </c>
      <c r="AC42" s="200" t="str">
        <f>IF(ISERROR('Berechnungen 2'!AT45),"",'Berechnungen 2'!AT45)</f>
        <v/>
      </c>
      <c r="AD42" s="199" t="str">
        <f>IF(ISERROR('Berechnungen 2'!BE45),"",'Berechnungen 2'!BE45)</f>
        <v/>
      </c>
      <c r="AE42" s="200" t="str">
        <f>IF(ISERROR('Berechnungen 2'!BF45),"",'Berechnungen 2'!BF45)</f>
        <v/>
      </c>
      <c r="AF42" s="200" t="str">
        <f>IF(ISERROR('Berechnungen 2'!BG45),"",'Berechnungen 2'!BG45)</f>
        <v/>
      </c>
      <c r="AG42" s="199" t="str">
        <f>IF(ISNUMBER(A42),IF(ISERROR('Berechnungen 2'!BK45),"",'Berechnungen 2'!BK45),"")</f>
        <v/>
      </c>
      <c r="AH42" s="200" t="str">
        <f>IF(ISERROR('Berechnungen 2'!BL45),"",'Berechnungen 2'!BL45)</f>
        <v/>
      </c>
      <c r="AI42" s="200" t="str">
        <f>IF(ISERROR('Berechnungen 2'!BM45),"",'Berechnungen 2'!BM45)</f>
        <v/>
      </c>
    </row>
    <row r="43" spans="1:35" x14ac:dyDescent="0.2">
      <c r="A43" s="71" t="str">
        <f t="shared" si="0"/>
        <v/>
      </c>
      <c r="B43" s="193">
        <f t="shared" si="13"/>
        <v>31</v>
      </c>
      <c r="C43" s="192">
        <f ca="1">IF(ISERROR(LARGE('Berechnungen 1'!$A$12:$A$311,B43)),"",LARGE('Berechnungen 1'!$A$12:$A$311,B43))</f>
        <v>270</v>
      </c>
      <c r="D43" s="76" t="str">
        <f t="shared" si="14"/>
        <v/>
      </c>
      <c r="E43" s="76" t="str">
        <f t="shared" si="14"/>
        <v/>
      </c>
      <c r="F43" s="155" t="str">
        <f t="shared" si="2"/>
        <v/>
      </c>
      <c r="G43" s="204" t="str">
        <f t="shared" si="3"/>
        <v/>
      </c>
      <c r="H43" s="156" t="str">
        <f t="shared" si="9"/>
        <v/>
      </c>
      <c r="I43" s="155" t="str">
        <f t="shared" si="4"/>
        <v/>
      </c>
      <c r="J43" s="184">
        <f t="shared" ca="1" si="5"/>
        <v>999999</v>
      </c>
      <c r="K43" s="184">
        <f>IF(OR(ISBLANK('Etape 1'!E38),ISBLANK('Etape 1'!F38)),IF(AND(ISBLANK('Etape 1'!B38),ISBLANK('Etape 1'!C38),ISBLANK('Etape 1'!D38),ISBLANK('Etape 1'!E38),ISBLANK('Etape 1'!F38),ISBLANK('Etape 1'!G38),ISBLANK('Etape 1'!H38)),999,9999),IF(VLOOKUP($C43,Matrix_Berechnungen1.Rang.Pumpendaten.Zwischenresultate,$C$9,0)&gt;0,VLOOKUP($C43,Matrix_Berechnungen1.Rang.Pumpendaten.Zwischenresultate,K$9,0),""))</f>
        <v>999</v>
      </c>
      <c r="L43" s="184">
        <f t="shared" ca="1" si="15"/>
        <v>31</v>
      </c>
      <c r="M43" s="184">
        <f t="shared" ca="1" si="15"/>
        <v>0</v>
      </c>
      <c r="N43" s="84"/>
      <c r="O43" s="84"/>
      <c r="P43" s="84"/>
      <c r="Q43" s="69" t="str">
        <f t="shared" si="7"/>
        <v/>
      </c>
      <c r="R43" s="84"/>
      <c r="S43" s="65" t="str">
        <f t="shared" si="10"/>
        <v/>
      </c>
      <c r="T43" s="69" t="str">
        <f t="shared" si="8"/>
        <v/>
      </c>
      <c r="U43" s="84"/>
      <c r="V43" s="65" t="str">
        <f t="shared" si="11"/>
        <v/>
      </c>
      <c r="W43" s="108"/>
      <c r="X43" s="108"/>
      <c r="Y43" s="108"/>
      <c r="Z43" s="110" t="str">
        <f t="shared" si="12"/>
        <v/>
      </c>
      <c r="AA43" s="199" t="str">
        <f>IF(ISERROR('Berechnungen 2'!AR46),"",'Berechnungen 2'!AR46)</f>
        <v/>
      </c>
      <c r="AB43" s="200" t="str">
        <f>IF(ISERROR('Berechnungen 2'!AS46),"",'Berechnungen 2'!AS46)</f>
        <v/>
      </c>
      <c r="AC43" s="200" t="str">
        <f>IF(ISERROR('Berechnungen 2'!AT46),"",'Berechnungen 2'!AT46)</f>
        <v/>
      </c>
      <c r="AD43" s="199" t="str">
        <f>IF(ISERROR('Berechnungen 2'!BE46),"",'Berechnungen 2'!BE46)</f>
        <v/>
      </c>
      <c r="AE43" s="200" t="str">
        <f>IF(ISERROR('Berechnungen 2'!BF46),"",'Berechnungen 2'!BF46)</f>
        <v/>
      </c>
      <c r="AF43" s="200" t="str">
        <f>IF(ISERROR('Berechnungen 2'!BG46),"",'Berechnungen 2'!BG46)</f>
        <v/>
      </c>
      <c r="AG43" s="199" t="str">
        <f>IF(ISNUMBER(A43),IF(ISERROR('Berechnungen 2'!BK46),"",'Berechnungen 2'!BK46),"")</f>
        <v/>
      </c>
      <c r="AH43" s="200" t="str">
        <f>IF(ISERROR('Berechnungen 2'!BL46),"",'Berechnungen 2'!BL46)</f>
        <v/>
      </c>
      <c r="AI43" s="200" t="str">
        <f>IF(ISERROR('Berechnungen 2'!BM46),"",'Berechnungen 2'!BM46)</f>
        <v/>
      </c>
    </row>
    <row r="44" spans="1:35" x14ac:dyDescent="0.2">
      <c r="A44" s="71" t="str">
        <f t="shared" si="0"/>
        <v/>
      </c>
      <c r="B44" s="193">
        <f t="shared" si="13"/>
        <v>32</v>
      </c>
      <c r="C44" s="192">
        <f ca="1">IF(ISERROR(LARGE('Berechnungen 1'!$A$12:$A$311,B44)),"",LARGE('Berechnungen 1'!$A$12:$A$311,B44))</f>
        <v>269</v>
      </c>
      <c r="D44" s="76" t="str">
        <f t="shared" si="14"/>
        <v/>
      </c>
      <c r="E44" s="76" t="str">
        <f t="shared" si="14"/>
        <v/>
      </c>
      <c r="F44" s="155" t="str">
        <f t="shared" si="2"/>
        <v/>
      </c>
      <c r="G44" s="204" t="str">
        <f t="shared" si="3"/>
        <v/>
      </c>
      <c r="H44" s="156" t="str">
        <f t="shared" si="9"/>
        <v/>
      </c>
      <c r="I44" s="155" t="str">
        <f t="shared" si="4"/>
        <v/>
      </c>
      <c r="J44" s="184">
        <f t="shared" ca="1" si="5"/>
        <v>999999</v>
      </c>
      <c r="K44" s="184">
        <f>IF(OR(ISBLANK('Etape 1'!E39),ISBLANK('Etape 1'!F39)),IF(AND(ISBLANK('Etape 1'!B39),ISBLANK('Etape 1'!C39),ISBLANK('Etape 1'!D39),ISBLANK('Etape 1'!E39),ISBLANK('Etape 1'!F39),ISBLANK('Etape 1'!G39),ISBLANK('Etape 1'!H39)),999,9999),IF(VLOOKUP($C44,Matrix_Berechnungen1.Rang.Pumpendaten.Zwischenresultate,$C$9,0)&gt;0,VLOOKUP($C44,Matrix_Berechnungen1.Rang.Pumpendaten.Zwischenresultate,K$9,0),""))</f>
        <v>999</v>
      </c>
      <c r="L44" s="184">
        <f t="shared" ca="1" si="15"/>
        <v>32</v>
      </c>
      <c r="M44" s="184">
        <f t="shared" ca="1" si="15"/>
        <v>0</v>
      </c>
      <c r="N44" s="84"/>
      <c r="O44" s="84"/>
      <c r="P44" s="84"/>
      <c r="Q44" s="69" t="str">
        <f t="shared" si="7"/>
        <v/>
      </c>
      <c r="R44" s="84"/>
      <c r="S44" s="65" t="str">
        <f t="shared" si="10"/>
        <v/>
      </c>
      <c r="T44" s="69" t="str">
        <f t="shared" si="8"/>
        <v/>
      </c>
      <c r="U44" s="84"/>
      <c r="V44" s="65" t="str">
        <f t="shared" si="11"/>
        <v/>
      </c>
      <c r="W44" s="108"/>
      <c r="X44" s="108"/>
      <c r="Y44" s="108"/>
      <c r="Z44" s="110" t="str">
        <f t="shared" si="12"/>
        <v/>
      </c>
      <c r="AA44" s="199" t="str">
        <f>IF(ISERROR('Berechnungen 2'!AR47),"",'Berechnungen 2'!AR47)</f>
        <v/>
      </c>
      <c r="AB44" s="200" t="str">
        <f>IF(ISERROR('Berechnungen 2'!AS47),"",'Berechnungen 2'!AS47)</f>
        <v/>
      </c>
      <c r="AC44" s="200" t="str">
        <f>IF(ISERROR('Berechnungen 2'!AT47),"",'Berechnungen 2'!AT47)</f>
        <v/>
      </c>
      <c r="AD44" s="199" t="str">
        <f>IF(ISERROR('Berechnungen 2'!BE47),"",'Berechnungen 2'!BE47)</f>
        <v/>
      </c>
      <c r="AE44" s="200" t="str">
        <f>IF(ISERROR('Berechnungen 2'!BF47),"",'Berechnungen 2'!BF47)</f>
        <v/>
      </c>
      <c r="AF44" s="200" t="str">
        <f>IF(ISERROR('Berechnungen 2'!BG47),"",'Berechnungen 2'!BG47)</f>
        <v/>
      </c>
      <c r="AG44" s="199" t="str">
        <f>IF(ISNUMBER(A44),IF(ISERROR('Berechnungen 2'!BK47),"",'Berechnungen 2'!BK47),"")</f>
        <v/>
      </c>
      <c r="AH44" s="200" t="str">
        <f>IF(ISERROR('Berechnungen 2'!BL47),"",'Berechnungen 2'!BL47)</f>
        <v/>
      </c>
      <c r="AI44" s="200" t="str">
        <f>IF(ISERROR('Berechnungen 2'!BM47),"",'Berechnungen 2'!BM47)</f>
        <v/>
      </c>
    </row>
    <row r="45" spans="1:35" x14ac:dyDescent="0.2">
      <c r="A45" s="71" t="str">
        <f t="shared" si="0"/>
        <v/>
      </c>
      <c r="B45" s="193">
        <f t="shared" si="13"/>
        <v>33</v>
      </c>
      <c r="C45" s="192">
        <f ca="1">IF(ISERROR(LARGE('Berechnungen 1'!$A$12:$A$311,B45)),"",LARGE('Berechnungen 1'!$A$12:$A$311,B45))</f>
        <v>268</v>
      </c>
      <c r="D45" s="76" t="str">
        <f t="shared" si="14"/>
        <v/>
      </c>
      <c r="E45" s="76" t="str">
        <f t="shared" si="14"/>
        <v/>
      </c>
      <c r="F45" s="155" t="str">
        <f t="shared" ref="F45:F76" si="16">IF(ISNUMBER(A45),IF(VLOOKUP($C45,Matrix_Berechnungen1.Rang.Pumpendaten.Zwischenresultate,C$9,0)&gt;0,IF(VLOOKUP($C45,Matrix_Berechnungen1.Rang.Pumpendaten.Zwischenresultate,F$9,0)=0,"",VLOOKUP($C45,Matrix_Berechnungen1.Rang.Pumpendaten.Zwischenresultate,F$9,0)),""),"")</f>
        <v/>
      </c>
      <c r="G45" s="204" t="str">
        <f t="shared" ref="G45:G76" si="17">IF(ISNUMBER(A45),IF(VLOOKUP($C45,Matrix_Berechnungen1.Rang.Pumpendaten.Zwischenresultate,C$9,0)&gt;0,IF(VLOOKUP($C45,Matrix_Berechnungen1.Rang.Pumpendaten.Zwischenresultate,G$9,0)=0,"",VLOOKUP($C45,Matrix_Berechnungen1.Rang.Pumpendaten.Zwischenresultate,G$9,0)),""),"")</f>
        <v/>
      </c>
      <c r="H45" s="156" t="str">
        <f t="shared" ref="H45:H76" si="18">IF(ISNUMBER(A45),IF(VLOOKUP($C45,Matrix_Berechnungen1.Rang.Pumpendaten.Zwischenresultate,C$9,0)&gt;0,IF(VLOOKUP($C45,Matrix_Berechnungen1.Rang.Pumpendaten.Zwischenresultate,H$9,0)=0,"",VLOOKUP($C45,Matrix_Berechnungen1.Rang.Pumpendaten.Zwischenresultate,H$9,0)),""),"")</f>
        <v/>
      </c>
      <c r="I45" s="155" t="str">
        <f t="shared" ref="I45:I76" si="19">IF(ISNUMBER(A45),IF(VLOOKUP($C45,Matrix_Berechnungen1.Rang.Pumpendaten.Zwischenresultate,C$9,0)&gt;0,IF(VLOOKUP($C45,Matrix_Berechnungen1.Rang.Pumpendaten.Zwischenresultate,I$9,0)=0,"",VLOOKUP($C45,Matrix_Berechnungen1.Rang.Pumpendaten.Zwischenresultate,I$9,0)),""),"")</f>
        <v/>
      </c>
      <c r="J45" s="184">
        <f t="shared" ref="J45:J76" ca="1" si="20">IF(VLOOKUP($C45,Matrix_Berechnungen1.Rang.Pumpendaten.Zwischenresultate,C$9,0)&gt;0,VLOOKUP($C45,Matrix_Berechnungen1.Rang.Pumpendaten.Zwischenresultate,J$9,0),"")</f>
        <v>999999</v>
      </c>
      <c r="K45" s="184">
        <f>IF(OR(ISBLANK('Etape 1'!E40),ISBLANK('Etape 1'!F40)),IF(AND(ISBLANK('Etape 1'!B40),ISBLANK('Etape 1'!C40),ISBLANK('Etape 1'!D40),ISBLANK('Etape 1'!E40),ISBLANK('Etape 1'!F40),ISBLANK('Etape 1'!G40),ISBLANK('Etape 1'!H40)),999,9999),IF(VLOOKUP($C45,Matrix_Berechnungen1.Rang.Pumpendaten.Zwischenresultate,$C$9,0)&gt;0,VLOOKUP($C45,Matrix_Berechnungen1.Rang.Pumpendaten.Zwischenresultate,K$9,0),""))</f>
        <v>999</v>
      </c>
      <c r="L45" s="184">
        <f t="shared" ca="1" si="15"/>
        <v>33</v>
      </c>
      <c r="M45" s="184">
        <f t="shared" ca="1" si="15"/>
        <v>0</v>
      </c>
      <c r="N45" s="84"/>
      <c r="O45" s="84"/>
      <c r="P45" s="84"/>
      <c r="Q45" s="69" t="str">
        <f t="shared" ref="Q45:Q76" si="21">IF(ISNUMBER(A45),St.Wert_Motor.Pole.Anzahl,"")</f>
        <v/>
      </c>
      <c r="R45" s="84"/>
      <c r="S45" s="65" t="str">
        <f t="shared" si="10"/>
        <v/>
      </c>
      <c r="T45" s="69" t="str">
        <f t="shared" ref="T45:T76" si="22">IF(ISNUMBER(A45),VLOOKUP($C45,Matrix_Berechnungen1.Rang.Pumpendaten.Zwischenresultate,T$9,0),"")</f>
        <v/>
      </c>
      <c r="U45" s="84"/>
      <c r="V45" s="65" t="str">
        <f t="shared" si="11"/>
        <v/>
      </c>
      <c r="W45" s="108"/>
      <c r="X45" s="108"/>
      <c r="Y45" s="108"/>
      <c r="Z45" s="110" t="str">
        <f t="shared" si="12"/>
        <v/>
      </c>
      <c r="AA45" s="199" t="str">
        <f>IF(ISERROR('Berechnungen 2'!AR48),"",'Berechnungen 2'!AR48)</f>
        <v/>
      </c>
      <c r="AB45" s="200" t="str">
        <f>IF(ISERROR('Berechnungen 2'!AS48),"",'Berechnungen 2'!AS48)</f>
        <v/>
      </c>
      <c r="AC45" s="200" t="str">
        <f>IF(ISERROR('Berechnungen 2'!AT48),"",'Berechnungen 2'!AT48)</f>
        <v/>
      </c>
      <c r="AD45" s="199" t="str">
        <f>IF(ISERROR('Berechnungen 2'!BE48),"",'Berechnungen 2'!BE48)</f>
        <v/>
      </c>
      <c r="AE45" s="200" t="str">
        <f>IF(ISERROR('Berechnungen 2'!BF48),"",'Berechnungen 2'!BF48)</f>
        <v/>
      </c>
      <c r="AF45" s="200" t="str">
        <f>IF(ISERROR('Berechnungen 2'!BG48),"",'Berechnungen 2'!BG48)</f>
        <v/>
      </c>
      <c r="AG45" s="199" t="str">
        <f>IF(ISNUMBER(A45),IF(ISERROR('Berechnungen 2'!BK48),"",'Berechnungen 2'!BK48),"")</f>
        <v/>
      </c>
      <c r="AH45" s="200" t="str">
        <f>IF(ISERROR('Berechnungen 2'!BL48),"",'Berechnungen 2'!BL48)</f>
        <v/>
      </c>
      <c r="AI45" s="200" t="str">
        <f>IF(ISERROR('Berechnungen 2'!BM48),"",'Berechnungen 2'!BM48)</f>
        <v/>
      </c>
    </row>
    <row r="46" spans="1:35" x14ac:dyDescent="0.2">
      <c r="A46" s="71" t="str">
        <f t="shared" si="0"/>
        <v/>
      </c>
      <c r="B46" s="193">
        <f t="shared" si="13"/>
        <v>34</v>
      </c>
      <c r="C46" s="192">
        <f ca="1">IF(ISERROR(LARGE('Berechnungen 1'!$A$12:$A$311,B46)),"",LARGE('Berechnungen 1'!$A$12:$A$311,B46))</f>
        <v>267</v>
      </c>
      <c r="D46" s="76" t="str">
        <f t="shared" si="14"/>
        <v/>
      </c>
      <c r="E46" s="76" t="str">
        <f t="shared" si="14"/>
        <v/>
      </c>
      <c r="F46" s="155" t="str">
        <f t="shared" si="16"/>
        <v/>
      </c>
      <c r="G46" s="204" t="str">
        <f t="shared" si="17"/>
        <v/>
      </c>
      <c r="H46" s="156" t="str">
        <f t="shared" si="18"/>
        <v/>
      </c>
      <c r="I46" s="155" t="str">
        <f t="shared" si="19"/>
        <v/>
      </c>
      <c r="J46" s="184">
        <f t="shared" ca="1" si="20"/>
        <v>999999</v>
      </c>
      <c r="K46" s="184">
        <f>IF(OR(ISBLANK('Etape 1'!E41),ISBLANK('Etape 1'!F41)),IF(AND(ISBLANK('Etape 1'!B41),ISBLANK('Etape 1'!C41),ISBLANK('Etape 1'!D41),ISBLANK('Etape 1'!E41),ISBLANK('Etape 1'!F41),ISBLANK('Etape 1'!G41),ISBLANK('Etape 1'!H41)),999,9999),IF(VLOOKUP($C46,Matrix_Berechnungen1.Rang.Pumpendaten.Zwischenresultate,$C$9,0)&gt;0,VLOOKUP($C46,Matrix_Berechnungen1.Rang.Pumpendaten.Zwischenresultate,K$9,0),""))</f>
        <v>999</v>
      </c>
      <c r="L46" s="184">
        <f t="shared" ca="1" si="15"/>
        <v>34</v>
      </c>
      <c r="M46" s="184">
        <f t="shared" ca="1" si="15"/>
        <v>0</v>
      </c>
      <c r="N46" s="84"/>
      <c r="O46" s="84"/>
      <c r="P46" s="84"/>
      <c r="Q46" s="69" t="str">
        <f t="shared" si="21"/>
        <v/>
      </c>
      <c r="R46" s="84"/>
      <c r="S46" s="65" t="str">
        <f t="shared" si="10"/>
        <v/>
      </c>
      <c r="T46" s="69" t="str">
        <f t="shared" si="22"/>
        <v/>
      </c>
      <c r="U46" s="84"/>
      <c r="V46" s="65" t="str">
        <f t="shared" si="11"/>
        <v/>
      </c>
      <c r="W46" s="108"/>
      <c r="X46" s="108"/>
      <c r="Y46" s="108"/>
      <c r="Z46" s="110" t="str">
        <f t="shared" si="12"/>
        <v/>
      </c>
      <c r="AA46" s="199" t="str">
        <f>IF(ISERROR('Berechnungen 2'!AR49),"",'Berechnungen 2'!AR49)</f>
        <v/>
      </c>
      <c r="AB46" s="200" t="str">
        <f>IF(ISERROR('Berechnungen 2'!AS49),"",'Berechnungen 2'!AS49)</f>
        <v/>
      </c>
      <c r="AC46" s="200" t="str">
        <f>IF(ISERROR('Berechnungen 2'!AT49),"",'Berechnungen 2'!AT49)</f>
        <v/>
      </c>
      <c r="AD46" s="199" t="str">
        <f>IF(ISERROR('Berechnungen 2'!BE49),"",'Berechnungen 2'!BE49)</f>
        <v/>
      </c>
      <c r="AE46" s="200" t="str">
        <f>IF(ISERROR('Berechnungen 2'!BF49),"",'Berechnungen 2'!BF49)</f>
        <v/>
      </c>
      <c r="AF46" s="200" t="str">
        <f>IF(ISERROR('Berechnungen 2'!BG49),"",'Berechnungen 2'!BG49)</f>
        <v/>
      </c>
      <c r="AG46" s="199" t="str">
        <f>IF(ISNUMBER(A46),IF(ISERROR('Berechnungen 2'!BK49),"",'Berechnungen 2'!BK49),"")</f>
        <v/>
      </c>
      <c r="AH46" s="200" t="str">
        <f>IF(ISERROR('Berechnungen 2'!BL49),"",'Berechnungen 2'!BL49)</f>
        <v/>
      </c>
      <c r="AI46" s="200" t="str">
        <f>IF(ISERROR('Berechnungen 2'!BM49),"",'Berechnungen 2'!BM49)</f>
        <v/>
      </c>
    </row>
    <row r="47" spans="1:35" x14ac:dyDescent="0.2">
      <c r="A47" s="71" t="str">
        <f t="shared" si="0"/>
        <v/>
      </c>
      <c r="B47" s="193">
        <f t="shared" si="13"/>
        <v>35</v>
      </c>
      <c r="C47" s="192">
        <f ca="1">IF(ISERROR(LARGE('Berechnungen 1'!$A$12:$A$311,B47)),"",LARGE('Berechnungen 1'!$A$12:$A$311,B47))</f>
        <v>266</v>
      </c>
      <c r="D47" s="76" t="str">
        <f t="shared" si="14"/>
        <v/>
      </c>
      <c r="E47" s="76" t="str">
        <f t="shared" si="14"/>
        <v/>
      </c>
      <c r="F47" s="155" t="str">
        <f t="shared" si="16"/>
        <v/>
      </c>
      <c r="G47" s="204" t="str">
        <f t="shared" si="17"/>
        <v/>
      </c>
      <c r="H47" s="156" t="str">
        <f t="shared" si="18"/>
        <v/>
      </c>
      <c r="I47" s="155" t="str">
        <f t="shared" si="19"/>
        <v/>
      </c>
      <c r="J47" s="184">
        <f t="shared" ca="1" si="20"/>
        <v>999999</v>
      </c>
      <c r="K47" s="184">
        <f>IF(OR(ISBLANK('Etape 1'!E42),ISBLANK('Etape 1'!F42)),IF(AND(ISBLANK('Etape 1'!B42),ISBLANK('Etape 1'!C42),ISBLANK('Etape 1'!D42),ISBLANK('Etape 1'!E42),ISBLANK('Etape 1'!F42),ISBLANK('Etape 1'!G42),ISBLANK('Etape 1'!H42)),999,9999),IF(VLOOKUP($C47,Matrix_Berechnungen1.Rang.Pumpendaten.Zwischenresultate,$C$9,0)&gt;0,VLOOKUP($C47,Matrix_Berechnungen1.Rang.Pumpendaten.Zwischenresultate,K$9,0),""))</f>
        <v>999</v>
      </c>
      <c r="L47" s="184">
        <f t="shared" ca="1" si="15"/>
        <v>35</v>
      </c>
      <c r="M47" s="184">
        <f t="shared" ca="1" si="15"/>
        <v>0</v>
      </c>
      <c r="N47" s="84"/>
      <c r="O47" s="84"/>
      <c r="P47" s="84"/>
      <c r="Q47" s="69" t="str">
        <f t="shared" si="21"/>
        <v/>
      </c>
      <c r="R47" s="84"/>
      <c r="S47" s="65" t="str">
        <f t="shared" si="10"/>
        <v/>
      </c>
      <c r="T47" s="69" t="str">
        <f t="shared" si="22"/>
        <v/>
      </c>
      <c r="U47" s="84"/>
      <c r="V47" s="65" t="str">
        <f t="shared" si="11"/>
        <v/>
      </c>
      <c r="W47" s="108"/>
      <c r="X47" s="108"/>
      <c r="Y47" s="108"/>
      <c r="Z47" s="110" t="str">
        <f t="shared" si="12"/>
        <v/>
      </c>
      <c r="AA47" s="199" t="str">
        <f>IF(ISERROR('Berechnungen 2'!AR50),"",'Berechnungen 2'!AR50)</f>
        <v/>
      </c>
      <c r="AB47" s="200" t="str">
        <f>IF(ISERROR('Berechnungen 2'!AS50),"",'Berechnungen 2'!AS50)</f>
        <v/>
      </c>
      <c r="AC47" s="200" t="str">
        <f>IF(ISERROR('Berechnungen 2'!AT50),"",'Berechnungen 2'!AT50)</f>
        <v/>
      </c>
      <c r="AD47" s="199" t="str">
        <f>IF(ISERROR('Berechnungen 2'!BE50),"",'Berechnungen 2'!BE50)</f>
        <v/>
      </c>
      <c r="AE47" s="200" t="str">
        <f>IF(ISERROR('Berechnungen 2'!BF50),"",'Berechnungen 2'!BF50)</f>
        <v/>
      </c>
      <c r="AF47" s="200" t="str">
        <f>IF(ISERROR('Berechnungen 2'!BG50),"",'Berechnungen 2'!BG50)</f>
        <v/>
      </c>
      <c r="AG47" s="199" t="str">
        <f>IF(ISNUMBER(A47),IF(ISERROR('Berechnungen 2'!BK50),"",'Berechnungen 2'!BK50),"")</f>
        <v/>
      </c>
      <c r="AH47" s="200" t="str">
        <f>IF(ISERROR('Berechnungen 2'!BL50),"",'Berechnungen 2'!BL50)</f>
        <v/>
      </c>
      <c r="AI47" s="200" t="str">
        <f>IF(ISERROR('Berechnungen 2'!BM50),"",'Berechnungen 2'!BM50)</f>
        <v/>
      </c>
    </row>
    <row r="48" spans="1:35" x14ac:dyDescent="0.2">
      <c r="A48" s="71" t="str">
        <f t="shared" si="0"/>
        <v/>
      </c>
      <c r="B48" s="193">
        <f t="shared" si="13"/>
        <v>36</v>
      </c>
      <c r="C48" s="192">
        <f ca="1">IF(ISERROR(LARGE('Berechnungen 1'!$A$12:$A$311,B48)),"",LARGE('Berechnungen 1'!$A$12:$A$311,B48))</f>
        <v>265</v>
      </c>
      <c r="D48" s="76" t="str">
        <f t="shared" si="14"/>
        <v/>
      </c>
      <c r="E48" s="76" t="str">
        <f t="shared" si="14"/>
        <v/>
      </c>
      <c r="F48" s="155" t="str">
        <f t="shared" si="16"/>
        <v/>
      </c>
      <c r="G48" s="204" t="str">
        <f t="shared" si="17"/>
        <v/>
      </c>
      <c r="H48" s="156" t="str">
        <f t="shared" si="18"/>
        <v/>
      </c>
      <c r="I48" s="155" t="str">
        <f t="shared" si="19"/>
        <v/>
      </c>
      <c r="J48" s="184">
        <f t="shared" ca="1" si="20"/>
        <v>999999</v>
      </c>
      <c r="K48" s="184">
        <f>IF(OR(ISBLANK('Etape 1'!E43),ISBLANK('Etape 1'!F43)),IF(AND(ISBLANK('Etape 1'!B43),ISBLANK('Etape 1'!C43),ISBLANK('Etape 1'!D43),ISBLANK('Etape 1'!E43),ISBLANK('Etape 1'!F43),ISBLANK('Etape 1'!G43),ISBLANK('Etape 1'!H43)),999,9999),IF(VLOOKUP($C48,Matrix_Berechnungen1.Rang.Pumpendaten.Zwischenresultate,$C$9,0)&gt;0,VLOOKUP($C48,Matrix_Berechnungen1.Rang.Pumpendaten.Zwischenresultate,K$9,0),""))</f>
        <v>999</v>
      </c>
      <c r="L48" s="184">
        <f t="shared" ca="1" si="15"/>
        <v>36</v>
      </c>
      <c r="M48" s="184">
        <f t="shared" ca="1" si="15"/>
        <v>0</v>
      </c>
      <c r="N48" s="84"/>
      <c r="O48" s="84"/>
      <c r="P48" s="84"/>
      <c r="Q48" s="69" t="str">
        <f t="shared" si="21"/>
        <v/>
      </c>
      <c r="R48" s="84"/>
      <c r="S48" s="65" t="str">
        <f t="shared" si="10"/>
        <v/>
      </c>
      <c r="T48" s="69" t="str">
        <f t="shared" si="22"/>
        <v/>
      </c>
      <c r="U48" s="84"/>
      <c r="V48" s="65" t="str">
        <f t="shared" si="11"/>
        <v/>
      </c>
      <c r="W48" s="108"/>
      <c r="X48" s="108"/>
      <c r="Y48" s="108"/>
      <c r="Z48" s="110" t="str">
        <f t="shared" si="12"/>
        <v/>
      </c>
      <c r="AA48" s="199" t="str">
        <f>IF(ISERROR('Berechnungen 2'!AR51),"",'Berechnungen 2'!AR51)</f>
        <v/>
      </c>
      <c r="AB48" s="200" t="str">
        <f>IF(ISERROR('Berechnungen 2'!AS51),"",'Berechnungen 2'!AS51)</f>
        <v/>
      </c>
      <c r="AC48" s="200" t="str">
        <f>IF(ISERROR('Berechnungen 2'!AT51),"",'Berechnungen 2'!AT51)</f>
        <v/>
      </c>
      <c r="AD48" s="199" t="str">
        <f>IF(ISERROR('Berechnungen 2'!BE51),"",'Berechnungen 2'!BE51)</f>
        <v/>
      </c>
      <c r="AE48" s="200" t="str">
        <f>IF(ISERROR('Berechnungen 2'!BF51),"",'Berechnungen 2'!BF51)</f>
        <v/>
      </c>
      <c r="AF48" s="200" t="str">
        <f>IF(ISERROR('Berechnungen 2'!BG51),"",'Berechnungen 2'!BG51)</f>
        <v/>
      </c>
      <c r="AG48" s="199" t="str">
        <f>IF(ISNUMBER(A48),IF(ISERROR('Berechnungen 2'!BK51),"",'Berechnungen 2'!BK51),"")</f>
        <v/>
      </c>
      <c r="AH48" s="200" t="str">
        <f>IF(ISERROR('Berechnungen 2'!BL51),"",'Berechnungen 2'!BL51)</f>
        <v/>
      </c>
      <c r="AI48" s="200" t="str">
        <f>IF(ISERROR('Berechnungen 2'!BM51),"",'Berechnungen 2'!BM51)</f>
        <v/>
      </c>
    </row>
    <row r="49" spans="1:35" x14ac:dyDescent="0.2">
      <c r="A49" s="71" t="str">
        <f t="shared" si="0"/>
        <v/>
      </c>
      <c r="B49" s="193">
        <f t="shared" si="13"/>
        <v>37</v>
      </c>
      <c r="C49" s="192">
        <f ca="1">IF(ISERROR(LARGE('Berechnungen 1'!$A$12:$A$311,B49)),"",LARGE('Berechnungen 1'!$A$12:$A$311,B49))</f>
        <v>264</v>
      </c>
      <c r="D49" s="76" t="str">
        <f t="shared" si="14"/>
        <v/>
      </c>
      <c r="E49" s="76" t="str">
        <f t="shared" si="14"/>
        <v/>
      </c>
      <c r="F49" s="155" t="str">
        <f t="shared" si="16"/>
        <v/>
      </c>
      <c r="G49" s="204" t="str">
        <f t="shared" si="17"/>
        <v/>
      </c>
      <c r="H49" s="156" t="str">
        <f t="shared" si="18"/>
        <v/>
      </c>
      <c r="I49" s="155" t="str">
        <f t="shared" si="19"/>
        <v/>
      </c>
      <c r="J49" s="184">
        <f t="shared" ca="1" si="20"/>
        <v>999999</v>
      </c>
      <c r="K49" s="184">
        <f>IF(OR(ISBLANK('Etape 1'!E44),ISBLANK('Etape 1'!F44)),IF(AND(ISBLANK('Etape 1'!B44),ISBLANK('Etape 1'!C44),ISBLANK('Etape 1'!D44),ISBLANK('Etape 1'!E44),ISBLANK('Etape 1'!F44),ISBLANK('Etape 1'!G44),ISBLANK('Etape 1'!H44)),999,9999),IF(VLOOKUP($C49,Matrix_Berechnungen1.Rang.Pumpendaten.Zwischenresultate,$C$9,0)&gt;0,VLOOKUP($C49,Matrix_Berechnungen1.Rang.Pumpendaten.Zwischenresultate,K$9,0),""))</f>
        <v>999</v>
      </c>
      <c r="L49" s="184">
        <f t="shared" ca="1" si="15"/>
        <v>37</v>
      </c>
      <c r="M49" s="184">
        <f t="shared" ca="1" si="15"/>
        <v>0</v>
      </c>
      <c r="N49" s="84"/>
      <c r="O49" s="84"/>
      <c r="P49" s="84"/>
      <c r="Q49" s="69" t="str">
        <f t="shared" si="21"/>
        <v/>
      </c>
      <c r="R49" s="84"/>
      <c r="S49" s="65" t="str">
        <f t="shared" si="10"/>
        <v/>
      </c>
      <c r="T49" s="69" t="str">
        <f t="shared" si="22"/>
        <v/>
      </c>
      <c r="U49" s="84"/>
      <c r="V49" s="65" t="str">
        <f t="shared" si="11"/>
        <v/>
      </c>
      <c r="W49" s="108"/>
      <c r="X49" s="108"/>
      <c r="Y49" s="108"/>
      <c r="Z49" s="110" t="str">
        <f t="shared" si="12"/>
        <v/>
      </c>
      <c r="AA49" s="199" t="str">
        <f>IF(ISERROR('Berechnungen 2'!AR52),"",'Berechnungen 2'!AR52)</f>
        <v/>
      </c>
      <c r="AB49" s="200" t="str">
        <f>IF(ISERROR('Berechnungen 2'!AS52),"",'Berechnungen 2'!AS52)</f>
        <v/>
      </c>
      <c r="AC49" s="200" t="str">
        <f>IF(ISERROR('Berechnungen 2'!AT52),"",'Berechnungen 2'!AT52)</f>
        <v/>
      </c>
      <c r="AD49" s="199" t="str">
        <f>IF(ISERROR('Berechnungen 2'!BE52),"",'Berechnungen 2'!BE52)</f>
        <v/>
      </c>
      <c r="AE49" s="200" t="str">
        <f>IF(ISERROR('Berechnungen 2'!BF52),"",'Berechnungen 2'!BF52)</f>
        <v/>
      </c>
      <c r="AF49" s="200" t="str">
        <f>IF(ISERROR('Berechnungen 2'!BG52),"",'Berechnungen 2'!BG52)</f>
        <v/>
      </c>
      <c r="AG49" s="199" t="str">
        <f>IF(ISNUMBER(A49),IF(ISERROR('Berechnungen 2'!BK52),"",'Berechnungen 2'!BK52),"")</f>
        <v/>
      </c>
      <c r="AH49" s="200" t="str">
        <f>IF(ISERROR('Berechnungen 2'!BL52),"",'Berechnungen 2'!BL52)</f>
        <v/>
      </c>
      <c r="AI49" s="200" t="str">
        <f>IF(ISERROR('Berechnungen 2'!BM52),"",'Berechnungen 2'!BM52)</f>
        <v/>
      </c>
    </row>
    <row r="50" spans="1:35" x14ac:dyDescent="0.2">
      <c r="A50" s="71" t="str">
        <f t="shared" si="0"/>
        <v/>
      </c>
      <c r="B50" s="193">
        <f t="shared" si="13"/>
        <v>38</v>
      </c>
      <c r="C50" s="192">
        <f ca="1">IF(ISERROR(LARGE('Berechnungen 1'!$A$12:$A$311,B50)),"",LARGE('Berechnungen 1'!$A$12:$A$311,B50))</f>
        <v>263</v>
      </c>
      <c r="D50" s="76" t="str">
        <f t="shared" si="14"/>
        <v/>
      </c>
      <c r="E50" s="76" t="str">
        <f t="shared" si="14"/>
        <v/>
      </c>
      <c r="F50" s="155" t="str">
        <f t="shared" si="16"/>
        <v/>
      </c>
      <c r="G50" s="204" t="str">
        <f t="shared" si="17"/>
        <v/>
      </c>
      <c r="H50" s="156" t="str">
        <f t="shared" si="18"/>
        <v/>
      </c>
      <c r="I50" s="155" t="str">
        <f t="shared" si="19"/>
        <v/>
      </c>
      <c r="J50" s="184">
        <f t="shared" ca="1" si="20"/>
        <v>999999</v>
      </c>
      <c r="K50" s="184">
        <f>IF(OR(ISBLANK('Etape 1'!E45),ISBLANK('Etape 1'!F45)),IF(AND(ISBLANK('Etape 1'!B45),ISBLANK('Etape 1'!C45),ISBLANK('Etape 1'!D45),ISBLANK('Etape 1'!E45),ISBLANK('Etape 1'!F45),ISBLANK('Etape 1'!G45),ISBLANK('Etape 1'!H45)),999,9999),IF(VLOOKUP($C50,Matrix_Berechnungen1.Rang.Pumpendaten.Zwischenresultate,$C$9,0)&gt;0,VLOOKUP($C50,Matrix_Berechnungen1.Rang.Pumpendaten.Zwischenresultate,K$9,0),""))</f>
        <v>999</v>
      </c>
      <c r="L50" s="184">
        <f t="shared" ca="1" si="15"/>
        <v>38</v>
      </c>
      <c r="M50" s="184">
        <f t="shared" ca="1" si="15"/>
        <v>0</v>
      </c>
      <c r="N50" s="84"/>
      <c r="O50" s="84"/>
      <c r="P50" s="84"/>
      <c r="Q50" s="69" t="str">
        <f t="shared" si="21"/>
        <v/>
      </c>
      <c r="R50" s="84"/>
      <c r="S50" s="65" t="str">
        <f t="shared" si="10"/>
        <v/>
      </c>
      <c r="T50" s="69" t="str">
        <f t="shared" si="22"/>
        <v/>
      </c>
      <c r="U50" s="84"/>
      <c r="V50" s="65" t="str">
        <f t="shared" si="11"/>
        <v/>
      </c>
      <c r="W50" s="108"/>
      <c r="X50" s="108"/>
      <c r="Y50" s="108"/>
      <c r="Z50" s="110" t="str">
        <f t="shared" si="12"/>
        <v/>
      </c>
      <c r="AA50" s="199" t="str">
        <f>IF(ISERROR('Berechnungen 2'!AR53),"",'Berechnungen 2'!AR53)</f>
        <v/>
      </c>
      <c r="AB50" s="200" t="str">
        <f>IF(ISERROR('Berechnungen 2'!AS53),"",'Berechnungen 2'!AS53)</f>
        <v/>
      </c>
      <c r="AC50" s="200" t="str">
        <f>IF(ISERROR('Berechnungen 2'!AT53),"",'Berechnungen 2'!AT53)</f>
        <v/>
      </c>
      <c r="AD50" s="199" t="str">
        <f>IF(ISERROR('Berechnungen 2'!BE53),"",'Berechnungen 2'!BE53)</f>
        <v/>
      </c>
      <c r="AE50" s="200" t="str">
        <f>IF(ISERROR('Berechnungen 2'!BF53),"",'Berechnungen 2'!BF53)</f>
        <v/>
      </c>
      <c r="AF50" s="200" t="str">
        <f>IF(ISERROR('Berechnungen 2'!BG53),"",'Berechnungen 2'!BG53)</f>
        <v/>
      </c>
      <c r="AG50" s="199" t="str">
        <f>IF(ISNUMBER(A50),IF(ISERROR('Berechnungen 2'!BK53),"",'Berechnungen 2'!BK53),"")</f>
        <v/>
      </c>
      <c r="AH50" s="200" t="str">
        <f>IF(ISERROR('Berechnungen 2'!BL53),"",'Berechnungen 2'!BL53)</f>
        <v/>
      </c>
      <c r="AI50" s="200" t="str">
        <f>IF(ISERROR('Berechnungen 2'!BM53),"",'Berechnungen 2'!BM53)</f>
        <v/>
      </c>
    </row>
    <row r="51" spans="1:35" x14ac:dyDescent="0.2">
      <c r="A51" s="71" t="str">
        <f t="shared" si="0"/>
        <v/>
      </c>
      <c r="B51" s="193">
        <f t="shared" si="13"/>
        <v>39</v>
      </c>
      <c r="C51" s="192">
        <f ca="1">IF(ISERROR(LARGE('Berechnungen 1'!$A$12:$A$311,B51)),"",LARGE('Berechnungen 1'!$A$12:$A$311,B51))</f>
        <v>262</v>
      </c>
      <c r="D51" s="76" t="str">
        <f t="shared" si="14"/>
        <v/>
      </c>
      <c r="E51" s="76" t="str">
        <f t="shared" si="14"/>
        <v/>
      </c>
      <c r="F51" s="155" t="str">
        <f t="shared" si="16"/>
        <v/>
      </c>
      <c r="G51" s="204" t="str">
        <f t="shared" si="17"/>
        <v/>
      </c>
      <c r="H51" s="156" t="str">
        <f t="shared" si="18"/>
        <v/>
      </c>
      <c r="I51" s="155" t="str">
        <f t="shared" si="19"/>
        <v/>
      </c>
      <c r="J51" s="184">
        <f t="shared" ca="1" si="20"/>
        <v>999999</v>
      </c>
      <c r="K51" s="184">
        <f>IF(OR(ISBLANK('Etape 1'!E46),ISBLANK('Etape 1'!F46)),IF(AND(ISBLANK('Etape 1'!B46),ISBLANK('Etape 1'!C46),ISBLANK('Etape 1'!D46),ISBLANK('Etape 1'!E46),ISBLANK('Etape 1'!F46),ISBLANK('Etape 1'!G46),ISBLANK('Etape 1'!H46)),999,9999),IF(VLOOKUP($C51,Matrix_Berechnungen1.Rang.Pumpendaten.Zwischenresultate,$C$9,0)&gt;0,VLOOKUP($C51,Matrix_Berechnungen1.Rang.Pumpendaten.Zwischenresultate,K$9,0),""))</f>
        <v>999</v>
      </c>
      <c r="L51" s="184">
        <f t="shared" ca="1" si="15"/>
        <v>39</v>
      </c>
      <c r="M51" s="184">
        <f t="shared" ca="1" si="15"/>
        <v>0</v>
      </c>
      <c r="N51" s="84"/>
      <c r="O51" s="84"/>
      <c r="P51" s="84"/>
      <c r="Q51" s="69" t="str">
        <f t="shared" si="21"/>
        <v/>
      </c>
      <c r="R51" s="84"/>
      <c r="S51" s="65" t="str">
        <f t="shared" si="10"/>
        <v/>
      </c>
      <c r="T51" s="69" t="str">
        <f t="shared" si="22"/>
        <v/>
      </c>
      <c r="U51" s="84"/>
      <c r="V51" s="65" t="str">
        <f t="shared" si="11"/>
        <v/>
      </c>
      <c r="W51" s="108"/>
      <c r="X51" s="108"/>
      <c r="Y51" s="108"/>
      <c r="Z51" s="110" t="str">
        <f t="shared" si="12"/>
        <v/>
      </c>
      <c r="AA51" s="199" t="str">
        <f>IF(ISERROR('Berechnungen 2'!AR54),"",'Berechnungen 2'!AR54)</f>
        <v/>
      </c>
      <c r="AB51" s="200" t="str">
        <f>IF(ISERROR('Berechnungen 2'!AS54),"",'Berechnungen 2'!AS54)</f>
        <v/>
      </c>
      <c r="AC51" s="200" t="str">
        <f>IF(ISERROR('Berechnungen 2'!AT54),"",'Berechnungen 2'!AT54)</f>
        <v/>
      </c>
      <c r="AD51" s="199" t="str">
        <f>IF(ISERROR('Berechnungen 2'!BE54),"",'Berechnungen 2'!BE54)</f>
        <v/>
      </c>
      <c r="AE51" s="200" t="str">
        <f>IF(ISERROR('Berechnungen 2'!BF54),"",'Berechnungen 2'!BF54)</f>
        <v/>
      </c>
      <c r="AF51" s="200" t="str">
        <f>IF(ISERROR('Berechnungen 2'!BG54),"",'Berechnungen 2'!BG54)</f>
        <v/>
      </c>
      <c r="AG51" s="199" t="str">
        <f>IF(ISNUMBER(A51),IF(ISERROR('Berechnungen 2'!BK54),"",'Berechnungen 2'!BK54),"")</f>
        <v/>
      </c>
      <c r="AH51" s="200" t="str">
        <f>IF(ISERROR('Berechnungen 2'!BL54),"",'Berechnungen 2'!BL54)</f>
        <v/>
      </c>
      <c r="AI51" s="200" t="str">
        <f>IF(ISERROR('Berechnungen 2'!BM54),"",'Berechnungen 2'!BM54)</f>
        <v/>
      </c>
    </row>
    <row r="52" spans="1:35" x14ac:dyDescent="0.2">
      <c r="A52" s="71" t="str">
        <f t="shared" si="0"/>
        <v/>
      </c>
      <c r="B52" s="193">
        <f t="shared" si="13"/>
        <v>40</v>
      </c>
      <c r="C52" s="192">
        <f ca="1">IF(ISERROR(LARGE('Berechnungen 1'!$A$12:$A$311,B52)),"",LARGE('Berechnungen 1'!$A$12:$A$311,B52))</f>
        <v>261</v>
      </c>
      <c r="D52" s="76" t="str">
        <f t="shared" si="14"/>
        <v/>
      </c>
      <c r="E52" s="76" t="str">
        <f t="shared" si="14"/>
        <v/>
      </c>
      <c r="F52" s="155" t="str">
        <f t="shared" si="16"/>
        <v/>
      </c>
      <c r="G52" s="204" t="str">
        <f t="shared" si="17"/>
        <v/>
      </c>
      <c r="H52" s="156" t="str">
        <f t="shared" si="18"/>
        <v/>
      </c>
      <c r="I52" s="155" t="str">
        <f t="shared" si="19"/>
        <v/>
      </c>
      <c r="J52" s="184">
        <f t="shared" ca="1" si="20"/>
        <v>999999</v>
      </c>
      <c r="K52" s="184">
        <f>IF(OR(ISBLANK('Etape 1'!E47),ISBLANK('Etape 1'!F47)),IF(AND(ISBLANK('Etape 1'!B47),ISBLANK('Etape 1'!C47),ISBLANK('Etape 1'!D47),ISBLANK('Etape 1'!E47),ISBLANK('Etape 1'!F47),ISBLANK('Etape 1'!G47),ISBLANK('Etape 1'!H47)),999,9999),IF(VLOOKUP($C52,Matrix_Berechnungen1.Rang.Pumpendaten.Zwischenresultate,$C$9,0)&gt;0,VLOOKUP($C52,Matrix_Berechnungen1.Rang.Pumpendaten.Zwischenresultate,K$9,0),""))</f>
        <v>999</v>
      </c>
      <c r="L52" s="184">
        <f t="shared" ca="1" si="15"/>
        <v>40</v>
      </c>
      <c r="M52" s="184">
        <f t="shared" ca="1" si="15"/>
        <v>0</v>
      </c>
      <c r="N52" s="84"/>
      <c r="O52" s="84"/>
      <c r="P52" s="84"/>
      <c r="Q52" s="69" t="str">
        <f t="shared" si="21"/>
        <v/>
      </c>
      <c r="R52" s="84"/>
      <c r="S52" s="65" t="str">
        <f t="shared" si="10"/>
        <v/>
      </c>
      <c r="T52" s="69" t="str">
        <f t="shared" si="22"/>
        <v/>
      </c>
      <c r="U52" s="84"/>
      <c r="V52" s="65" t="str">
        <f t="shared" si="11"/>
        <v/>
      </c>
      <c r="W52" s="108"/>
      <c r="X52" s="108"/>
      <c r="Y52" s="108"/>
      <c r="Z52" s="110" t="str">
        <f t="shared" si="12"/>
        <v/>
      </c>
      <c r="AA52" s="199" t="str">
        <f>IF(ISERROR('Berechnungen 2'!AR55),"",'Berechnungen 2'!AR55)</f>
        <v/>
      </c>
      <c r="AB52" s="200" t="str">
        <f>IF(ISERROR('Berechnungen 2'!AS55),"",'Berechnungen 2'!AS55)</f>
        <v/>
      </c>
      <c r="AC52" s="200" t="str">
        <f>IF(ISERROR('Berechnungen 2'!AT55),"",'Berechnungen 2'!AT55)</f>
        <v/>
      </c>
      <c r="AD52" s="199" t="str">
        <f>IF(ISERROR('Berechnungen 2'!BE55),"",'Berechnungen 2'!BE55)</f>
        <v/>
      </c>
      <c r="AE52" s="200" t="str">
        <f>IF(ISERROR('Berechnungen 2'!BF55),"",'Berechnungen 2'!BF55)</f>
        <v/>
      </c>
      <c r="AF52" s="200" t="str">
        <f>IF(ISERROR('Berechnungen 2'!BG55),"",'Berechnungen 2'!BG55)</f>
        <v/>
      </c>
      <c r="AG52" s="199" t="str">
        <f>IF(ISNUMBER(A52),IF(ISERROR('Berechnungen 2'!BK55),"",'Berechnungen 2'!BK55),"")</f>
        <v/>
      </c>
      <c r="AH52" s="200" t="str">
        <f>IF(ISERROR('Berechnungen 2'!BL55),"",'Berechnungen 2'!BL55)</f>
        <v/>
      </c>
      <c r="AI52" s="200" t="str">
        <f>IF(ISERROR('Berechnungen 2'!BM55),"",'Berechnungen 2'!BM55)</f>
        <v/>
      </c>
    </row>
    <row r="53" spans="1:35" x14ac:dyDescent="0.2">
      <c r="A53" s="71" t="str">
        <f t="shared" si="0"/>
        <v/>
      </c>
      <c r="B53" s="193">
        <f t="shared" si="13"/>
        <v>41</v>
      </c>
      <c r="C53" s="192">
        <f ca="1">IF(ISERROR(LARGE('Berechnungen 1'!$A$12:$A$311,B53)),"",LARGE('Berechnungen 1'!$A$12:$A$311,B53))</f>
        <v>260</v>
      </c>
      <c r="D53" s="76" t="str">
        <f t="shared" ref="D53:E72" si="23">IF(ISNUMBER($A53),IF(VLOOKUP($C53,Matrix_Berechnungen1.Rang.Pumpendaten.Zwischenresultate,$C$9,0)&gt;0,IF(VLOOKUP($C53,Matrix_Berechnungen1.Rang.Pumpendaten.Zwischenresultate,D$9,0)=0,"",VLOOKUP($C53,Matrix_Berechnungen1.Rang.Pumpendaten.Zwischenresultate,D$9,0)),""),"")</f>
        <v/>
      </c>
      <c r="E53" s="76" t="str">
        <f t="shared" si="23"/>
        <v/>
      </c>
      <c r="F53" s="155" t="str">
        <f t="shared" si="16"/>
        <v/>
      </c>
      <c r="G53" s="204" t="str">
        <f t="shared" si="17"/>
        <v/>
      </c>
      <c r="H53" s="156" t="str">
        <f t="shared" si="18"/>
        <v/>
      </c>
      <c r="I53" s="155" t="str">
        <f t="shared" si="19"/>
        <v/>
      </c>
      <c r="J53" s="184">
        <f t="shared" ca="1" si="20"/>
        <v>999999</v>
      </c>
      <c r="K53" s="184">
        <f>IF(OR(ISBLANK('Etape 1'!E48),ISBLANK('Etape 1'!F48)),IF(AND(ISBLANK('Etape 1'!B48),ISBLANK('Etape 1'!C48),ISBLANK('Etape 1'!D48),ISBLANK('Etape 1'!E48),ISBLANK('Etape 1'!F48),ISBLANK('Etape 1'!G48),ISBLANK('Etape 1'!H48)),999,9999),IF(VLOOKUP($C53,Matrix_Berechnungen1.Rang.Pumpendaten.Zwischenresultate,$C$9,0)&gt;0,VLOOKUP($C53,Matrix_Berechnungen1.Rang.Pumpendaten.Zwischenresultate,K$9,0),""))</f>
        <v>999</v>
      </c>
      <c r="L53" s="184">
        <f t="shared" ref="L53:M72" ca="1" si="24">IF(VLOOKUP($C53,Matrix_Berechnungen1.Rang.Pumpendaten.Zwischenresultate,$C$9,0)&gt;0,VLOOKUP($C53,Matrix_Berechnungen1.Rang.Pumpendaten.Zwischenresultate,L$9,0),"")</f>
        <v>41</v>
      </c>
      <c r="M53" s="184">
        <f t="shared" ca="1" si="24"/>
        <v>0</v>
      </c>
      <c r="N53" s="84"/>
      <c r="O53" s="84"/>
      <c r="P53" s="84"/>
      <c r="Q53" s="69" t="str">
        <f t="shared" si="21"/>
        <v/>
      </c>
      <c r="R53" s="84"/>
      <c r="S53" s="65" t="str">
        <f t="shared" si="10"/>
        <v/>
      </c>
      <c r="T53" s="69" t="str">
        <f t="shared" si="22"/>
        <v/>
      </c>
      <c r="U53" s="84"/>
      <c r="V53" s="65" t="str">
        <f t="shared" si="11"/>
        <v/>
      </c>
      <c r="W53" s="108"/>
      <c r="X53" s="108"/>
      <c r="Y53" s="108"/>
      <c r="Z53" s="110" t="str">
        <f t="shared" si="12"/>
        <v/>
      </c>
      <c r="AA53" s="199" t="str">
        <f>IF(ISERROR('Berechnungen 2'!AR56),"",'Berechnungen 2'!AR56)</f>
        <v/>
      </c>
      <c r="AB53" s="200" t="str">
        <f>IF(ISERROR('Berechnungen 2'!AS56),"",'Berechnungen 2'!AS56)</f>
        <v/>
      </c>
      <c r="AC53" s="200" t="str">
        <f>IF(ISERROR('Berechnungen 2'!AT56),"",'Berechnungen 2'!AT56)</f>
        <v/>
      </c>
      <c r="AD53" s="199" t="str">
        <f>IF(ISERROR('Berechnungen 2'!BE56),"",'Berechnungen 2'!BE56)</f>
        <v/>
      </c>
      <c r="AE53" s="200" t="str">
        <f>IF(ISERROR('Berechnungen 2'!BF56),"",'Berechnungen 2'!BF56)</f>
        <v/>
      </c>
      <c r="AF53" s="200" t="str">
        <f>IF(ISERROR('Berechnungen 2'!BG56),"",'Berechnungen 2'!BG56)</f>
        <v/>
      </c>
      <c r="AG53" s="199" t="str">
        <f>IF(ISNUMBER(A53),IF(ISERROR('Berechnungen 2'!BK56),"",'Berechnungen 2'!BK56),"")</f>
        <v/>
      </c>
      <c r="AH53" s="200" t="str">
        <f>IF(ISERROR('Berechnungen 2'!BL56),"",'Berechnungen 2'!BL56)</f>
        <v/>
      </c>
      <c r="AI53" s="200" t="str">
        <f>IF(ISERROR('Berechnungen 2'!BM56),"",'Berechnungen 2'!BM56)</f>
        <v/>
      </c>
    </row>
    <row r="54" spans="1:35" x14ac:dyDescent="0.2">
      <c r="A54" s="71" t="str">
        <f t="shared" si="0"/>
        <v/>
      </c>
      <c r="B54" s="193">
        <f t="shared" si="13"/>
        <v>42</v>
      </c>
      <c r="C54" s="192">
        <f ca="1">IF(ISERROR(LARGE('Berechnungen 1'!$A$12:$A$311,B54)),"",LARGE('Berechnungen 1'!$A$12:$A$311,B54))</f>
        <v>259</v>
      </c>
      <c r="D54" s="76" t="str">
        <f t="shared" si="23"/>
        <v/>
      </c>
      <c r="E54" s="76" t="str">
        <f t="shared" si="23"/>
        <v/>
      </c>
      <c r="F54" s="155" t="str">
        <f t="shared" si="16"/>
        <v/>
      </c>
      <c r="G54" s="204" t="str">
        <f t="shared" si="17"/>
        <v/>
      </c>
      <c r="H54" s="156" t="str">
        <f t="shared" si="18"/>
        <v/>
      </c>
      <c r="I54" s="155" t="str">
        <f t="shared" si="19"/>
        <v/>
      </c>
      <c r="J54" s="184">
        <f t="shared" ca="1" si="20"/>
        <v>999999</v>
      </c>
      <c r="K54" s="184">
        <f>IF(OR(ISBLANK('Etape 1'!E49),ISBLANK('Etape 1'!F49)),IF(AND(ISBLANK('Etape 1'!B49),ISBLANK('Etape 1'!C49),ISBLANK('Etape 1'!D49),ISBLANK('Etape 1'!E49),ISBLANK('Etape 1'!F49),ISBLANK('Etape 1'!G49),ISBLANK('Etape 1'!H49)),999,9999),IF(VLOOKUP($C54,Matrix_Berechnungen1.Rang.Pumpendaten.Zwischenresultate,$C$9,0)&gt;0,VLOOKUP($C54,Matrix_Berechnungen1.Rang.Pumpendaten.Zwischenresultate,K$9,0),""))</f>
        <v>999</v>
      </c>
      <c r="L54" s="184">
        <f t="shared" ca="1" si="24"/>
        <v>42</v>
      </c>
      <c r="M54" s="184">
        <f t="shared" ca="1" si="24"/>
        <v>0</v>
      </c>
      <c r="N54" s="84"/>
      <c r="O54" s="84"/>
      <c r="P54" s="84"/>
      <c r="Q54" s="69" t="str">
        <f t="shared" si="21"/>
        <v/>
      </c>
      <c r="R54" s="84"/>
      <c r="S54" s="65" t="str">
        <f t="shared" si="10"/>
        <v/>
      </c>
      <c r="T54" s="69" t="str">
        <f t="shared" si="22"/>
        <v/>
      </c>
      <c r="U54" s="84"/>
      <c r="V54" s="65" t="str">
        <f t="shared" si="11"/>
        <v/>
      </c>
      <c r="W54" s="108"/>
      <c r="X54" s="108"/>
      <c r="Y54" s="108"/>
      <c r="Z54" s="110" t="str">
        <f t="shared" si="12"/>
        <v/>
      </c>
      <c r="AA54" s="199" t="str">
        <f>IF(ISERROR('Berechnungen 2'!AR57),"",'Berechnungen 2'!AR57)</f>
        <v/>
      </c>
      <c r="AB54" s="200" t="str">
        <f>IF(ISERROR('Berechnungen 2'!AS57),"",'Berechnungen 2'!AS57)</f>
        <v/>
      </c>
      <c r="AC54" s="200" t="str">
        <f>IF(ISERROR('Berechnungen 2'!AT57),"",'Berechnungen 2'!AT57)</f>
        <v/>
      </c>
      <c r="AD54" s="199" t="str">
        <f>IF(ISERROR('Berechnungen 2'!BE57),"",'Berechnungen 2'!BE57)</f>
        <v/>
      </c>
      <c r="AE54" s="200" t="str">
        <f>IF(ISERROR('Berechnungen 2'!BF57),"",'Berechnungen 2'!BF57)</f>
        <v/>
      </c>
      <c r="AF54" s="200" t="str">
        <f>IF(ISERROR('Berechnungen 2'!BG57),"",'Berechnungen 2'!BG57)</f>
        <v/>
      </c>
      <c r="AG54" s="199" t="str">
        <f>IF(ISNUMBER(A54),IF(ISERROR('Berechnungen 2'!BK57),"",'Berechnungen 2'!BK57),"")</f>
        <v/>
      </c>
      <c r="AH54" s="200" t="str">
        <f>IF(ISERROR('Berechnungen 2'!BL57),"",'Berechnungen 2'!BL57)</f>
        <v/>
      </c>
      <c r="AI54" s="200" t="str">
        <f>IF(ISERROR('Berechnungen 2'!BM57),"",'Berechnungen 2'!BM57)</f>
        <v/>
      </c>
    </row>
    <row r="55" spans="1:35" x14ac:dyDescent="0.2">
      <c r="A55" s="71" t="str">
        <f t="shared" si="0"/>
        <v/>
      </c>
      <c r="B55" s="193">
        <f t="shared" si="13"/>
        <v>43</v>
      </c>
      <c r="C55" s="192">
        <f ca="1">IF(ISERROR(LARGE('Berechnungen 1'!$A$12:$A$311,B55)),"",LARGE('Berechnungen 1'!$A$12:$A$311,B55))</f>
        <v>258</v>
      </c>
      <c r="D55" s="76" t="str">
        <f t="shared" si="23"/>
        <v/>
      </c>
      <c r="E55" s="76" t="str">
        <f t="shared" si="23"/>
        <v/>
      </c>
      <c r="F55" s="155" t="str">
        <f t="shared" si="16"/>
        <v/>
      </c>
      <c r="G55" s="204" t="str">
        <f t="shared" si="17"/>
        <v/>
      </c>
      <c r="H55" s="156" t="str">
        <f t="shared" si="18"/>
        <v/>
      </c>
      <c r="I55" s="155" t="str">
        <f t="shared" si="19"/>
        <v/>
      </c>
      <c r="J55" s="184">
        <f t="shared" ca="1" si="20"/>
        <v>999999</v>
      </c>
      <c r="K55" s="184">
        <f>IF(OR(ISBLANK('Etape 1'!E50),ISBLANK('Etape 1'!F50)),IF(AND(ISBLANK('Etape 1'!B50),ISBLANK('Etape 1'!C50),ISBLANK('Etape 1'!D50),ISBLANK('Etape 1'!E50),ISBLANK('Etape 1'!F50),ISBLANK('Etape 1'!G50),ISBLANK('Etape 1'!H50)),999,9999),IF(VLOOKUP($C55,Matrix_Berechnungen1.Rang.Pumpendaten.Zwischenresultate,$C$9,0)&gt;0,VLOOKUP($C55,Matrix_Berechnungen1.Rang.Pumpendaten.Zwischenresultate,K$9,0),""))</f>
        <v>999</v>
      </c>
      <c r="L55" s="184">
        <f t="shared" ca="1" si="24"/>
        <v>43</v>
      </c>
      <c r="M55" s="184">
        <f t="shared" ca="1" si="24"/>
        <v>0</v>
      </c>
      <c r="N55" s="84"/>
      <c r="O55" s="84"/>
      <c r="P55" s="84"/>
      <c r="Q55" s="69" t="str">
        <f t="shared" si="21"/>
        <v/>
      </c>
      <c r="R55" s="84"/>
      <c r="S55" s="65" t="str">
        <f t="shared" si="10"/>
        <v/>
      </c>
      <c r="T55" s="69" t="str">
        <f t="shared" si="22"/>
        <v/>
      </c>
      <c r="U55" s="84"/>
      <c r="V55" s="65" t="str">
        <f t="shared" si="11"/>
        <v/>
      </c>
      <c r="W55" s="108"/>
      <c r="X55" s="108"/>
      <c r="Y55" s="108"/>
      <c r="Z55" s="110" t="str">
        <f t="shared" si="12"/>
        <v/>
      </c>
      <c r="AA55" s="199" t="str">
        <f>IF(ISERROR('Berechnungen 2'!AR58),"",'Berechnungen 2'!AR58)</f>
        <v/>
      </c>
      <c r="AB55" s="200" t="str">
        <f>IF(ISERROR('Berechnungen 2'!AS58),"",'Berechnungen 2'!AS58)</f>
        <v/>
      </c>
      <c r="AC55" s="200" t="str">
        <f>IF(ISERROR('Berechnungen 2'!AT58),"",'Berechnungen 2'!AT58)</f>
        <v/>
      </c>
      <c r="AD55" s="199" t="str">
        <f>IF(ISERROR('Berechnungen 2'!BE58),"",'Berechnungen 2'!BE58)</f>
        <v/>
      </c>
      <c r="AE55" s="200" t="str">
        <f>IF(ISERROR('Berechnungen 2'!BF58),"",'Berechnungen 2'!BF58)</f>
        <v/>
      </c>
      <c r="AF55" s="200" t="str">
        <f>IF(ISERROR('Berechnungen 2'!BG58),"",'Berechnungen 2'!BG58)</f>
        <v/>
      </c>
      <c r="AG55" s="199" t="str">
        <f>IF(ISNUMBER(A55),IF(ISERROR('Berechnungen 2'!BK58),"",'Berechnungen 2'!BK58),"")</f>
        <v/>
      </c>
      <c r="AH55" s="200" t="str">
        <f>IF(ISERROR('Berechnungen 2'!BL58),"",'Berechnungen 2'!BL58)</f>
        <v/>
      </c>
      <c r="AI55" s="200" t="str">
        <f>IF(ISERROR('Berechnungen 2'!BM58),"",'Berechnungen 2'!BM58)</f>
        <v/>
      </c>
    </row>
    <row r="56" spans="1:35" x14ac:dyDescent="0.2">
      <c r="A56" s="71" t="str">
        <f t="shared" si="0"/>
        <v/>
      </c>
      <c r="B56" s="193">
        <f t="shared" si="13"/>
        <v>44</v>
      </c>
      <c r="C56" s="192">
        <f ca="1">IF(ISERROR(LARGE('Berechnungen 1'!$A$12:$A$311,B56)),"",LARGE('Berechnungen 1'!$A$12:$A$311,B56))</f>
        <v>257</v>
      </c>
      <c r="D56" s="76" t="str">
        <f t="shared" si="23"/>
        <v/>
      </c>
      <c r="E56" s="76" t="str">
        <f t="shared" si="23"/>
        <v/>
      </c>
      <c r="F56" s="155" t="str">
        <f t="shared" si="16"/>
        <v/>
      </c>
      <c r="G56" s="204" t="str">
        <f t="shared" si="17"/>
        <v/>
      </c>
      <c r="H56" s="156" t="str">
        <f t="shared" si="18"/>
        <v/>
      </c>
      <c r="I56" s="155" t="str">
        <f t="shared" si="19"/>
        <v/>
      </c>
      <c r="J56" s="184">
        <f t="shared" ca="1" si="20"/>
        <v>999999</v>
      </c>
      <c r="K56" s="184">
        <f>IF(OR(ISBLANK('Etape 1'!E51),ISBLANK('Etape 1'!F51)),IF(AND(ISBLANK('Etape 1'!B51),ISBLANK('Etape 1'!C51),ISBLANK('Etape 1'!D51),ISBLANK('Etape 1'!E51),ISBLANK('Etape 1'!F51),ISBLANK('Etape 1'!G51),ISBLANK('Etape 1'!H51)),999,9999),IF(VLOOKUP($C56,Matrix_Berechnungen1.Rang.Pumpendaten.Zwischenresultate,$C$9,0)&gt;0,VLOOKUP($C56,Matrix_Berechnungen1.Rang.Pumpendaten.Zwischenresultate,K$9,0),""))</f>
        <v>999</v>
      </c>
      <c r="L56" s="184">
        <f t="shared" ca="1" si="24"/>
        <v>44</v>
      </c>
      <c r="M56" s="184">
        <f t="shared" ca="1" si="24"/>
        <v>0</v>
      </c>
      <c r="N56" s="84"/>
      <c r="O56" s="84"/>
      <c r="P56" s="84"/>
      <c r="Q56" s="69" t="str">
        <f t="shared" si="21"/>
        <v/>
      </c>
      <c r="R56" s="84"/>
      <c r="S56" s="65" t="str">
        <f t="shared" si="10"/>
        <v/>
      </c>
      <c r="T56" s="69" t="str">
        <f t="shared" si="22"/>
        <v/>
      </c>
      <c r="U56" s="84"/>
      <c r="V56" s="65" t="str">
        <f t="shared" si="11"/>
        <v/>
      </c>
      <c r="W56" s="108"/>
      <c r="X56" s="108"/>
      <c r="Y56" s="108"/>
      <c r="Z56" s="110" t="str">
        <f t="shared" si="12"/>
        <v/>
      </c>
      <c r="AA56" s="199" t="str">
        <f>IF(ISERROR('Berechnungen 2'!AR59),"",'Berechnungen 2'!AR59)</f>
        <v/>
      </c>
      <c r="AB56" s="200" t="str">
        <f>IF(ISERROR('Berechnungen 2'!AS59),"",'Berechnungen 2'!AS59)</f>
        <v/>
      </c>
      <c r="AC56" s="200" t="str">
        <f>IF(ISERROR('Berechnungen 2'!AT59),"",'Berechnungen 2'!AT59)</f>
        <v/>
      </c>
      <c r="AD56" s="199" t="str">
        <f>IF(ISERROR('Berechnungen 2'!BE59),"",'Berechnungen 2'!BE59)</f>
        <v/>
      </c>
      <c r="AE56" s="200" t="str">
        <f>IF(ISERROR('Berechnungen 2'!BF59),"",'Berechnungen 2'!BF59)</f>
        <v/>
      </c>
      <c r="AF56" s="200" t="str">
        <f>IF(ISERROR('Berechnungen 2'!BG59),"",'Berechnungen 2'!BG59)</f>
        <v/>
      </c>
      <c r="AG56" s="199" t="str">
        <f>IF(ISNUMBER(A56),IF(ISERROR('Berechnungen 2'!BK59),"",'Berechnungen 2'!BK59),"")</f>
        <v/>
      </c>
      <c r="AH56" s="200" t="str">
        <f>IF(ISERROR('Berechnungen 2'!BL59),"",'Berechnungen 2'!BL59)</f>
        <v/>
      </c>
      <c r="AI56" s="200" t="str">
        <f>IF(ISERROR('Berechnungen 2'!BM59),"",'Berechnungen 2'!BM59)</f>
        <v/>
      </c>
    </row>
    <row r="57" spans="1:35" x14ac:dyDescent="0.2">
      <c r="A57" s="71" t="str">
        <f t="shared" si="0"/>
        <v/>
      </c>
      <c r="B57" s="193">
        <f t="shared" si="13"/>
        <v>45</v>
      </c>
      <c r="C57" s="192">
        <f ca="1">IF(ISERROR(LARGE('Berechnungen 1'!$A$12:$A$311,B57)),"",LARGE('Berechnungen 1'!$A$12:$A$311,B57))</f>
        <v>256</v>
      </c>
      <c r="D57" s="76" t="str">
        <f t="shared" si="23"/>
        <v/>
      </c>
      <c r="E57" s="76" t="str">
        <f t="shared" si="23"/>
        <v/>
      </c>
      <c r="F57" s="155" t="str">
        <f t="shared" si="16"/>
        <v/>
      </c>
      <c r="G57" s="204" t="str">
        <f t="shared" si="17"/>
        <v/>
      </c>
      <c r="H57" s="156" t="str">
        <f t="shared" si="18"/>
        <v/>
      </c>
      <c r="I57" s="155" t="str">
        <f t="shared" si="19"/>
        <v/>
      </c>
      <c r="J57" s="184">
        <f t="shared" ca="1" si="20"/>
        <v>999999</v>
      </c>
      <c r="K57" s="184">
        <f>IF(OR(ISBLANK('Etape 1'!E52),ISBLANK('Etape 1'!F52)),IF(AND(ISBLANK('Etape 1'!B52),ISBLANK('Etape 1'!C52),ISBLANK('Etape 1'!D52),ISBLANK('Etape 1'!E52),ISBLANK('Etape 1'!F52),ISBLANK('Etape 1'!G52),ISBLANK('Etape 1'!H52)),999,9999),IF(VLOOKUP($C57,Matrix_Berechnungen1.Rang.Pumpendaten.Zwischenresultate,$C$9,0)&gt;0,VLOOKUP($C57,Matrix_Berechnungen1.Rang.Pumpendaten.Zwischenresultate,K$9,0),""))</f>
        <v>999</v>
      </c>
      <c r="L57" s="184">
        <f t="shared" ca="1" si="24"/>
        <v>45</v>
      </c>
      <c r="M57" s="184">
        <f t="shared" ca="1" si="24"/>
        <v>0</v>
      </c>
      <c r="N57" s="84"/>
      <c r="O57" s="84"/>
      <c r="P57" s="84"/>
      <c r="Q57" s="69" t="str">
        <f t="shared" si="21"/>
        <v/>
      </c>
      <c r="R57" s="84"/>
      <c r="S57" s="65" t="str">
        <f t="shared" si="10"/>
        <v/>
      </c>
      <c r="T57" s="69" t="str">
        <f t="shared" si="22"/>
        <v/>
      </c>
      <c r="U57" s="84"/>
      <c r="V57" s="65" t="str">
        <f t="shared" si="11"/>
        <v/>
      </c>
      <c r="W57" s="108"/>
      <c r="X57" s="108"/>
      <c r="Y57" s="108"/>
      <c r="Z57" s="110" t="str">
        <f t="shared" si="12"/>
        <v/>
      </c>
      <c r="AA57" s="199" t="str">
        <f>IF(ISERROR('Berechnungen 2'!AR60),"",'Berechnungen 2'!AR60)</f>
        <v/>
      </c>
      <c r="AB57" s="200" t="str">
        <f>IF(ISERROR('Berechnungen 2'!AS60),"",'Berechnungen 2'!AS60)</f>
        <v/>
      </c>
      <c r="AC57" s="200" t="str">
        <f>IF(ISERROR('Berechnungen 2'!AT60),"",'Berechnungen 2'!AT60)</f>
        <v/>
      </c>
      <c r="AD57" s="199" t="str">
        <f>IF(ISERROR('Berechnungen 2'!BE60),"",'Berechnungen 2'!BE60)</f>
        <v/>
      </c>
      <c r="AE57" s="200" t="str">
        <f>IF(ISERROR('Berechnungen 2'!BF60),"",'Berechnungen 2'!BF60)</f>
        <v/>
      </c>
      <c r="AF57" s="200" t="str">
        <f>IF(ISERROR('Berechnungen 2'!BG60),"",'Berechnungen 2'!BG60)</f>
        <v/>
      </c>
      <c r="AG57" s="199" t="str">
        <f>IF(ISNUMBER(A57),IF(ISERROR('Berechnungen 2'!BK60),"",'Berechnungen 2'!BK60),"")</f>
        <v/>
      </c>
      <c r="AH57" s="200" t="str">
        <f>IF(ISERROR('Berechnungen 2'!BL60),"",'Berechnungen 2'!BL60)</f>
        <v/>
      </c>
      <c r="AI57" s="200" t="str">
        <f>IF(ISERROR('Berechnungen 2'!BM60),"",'Berechnungen 2'!BM60)</f>
        <v/>
      </c>
    </row>
    <row r="58" spans="1:35" x14ac:dyDescent="0.2">
      <c r="A58" s="71" t="str">
        <f t="shared" si="0"/>
        <v/>
      </c>
      <c r="B58" s="193">
        <f t="shared" si="13"/>
        <v>46</v>
      </c>
      <c r="C58" s="192">
        <f ca="1">IF(ISERROR(LARGE('Berechnungen 1'!$A$12:$A$311,B58)),"",LARGE('Berechnungen 1'!$A$12:$A$311,B58))</f>
        <v>255</v>
      </c>
      <c r="D58" s="76" t="str">
        <f t="shared" si="23"/>
        <v/>
      </c>
      <c r="E58" s="76" t="str">
        <f t="shared" si="23"/>
        <v/>
      </c>
      <c r="F58" s="155" t="str">
        <f t="shared" si="16"/>
        <v/>
      </c>
      <c r="G58" s="204" t="str">
        <f t="shared" si="17"/>
        <v/>
      </c>
      <c r="H58" s="156" t="str">
        <f t="shared" si="18"/>
        <v/>
      </c>
      <c r="I58" s="155" t="str">
        <f t="shared" si="19"/>
        <v/>
      </c>
      <c r="J58" s="184">
        <f t="shared" ca="1" si="20"/>
        <v>999999</v>
      </c>
      <c r="K58" s="184">
        <f>IF(OR(ISBLANK('Etape 1'!E53),ISBLANK('Etape 1'!F53)),IF(AND(ISBLANK('Etape 1'!B53),ISBLANK('Etape 1'!C53),ISBLANK('Etape 1'!D53),ISBLANK('Etape 1'!E53),ISBLANK('Etape 1'!F53),ISBLANK('Etape 1'!G53),ISBLANK('Etape 1'!H53)),999,9999),IF(VLOOKUP($C58,Matrix_Berechnungen1.Rang.Pumpendaten.Zwischenresultate,$C$9,0)&gt;0,VLOOKUP($C58,Matrix_Berechnungen1.Rang.Pumpendaten.Zwischenresultate,K$9,0),""))</f>
        <v>999</v>
      </c>
      <c r="L58" s="184">
        <f t="shared" ca="1" si="24"/>
        <v>46</v>
      </c>
      <c r="M58" s="184">
        <f t="shared" ca="1" si="24"/>
        <v>0</v>
      </c>
      <c r="N58" s="84"/>
      <c r="O58" s="84"/>
      <c r="P58" s="84"/>
      <c r="Q58" s="69" t="str">
        <f t="shared" si="21"/>
        <v/>
      </c>
      <c r="R58" s="84"/>
      <c r="S58" s="65" t="str">
        <f t="shared" si="10"/>
        <v/>
      </c>
      <c r="T58" s="69" t="str">
        <f t="shared" si="22"/>
        <v/>
      </c>
      <c r="U58" s="84"/>
      <c r="V58" s="65" t="str">
        <f t="shared" si="11"/>
        <v/>
      </c>
      <c r="W58" s="108"/>
      <c r="X58" s="108"/>
      <c r="Y58" s="108"/>
      <c r="Z58" s="110" t="str">
        <f t="shared" si="12"/>
        <v/>
      </c>
      <c r="AA58" s="199" t="str">
        <f>IF(ISERROR('Berechnungen 2'!AR61),"",'Berechnungen 2'!AR61)</f>
        <v/>
      </c>
      <c r="AB58" s="200" t="str">
        <f>IF(ISERROR('Berechnungen 2'!AS61),"",'Berechnungen 2'!AS61)</f>
        <v/>
      </c>
      <c r="AC58" s="200" t="str">
        <f>IF(ISERROR('Berechnungen 2'!AT61),"",'Berechnungen 2'!AT61)</f>
        <v/>
      </c>
      <c r="AD58" s="199" t="str">
        <f>IF(ISERROR('Berechnungen 2'!BE61),"",'Berechnungen 2'!BE61)</f>
        <v/>
      </c>
      <c r="AE58" s="200" t="str">
        <f>IF(ISERROR('Berechnungen 2'!BF61),"",'Berechnungen 2'!BF61)</f>
        <v/>
      </c>
      <c r="AF58" s="200" t="str">
        <f>IF(ISERROR('Berechnungen 2'!BG61),"",'Berechnungen 2'!BG61)</f>
        <v/>
      </c>
      <c r="AG58" s="199" t="str">
        <f>IF(ISNUMBER(A58),IF(ISERROR('Berechnungen 2'!BK61),"",'Berechnungen 2'!BK61),"")</f>
        <v/>
      </c>
      <c r="AH58" s="200" t="str">
        <f>IF(ISERROR('Berechnungen 2'!BL61),"",'Berechnungen 2'!BL61)</f>
        <v/>
      </c>
      <c r="AI58" s="200" t="str">
        <f>IF(ISERROR('Berechnungen 2'!BM61),"",'Berechnungen 2'!BM61)</f>
        <v/>
      </c>
    </row>
    <row r="59" spans="1:35" x14ac:dyDescent="0.2">
      <c r="A59" s="71" t="str">
        <f t="shared" si="0"/>
        <v/>
      </c>
      <c r="B59" s="193">
        <f t="shared" si="13"/>
        <v>47</v>
      </c>
      <c r="C59" s="192">
        <f ca="1">IF(ISERROR(LARGE('Berechnungen 1'!$A$12:$A$311,B59)),"",LARGE('Berechnungen 1'!$A$12:$A$311,B59))</f>
        <v>254</v>
      </c>
      <c r="D59" s="76" t="str">
        <f t="shared" si="23"/>
        <v/>
      </c>
      <c r="E59" s="76" t="str">
        <f t="shared" si="23"/>
        <v/>
      </c>
      <c r="F59" s="155" t="str">
        <f t="shared" si="16"/>
        <v/>
      </c>
      <c r="G59" s="204" t="str">
        <f t="shared" si="17"/>
        <v/>
      </c>
      <c r="H59" s="156" t="str">
        <f t="shared" si="18"/>
        <v/>
      </c>
      <c r="I59" s="155" t="str">
        <f t="shared" si="19"/>
        <v/>
      </c>
      <c r="J59" s="184">
        <f t="shared" ca="1" si="20"/>
        <v>999999</v>
      </c>
      <c r="K59" s="184">
        <f>IF(OR(ISBLANK('Etape 1'!E54),ISBLANK('Etape 1'!F54)),IF(AND(ISBLANK('Etape 1'!B54),ISBLANK('Etape 1'!C54),ISBLANK('Etape 1'!D54),ISBLANK('Etape 1'!E54),ISBLANK('Etape 1'!F54),ISBLANK('Etape 1'!G54),ISBLANK('Etape 1'!H54)),999,9999),IF(VLOOKUP($C59,Matrix_Berechnungen1.Rang.Pumpendaten.Zwischenresultate,$C$9,0)&gt;0,VLOOKUP($C59,Matrix_Berechnungen1.Rang.Pumpendaten.Zwischenresultate,K$9,0),""))</f>
        <v>999</v>
      </c>
      <c r="L59" s="184">
        <f t="shared" ca="1" si="24"/>
        <v>47</v>
      </c>
      <c r="M59" s="184">
        <f t="shared" ca="1" si="24"/>
        <v>0</v>
      </c>
      <c r="N59" s="84"/>
      <c r="O59" s="84"/>
      <c r="P59" s="84"/>
      <c r="Q59" s="69" t="str">
        <f t="shared" si="21"/>
        <v/>
      </c>
      <c r="R59" s="84"/>
      <c r="S59" s="65" t="str">
        <f t="shared" si="10"/>
        <v/>
      </c>
      <c r="T59" s="69" t="str">
        <f t="shared" si="22"/>
        <v/>
      </c>
      <c r="U59" s="84"/>
      <c r="V59" s="65" t="str">
        <f t="shared" si="11"/>
        <v/>
      </c>
      <c r="W59" s="108"/>
      <c r="X59" s="108"/>
      <c r="Y59" s="108"/>
      <c r="Z59" s="110" t="str">
        <f t="shared" si="12"/>
        <v/>
      </c>
      <c r="AA59" s="199" t="str">
        <f>IF(ISERROR('Berechnungen 2'!AR62),"",'Berechnungen 2'!AR62)</f>
        <v/>
      </c>
      <c r="AB59" s="200" t="str">
        <f>IF(ISERROR('Berechnungen 2'!AS62),"",'Berechnungen 2'!AS62)</f>
        <v/>
      </c>
      <c r="AC59" s="200" t="str">
        <f>IF(ISERROR('Berechnungen 2'!AT62),"",'Berechnungen 2'!AT62)</f>
        <v/>
      </c>
      <c r="AD59" s="199" t="str">
        <f>IF(ISERROR('Berechnungen 2'!BE62),"",'Berechnungen 2'!BE62)</f>
        <v/>
      </c>
      <c r="AE59" s="200" t="str">
        <f>IF(ISERROR('Berechnungen 2'!BF62),"",'Berechnungen 2'!BF62)</f>
        <v/>
      </c>
      <c r="AF59" s="200" t="str">
        <f>IF(ISERROR('Berechnungen 2'!BG62),"",'Berechnungen 2'!BG62)</f>
        <v/>
      </c>
      <c r="AG59" s="199" t="str">
        <f>IF(ISNUMBER(A59),IF(ISERROR('Berechnungen 2'!BK62),"",'Berechnungen 2'!BK62),"")</f>
        <v/>
      </c>
      <c r="AH59" s="200" t="str">
        <f>IF(ISERROR('Berechnungen 2'!BL62),"",'Berechnungen 2'!BL62)</f>
        <v/>
      </c>
      <c r="AI59" s="200" t="str">
        <f>IF(ISERROR('Berechnungen 2'!BM62),"",'Berechnungen 2'!BM62)</f>
        <v/>
      </c>
    </row>
    <row r="60" spans="1:35" x14ac:dyDescent="0.2">
      <c r="A60" s="71" t="str">
        <f t="shared" si="0"/>
        <v/>
      </c>
      <c r="B60" s="193">
        <f t="shared" si="13"/>
        <v>48</v>
      </c>
      <c r="C60" s="192">
        <f ca="1">IF(ISERROR(LARGE('Berechnungen 1'!$A$12:$A$311,B60)),"",LARGE('Berechnungen 1'!$A$12:$A$311,B60))</f>
        <v>253</v>
      </c>
      <c r="D60" s="76" t="str">
        <f t="shared" si="23"/>
        <v/>
      </c>
      <c r="E60" s="76" t="str">
        <f t="shared" si="23"/>
        <v/>
      </c>
      <c r="F60" s="155" t="str">
        <f t="shared" si="16"/>
        <v/>
      </c>
      <c r="G60" s="204" t="str">
        <f t="shared" si="17"/>
        <v/>
      </c>
      <c r="H60" s="156" t="str">
        <f t="shared" si="18"/>
        <v/>
      </c>
      <c r="I60" s="155" t="str">
        <f t="shared" si="19"/>
        <v/>
      </c>
      <c r="J60" s="184">
        <f t="shared" ca="1" si="20"/>
        <v>999999</v>
      </c>
      <c r="K60" s="184">
        <f>IF(OR(ISBLANK('Etape 1'!E55),ISBLANK('Etape 1'!F55)),IF(AND(ISBLANK('Etape 1'!B55),ISBLANK('Etape 1'!C55),ISBLANK('Etape 1'!D55),ISBLANK('Etape 1'!E55),ISBLANK('Etape 1'!F55),ISBLANK('Etape 1'!G55),ISBLANK('Etape 1'!H55)),999,9999),IF(VLOOKUP($C60,Matrix_Berechnungen1.Rang.Pumpendaten.Zwischenresultate,$C$9,0)&gt;0,VLOOKUP($C60,Matrix_Berechnungen1.Rang.Pumpendaten.Zwischenresultate,K$9,0),""))</f>
        <v>999</v>
      </c>
      <c r="L60" s="184">
        <f t="shared" ca="1" si="24"/>
        <v>48</v>
      </c>
      <c r="M60" s="184">
        <f t="shared" ca="1" si="24"/>
        <v>0</v>
      </c>
      <c r="N60" s="84"/>
      <c r="O60" s="84"/>
      <c r="P60" s="84"/>
      <c r="Q60" s="69" t="str">
        <f t="shared" si="21"/>
        <v/>
      </c>
      <c r="R60" s="84"/>
      <c r="S60" s="65" t="str">
        <f t="shared" si="10"/>
        <v/>
      </c>
      <c r="T60" s="69" t="str">
        <f t="shared" si="22"/>
        <v/>
      </c>
      <c r="U60" s="84"/>
      <c r="V60" s="65" t="str">
        <f t="shared" si="11"/>
        <v/>
      </c>
      <c r="W60" s="108"/>
      <c r="X60" s="108"/>
      <c r="Y60" s="108"/>
      <c r="Z60" s="110" t="str">
        <f t="shared" si="12"/>
        <v/>
      </c>
      <c r="AA60" s="199" t="str">
        <f>IF(ISERROR('Berechnungen 2'!AR63),"",'Berechnungen 2'!AR63)</f>
        <v/>
      </c>
      <c r="AB60" s="200" t="str">
        <f>IF(ISERROR('Berechnungen 2'!AS63),"",'Berechnungen 2'!AS63)</f>
        <v/>
      </c>
      <c r="AC60" s="200" t="str">
        <f>IF(ISERROR('Berechnungen 2'!AT63),"",'Berechnungen 2'!AT63)</f>
        <v/>
      </c>
      <c r="AD60" s="199" t="str">
        <f>IF(ISERROR('Berechnungen 2'!BE63),"",'Berechnungen 2'!BE63)</f>
        <v/>
      </c>
      <c r="AE60" s="200" t="str">
        <f>IF(ISERROR('Berechnungen 2'!BF63),"",'Berechnungen 2'!BF63)</f>
        <v/>
      </c>
      <c r="AF60" s="200" t="str">
        <f>IF(ISERROR('Berechnungen 2'!BG63),"",'Berechnungen 2'!BG63)</f>
        <v/>
      </c>
      <c r="AG60" s="199" t="str">
        <f>IF(ISNUMBER(A60),IF(ISERROR('Berechnungen 2'!BK63),"",'Berechnungen 2'!BK63),"")</f>
        <v/>
      </c>
      <c r="AH60" s="200" t="str">
        <f>IF(ISERROR('Berechnungen 2'!BL63),"",'Berechnungen 2'!BL63)</f>
        <v/>
      </c>
      <c r="AI60" s="200" t="str">
        <f>IF(ISERROR('Berechnungen 2'!BM63),"",'Berechnungen 2'!BM63)</f>
        <v/>
      </c>
    </row>
    <row r="61" spans="1:35" x14ac:dyDescent="0.2">
      <c r="A61" s="71" t="str">
        <f t="shared" si="0"/>
        <v/>
      </c>
      <c r="B61" s="193">
        <f t="shared" si="13"/>
        <v>49</v>
      </c>
      <c r="C61" s="192">
        <f ca="1">IF(ISERROR(LARGE('Berechnungen 1'!$A$12:$A$311,B61)),"",LARGE('Berechnungen 1'!$A$12:$A$311,B61))</f>
        <v>252</v>
      </c>
      <c r="D61" s="76" t="str">
        <f t="shared" si="23"/>
        <v/>
      </c>
      <c r="E61" s="76" t="str">
        <f t="shared" si="23"/>
        <v/>
      </c>
      <c r="F61" s="155" t="str">
        <f t="shared" si="16"/>
        <v/>
      </c>
      <c r="G61" s="204" t="str">
        <f t="shared" si="17"/>
        <v/>
      </c>
      <c r="H61" s="156" t="str">
        <f t="shared" si="18"/>
        <v/>
      </c>
      <c r="I61" s="155" t="str">
        <f t="shared" si="19"/>
        <v/>
      </c>
      <c r="J61" s="184">
        <f t="shared" ca="1" si="20"/>
        <v>999999</v>
      </c>
      <c r="K61" s="184">
        <f>IF(OR(ISBLANK('Etape 1'!E56),ISBLANK('Etape 1'!F56)),IF(AND(ISBLANK('Etape 1'!B56),ISBLANK('Etape 1'!C56),ISBLANK('Etape 1'!D56),ISBLANK('Etape 1'!E56),ISBLANK('Etape 1'!F56),ISBLANK('Etape 1'!G56),ISBLANK('Etape 1'!H56)),999,9999),IF(VLOOKUP($C61,Matrix_Berechnungen1.Rang.Pumpendaten.Zwischenresultate,$C$9,0)&gt;0,VLOOKUP($C61,Matrix_Berechnungen1.Rang.Pumpendaten.Zwischenresultate,K$9,0),""))</f>
        <v>999</v>
      </c>
      <c r="L61" s="184">
        <f t="shared" ca="1" si="24"/>
        <v>49</v>
      </c>
      <c r="M61" s="184">
        <f t="shared" ca="1" si="24"/>
        <v>0</v>
      </c>
      <c r="N61" s="84"/>
      <c r="O61" s="84"/>
      <c r="P61" s="84"/>
      <c r="Q61" s="69" t="str">
        <f t="shared" si="21"/>
        <v/>
      </c>
      <c r="R61" s="84"/>
      <c r="S61" s="65" t="str">
        <f t="shared" si="10"/>
        <v/>
      </c>
      <c r="T61" s="69" t="str">
        <f t="shared" si="22"/>
        <v/>
      </c>
      <c r="U61" s="84"/>
      <c r="V61" s="65" t="str">
        <f t="shared" si="11"/>
        <v/>
      </c>
      <c r="W61" s="108"/>
      <c r="X61" s="108"/>
      <c r="Y61" s="108"/>
      <c r="Z61" s="110" t="str">
        <f t="shared" si="12"/>
        <v/>
      </c>
      <c r="AA61" s="199" t="str">
        <f>IF(ISERROR('Berechnungen 2'!AR64),"",'Berechnungen 2'!AR64)</f>
        <v/>
      </c>
      <c r="AB61" s="200" t="str">
        <f>IF(ISERROR('Berechnungen 2'!AS64),"",'Berechnungen 2'!AS64)</f>
        <v/>
      </c>
      <c r="AC61" s="200" t="str">
        <f>IF(ISERROR('Berechnungen 2'!AT64),"",'Berechnungen 2'!AT64)</f>
        <v/>
      </c>
      <c r="AD61" s="199" t="str">
        <f>IF(ISERROR('Berechnungen 2'!BE64),"",'Berechnungen 2'!BE64)</f>
        <v/>
      </c>
      <c r="AE61" s="200" t="str">
        <f>IF(ISERROR('Berechnungen 2'!BF64),"",'Berechnungen 2'!BF64)</f>
        <v/>
      </c>
      <c r="AF61" s="200" t="str">
        <f>IF(ISERROR('Berechnungen 2'!BG64),"",'Berechnungen 2'!BG64)</f>
        <v/>
      </c>
      <c r="AG61" s="199" t="str">
        <f>IF(ISNUMBER(A61),IF(ISERROR('Berechnungen 2'!BK64),"",'Berechnungen 2'!BK64),"")</f>
        <v/>
      </c>
      <c r="AH61" s="200" t="str">
        <f>IF(ISERROR('Berechnungen 2'!BL64),"",'Berechnungen 2'!BL64)</f>
        <v/>
      </c>
      <c r="AI61" s="200" t="str">
        <f>IF(ISERROR('Berechnungen 2'!BM64),"",'Berechnungen 2'!BM64)</f>
        <v/>
      </c>
    </row>
    <row r="62" spans="1:35" x14ac:dyDescent="0.2">
      <c r="A62" s="71" t="str">
        <f t="shared" si="0"/>
        <v/>
      </c>
      <c r="B62" s="193">
        <f t="shared" si="13"/>
        <v>50</v>
      </c>
      <c r="C62" s="192">
        <f ca="1">IF(ISERROR(LARGE('Berechnungen 1'!$A$12:$A$311,B62)),"",LARGE('Berechnungen 1'!$A$12:$A$311,B62))</f>
        <v>251</v>
      </c>
      <c r="D62" s="76" t="str">
        <f t="shared" si="23"/>
        <v/>
      </c>
      <c r="E62" s="76" t="str">
        <f t="shared" si="23"/>
        <v/>
      </c>
      <c r="F62" s="155" t="str">
        <f t="shared" si="16"/>
        <v/>
      </c>
      <c r="G62" s="204" t="str">
        <f t="shared" si="17"/>
        <v/>
      </c>
      <c r="H62" s="156" t="str">
        <f t="shared" si="18"/>
        <v/>
      </c>
      <c r="I62" s="155" t="str">
        <f t="shared" si="19"/>
        <v/>
      </c>
      <c r="J62" s="184">
        <f t="shared" ca="1" si="20"/>
        <v>999999</v>
      </c>
      <c r="K62" s="184">
        <f>IF(OR(ISBLANK('Etape 1'!E57),ISBLANK('Etape 1'!F57)),IF(AND(ISBLANK('Etape 1'!B57),ISBLANK('Etape 1'!C57),ISBLANK('Etape 1'!D57),ISBLANK('Etape 1'!E57),ISBLANK('Etape 1'!F57),ISBLANK('Etape 1'!G57),ISBLANK('Etape 1'!H57)),999,9999),IF(VLOOKUP($C62,Matrix_Berechnungen1.Rang.Pumpendaten.Zwischenresultate,$C$9,0)&gt;0,VLOOKUP($C62,Matrix_Berechnungen1.Rang.Pumpendaten.Zwischenresultate,K$9,0),""))</f>
        <v>999</v>
      </c>
      <c r="L62" s="184">
        <f t="shared" ca="1" si="24"/>
        <v>50</v>
      </c>
      <c r="M62" s="184">
        <f t="shared" ca="1" si="24"/>
        <v>0</v>
      </c>
      <c r="N62" s="84"/>
      <c r="O62" s="84"/>
      <c r="P62" s="84"/>
      <c r="Q62" s="69" t="str">
        <f t="shared" si="21"/>
        <v/>
      </c>
      <c r="R62" s="84"/>
      <c r="S62" s="65" t="str">
        <f t="shared" si="10"/>
        <v/>
      </c>
      <c r="T62" s="69" t="str">
        <f t="shared" si="22"/>
        <v/>
      </c>
      <c r="U62" s="84"/>
      <c r="V62" s="65" t="str">
        <f t="shared" si="11"/>
        <v/>
      </c>
      <c r="W62" s="108"/>
      <c r="X62" s="108"/>
      <c r="Y62" s="108"/>
      <c r="Z62" s="110" t="str">
        <f t="shared" si="12"/>
        <v/>
      </c>
      <c r="AA62" s="199" t="str">
        <f>IF(ISERROR('Berechnungen 2'!AR65),"",'Berechnungen 2'!AR65)</f>
        <v/>
      </c>
      <c r="AB62" s="200" t="str">
        <f>IF(ISERROR('Berechnungen 2'!AS65),"",'Berechnungen 2'!AS65)</f>
        <v/>
      </c>
      <c r="AC62" s="200" t="str">
        <f>IF(ISERROR('Berechnungen 2'!AT65),"",'Berechnungen 2'!AT65)</f>
        <v/>
      </c>
      <c r="AD62" s="199" t="str">
        <f>IF(ISERROR('Berechnungen 2'!BE65),"",'Berechnungen 2'!BE65)</f>
        <v/>
      </c>
      <c r="AE62" s="200" t="str">
        <f>IF(ISERROR('Berechnungen 2'!BF65),"",'Berechnungen 2'!BF65)</f>
        <v/>
      </c>
      <c r="AF62" s="200" t="str">
        <f>IF(ISERROR('Berechnungen 2'!BG65),"",'Berechnungen 2'!BG65)</f>
        <v/>
      </c>
      <c r="AG62" s="199" t="str">
        <f>IF(ISNUMBER(A62),IF(ISERROR('Berechnungen 2'!BK65),"",'Berechnungen 2'!BK65),"")</f>
        <v/>
      </c>
      <c r="AH62" s="200" t="str">
        <f>IF(ISERROR('Berechnungen 2'!BL65),"",'Berechnungen 2'!BL65)</f>
        <v/>
      </c>
      <c r="AI62" s="200" t="str">
        <f>IF(ISERROR('Berechnungen 2'!BM65),"",'Berechnungen 2'!BM65)</f>
        <v/>
      </c>
    </row>
    <row r="63" spans="1:35" x14ac:dyDescent="0.2">
      <c r="A63" s="71" t="str">
        <f t="shared" si="0"/>
        <v/>
      </c>
      <c r="B63" s="193">
        <f t="shared" si="13"/>
        <v>51</v>
      </c>
      <c r="C63" s="192">
        <f ca="1">IF(ISERROR(LARGE('Berechnungen 1'!$A$12:$A$311,B63)),"",LARGE('Berechnungen 1'!$A$12:$A$311,B63))</f>
        <v>250</v>
      </c>
      <c r="D63" s="76" t="str">
        <f t="shared" si="23"/>
        <v/>
      </c>
      <c r="E63" s="76" t="str">
        <f t="shared" si="23"/>
        <v/>
      </c>
      <c r="F63" s="155" t="str">
        <f t="shared" si="16"/>
        <v/>
      </c>
      <c r="G63" s="204" t="str">
        <f t="shared" si="17"/>
        <v/>
      </c>
      <c r="H63" s="156" t="str">
        <f t="shared" si="18"/>
        <v/>
      </c>
      <c r="I63" s="155" t="str">
        <f t="shared" si="19"/>
        <v/>
      </c>
      <c r="J63" s="184">
        <f t="shared" ca="1" si="20"/>
        <v>999999</v>
      </c>
      <c r="K63" s="184">
        <f>IF(OR(ISBLANK('Etape 1'!E58),ISBLANK('Etape 1'!F58)),IF(AND(ISBLANK('Etape 1'!B58),ISBLANK('Etape 1'!C58),ISBLANK('Etape 1'!D58),ISBLANK('Etape 1'!E58),ISBLANK('Etape 1'!F58),ISBLANK('Etape 1'!G58),ISBLANK('Etape 1'!H58)),999,9999),IF(VLOOKUP($C63,Matrix_Berechnungen1.Rang.Pumpendaten.Zwischenresultate,$C$9,0)&gt;0,VLOOKUP($C63,Matrix_Berechnungen1.Rang.Pumpendaten.Zwischenresultate,K$9,0),""))</f>
        <v>999</v>
      </c>
      <c r="L63" s="184">
        <f t="shared" ca="1" si="24"/>
        <v>51</v>
      </c>
      <c r="M63" s="184">
        <f t="shared" ca="1" si="24"/>
        <v>0</v>
      </c>
      <c r="N63" s="84"/>
      <c r="O63" s="84"/>
      <c r="P63" s="84"/>
      <c r="Q63" s="69" t="str">
        <f t="shared" si="21"/>
        <v/>
      </c>
      <c r="R63" s="84"/>
      <c r="S63" s="65" t="str">
        <f t="shared" si="10"/>
        <v/>
      </c>
      <c r="T63" s="69" t="str">
        <f t="shared" si="22"/>
        <v/>
      </c>
      <c r="U63" s="84"/>
      <c r="V63" s="65" t="str">
        <f t="shared" si="11"/>
        <v/>
      </c>
      <c r="W63" s="108"/>
      <c r="X63" s="108"/>
      <c r="Y63" s="108"/>
      <c r="Z63" s="110" t="str">
        <f t="shared" si="12"/>
        <v/>
      </c>
      <c r="AA63" s="199" t="str">
        <f>IF(ISERROR('Berechnungen 2'!AR66),"",'Berechnungen 2'!AR66)</f>
        <v/>
      </c>
      <c r="AB63" s="200" t="str">
        <f>IF(ISERROR('Berechnungen 2'!AS66),"",'Berechnungen 2'!AS66)</f>
        <v/>
      </c>
      <c r="AC63" s="200" t="str">
        <f>IF(ISERROR('Berechnungen 2'!AT66),"",'Berechnungen 2'!AT66)</f>
        <v/>
      </c>
      <c r="AD63" s="199" t="str">
        <f>IF(ISERROR('Berechnungen 2'!BE66),"",'Berechnungen 2'!BE66)</f>
        <v/>
      </c>
      <c r="AE63" s="200" t="str">
        <f>IF(ISERROR('Berechnungen 2'!BF66),"",'Berechnungen 2'!BF66)</f>
        <v/>
      </c>
      <c r="AF63" s="200" t="str">
        <f>IF(ISERROR('Berechnungen 2'!BG66),"",'Berechnungen 2'!BG66)</f>
        <v/>
      </c>
      <c r="AG63" s="199" t="str">
        <f>IF(ISNUMBER(A63),IF(ISERROR('Berechnungen 2'!BK66),"",'Berechnungen 2'!BK66),"")</f>
        <v/>
      </c>
      <c r="AH63" s="200" t="str">
        <f>IF(ISERROR('Berechnungen 2'!BL66),"",'Berechnungen 2'!BL66)</f>
        <v/>
      </c>
      <c r="AI63" s="200" t="str">
        <f>IF(ISERROR('Berechnungen 2'!BM66),"",'Berechnungen 2'!BM66)</f>
        <v/>
      </c>
    </row>
    <row r="64" spans="1:35" x14ac:dyDescent="0.2">
      <c r="A64" s="71" t="str">
        <f t="shared" si="0"/>
        <v/>
      </c>
      <c r="B64" s="193">
        <f t="shared" si="13"/>
        <v>52</v>
      </c>
      <c r="C64" s="192">
        <f ca="1">IF(ISERROR(LARGE('Berechnungen 1'!$A$12:$A$311,B64)),"",LARGE('Berechnungen 1'!$A$12:$A$311,B64))</f>
        <v>249</v>
      </c>
      <c r="D64" s="76" t="str">
        <f t="shared" si="23"/>
        <v/>
      </c>
      <c r="E64" s="76" t="str">
        <f t="shared" si="23"/>
        <v/>
      </c>
      <c r="F64" s="155" t="str">
        <f t="shared" si="16"/>
        <v/>
      </c>
      <c r="G64" s="204" t="str">
        <f t="shared" si="17"/>
        <v/>
      </c>
      <c r="H64" s="156" t="str">
        <f t="shared" si="18"/>
        <v/>
      </c>
      <c r="I64" s="155" t="str">
        <f t="shared" si="19"/>
        <v/>
      </c>
      <c r="J64" s="184">
        <f t="shared" ca="1" si="20"/>
        <v>999999</v>
      </c>
      <c r="K64" s="184">
        <f>IF(OR(ISBLANK('Etape 1'!E59),ISBLANK('Etape 1'!F59)),IF(AND(ISBLANK('Etape 1'!B59),ISBLANK('Etape 1'!C59),ISBLANK('Etape 1'!D59),ISBLANK('Etape 1'!E59),ISBLANK('Etape 1'!F59),ISBLANK('Etape 1'!G59),ISBLANK('Etape 1'!H59)),999,9999),IF(VLOOKUP($C64,Matrix_Berechnungen1.Rang.Pumpendaten.Zwischenresultate,$C$9,0)&gt;0,VLOOKUP($C64,Matrix_Berechnungen1.Rang.Pumpendaten.Zwischenresultate,K$9,0),""))</f>
        <v>999</v>
      </c>
      <c r="L64" s="184">
        <f t="shared" ca="1" si="24"/>
        <v>52</v>
      </c>
      <c r="M64" s="184">
        <f t="shared" ca="1" si="24"/>
        <v>0</v>
      </c>
      <c r="N64" s="84"/>
      <c r="O64" s="84"/>
      <c r="P64" s="84"/>
      <c r="Q64" s="69" t="str">
        <f t="shared" si="21"/>
        <v/>
      </c>
      <c r="R64" s="84"/>
      <c r="S64" s="65" t="str">
        <f t="shared" si="10"/>
        <v/>
      </c>
      <c r="T64" s="69" t="str">
        <f t="shared" si="22"/>
        <v/>
      </c>
      <c r="U64" s="84"/>
      <c r="V64" s="65" t="str">
        <f t="shared" si="11"/>
        <v/>
      </c>
      <c r="W64" s="108"/>
      <c r="X64" s="108"/>
      <c r="Y64" s="108"/>
      <c r="Z64" s="110" t="str">
        <f t="shared" si="12"/>
        <v/>
      </c>
      <c r="AA64" s="199" t="str">
        <f>IF(ISERROR('Berechnungen 2'!AR67),"",'Berechnungen 2'!AR67)</f>
        <v/>
      </c>
      <c r="AB64" s="200" t="str">
        <f>IF(ISERROR('Berechnungen 2'!AS67),"",'Berechnungen 2'!AS67)</f>
        <v/>
      </c>
      <c r="AC64" s="200" t="str">
        <f>IF(ISERROR('Berechnungen 2'!AT67),"",'Berechnungen 2'!AT67)</f>
        <v/>
      </c>
      <c r="AD64" s="199" t="str">
        <f>IF(ISERROR('Berechnungen 2'!BE67),"",'Berechnungen 2'!BE67)</f>
        <v/>
      </c>
      <c r="AE64" s="200" t="str">
        <f>IF(ISERROR('Berechnungen 2'!BF67),"",'Berechnungen 2'!BF67)</f>
        <v/>
      </c>
      <c r="AF64" s="200" t="str">
        <f>IF(ISERROR('Berechnungen 2'!BG67),"",'Berechnungen 2'!BG67)</f>
        <v/>
      </c>
      <c r="AG64" s="199" t="str">
        <f>IF(ISNUMBER(A64),IF(ISERROR('Berechnungen 2'!BK67),"",'Berechnungen 2'!BK67),"")</f>
        <v/>
      </c>
      <c r="AH64" s="200" t="str">
        <f>IF(ISERROR('Berechnungen 2'!BL67),"",'Berechnungen 2'!BL67)</f>
        <v/>
      </c>
      <c r="AI64" s="200" t="str">
        <f>IF(ISERROR('Berechnungen 2'!BM67),"",'Berechnungen 2'!BM67)</f>
        <v/>
      </c>
    </row>
    <row r="65" spans="1:35" x14ac:dyDescent="0.2">
      <c r="A65" s="71" t="str">
        <f t="shared" si="0"/>
        <v/>
      </c>
      <c r="B65" s="193">
        <f t="shared" si="13"/>
        <v>53</v>
      </c>
      <c r="C65" s="192">
        <f ca="1">IF(ISERROR(LARGE('Berechnungen 1'!$A$12:$A$311,B65)),"",LARGE('Berechnungen 1'!$A$12:$A$311,B65))</f>
        <v>248</v>
      </c>
      <c r="D65" s="76" t="str">
        <f t="shared" si="23"/>
        <v/>
      </c>
      <c r="E65" s="76" t="str">
        <f t="shared" si="23"/>
        <v/>
      </c>
      <c r="F65" s="155" t="str">
        <f t="shared" si="16"/>
        <v/>
      </c>
      <c r="G65" s="204" t="str">
        <f t="shared" si="17"/>
        <v/>
      </c>
      <c r="H65" s="156" t="str">
        <f t="shared" si="18"/>
        <v/>
      </c>
      <c r="I65" s="155" t="str">
        <f t="shared" si="19"/>
        <v/>
      </c>
      <c r="J65" s="184">
        <f t="shared" ca="1" si="20"/>
        <v>999999</v>
      </c>
      <c r="K65" s="184">
        <f>IF(OR(ISBLANK('Etape 1'!E60),ISBLANK('Etape 1'!F60)),IF(AND(ISBLANK('Etape 1'!B60),ISBLANK('Etape 1'!C60),ISBLANK('Etape 1'!D60),ISBLANK('Etape 1'!E60),ISBLANK('Etape 1'!F60),ISBLANK('Etape 1'!G60),ISBLANK('Etape 1'!H60)),999,9999),IF(VLOOKUP($C65,Matrix_Berechnungen1.Rang.Pumpendaten.Zwischenresultate,$C$9,0)&gt;0,VLOOKUP($C65,Matrix_Berechnungen1.Rang.Pumpendaten.Zwischenresultate,K$9,0),""))</f>
        <v>999</v>
      </c>
      <c r="L65" s="184">
        <f t="shared" ca="1" si="24"/>
        <v>53</v>
      </c>
      <c r="M65" s="184">
        <f t="shared" ca="1" si="24"/>
        <v>0</v>
      </c>
      <c r="N65" s="84"/>
      <c r="O65" s="84"/>
      <c r="P65" s="84"/>
      <c r="Q65" s="69" t="str">
        <f t="shared" si="21"/>
        <v/>
      </c>
      <c r="R65" s="84"/>
      <c r="S65" s="65" t="str">
        <f t="shared" si="10"/>
        <v/>
      </c>
      <c r="T65" s="69" t="str">
        <f t="shared" si="22"/>
        <v/>
      </c>
      <c r="U65" s="84"/>
      <c r="V65" s="65" t="str">
        <f t="shared" si="11"/>
        <v/>
      </c>
      <c r="W65" s="108"/>
      <c r="X65" s="108"/>
      <c r="Y65" s="108"/>
      <c r="Z65" s="110" t="str">
        <f t="shared" si="12"/>
        <v/>
      </c>
      <c r="AA65" s="199" t="str">
        <f>IF(ISERROR('Berechnungen 2'!AR68),"",'Berechnungen 2'!AR68)</f>
        <v/>
      </c>
      <c r="AB65" s="200" t="str">
        <f>IF(ISERROR('Berechnungen 2'!AS68),"",'Berechnungen 2'!AS68)</f>
        <v/>
      </c>
      <c r="AC65" s="200" t="str">
        <f>IF(ISERROR('Berechnungen 2'!AT68),"",'Berechnungen 2'!AT68)</f>
        <v/>
      </c>
      <c r="AD65" s="199" t="str">
        <f>IF(ISERROR('Berechnungen 2'!BE68),"",'Berechnungen 2'!BE68)</f>
        <v/>
      </c>
      <c r="AE65" s="200" t="str">
        <f>IF(ISERROR('Berechnungen 2'!BF68),"",'Berechnungen 2'!BF68)</f>
        <v/>
      </c>
      <c r="AF65" s="200" t="str">
        <f>IF(ISERROR('Berechnungen 2'!BG68),"",'Berechnungen 2'!BG68)</f>
        <v/>
      </c>
      <c r="AG65" s="199" t="str">
        <f>IF(ISNUMBER(A65),IF(ISERROR('Berechnungen 2'!BK68),"",'Berechnungen 2'!BK68),"")</f>
        <v/>
      </c>
      <c r="AH65" s="200" t="str">
        <f>IF(ISERROR('Berechnungen 2'!BL68),"",'Berechnungen 2'!BL68)</f>
        <v/>
      </c>
      <c r="AI65" s="200" t="str">
        <f>IF(ISERROR('Berechnungen 2'!BM68),"",'Berechnungen 2'!BM68)</f>
        <v/>
      </c>
    </row>
    <row r="66" spans="1:35" x14ac:dyDescent="0.2">
      <c r="A66" s="71" t="str">
        <f t="shared" si="0"/>
        <v/>
      </c>
      <c r="B66" s="193">
        <f t="shared" si="13"/>
        <v>54</v>
      </c>
      <c r="C66" s="192">
        <f ca="1">IF(ISERROR(LARGE('Berechnungen 1'!$A$12:$A$311,B66)),"",LARGE('Berechnungen 1'!$A$12:$A$311,B66))</f>
        <v>247</v>
      </c>
      <c r="D66" s="76" t="str">
        <f t="shared" si="23"/>
        <v/>
      </c>
      <c r="E66" s="76" t="str">
        <f t="shared" si="23"/>
        <v/>
      </c>
      <c r="F66" s="155" t="str">
        <f t="shared" si="16"/>
        <v/>
      </c>
      <c r="G66" s="204" t="str">
        <f t="shared" si="17"/>
        <v/>
      </c>
      <c r="H66" s="156" t="str">
        <f t="shared" si="18"/>
        <v/>
      </c>
      <c r="I66" s="155" t="str">
        <f t="shared" si="19"/>
        <v/>
      </c>
      <c r="J66" s="184">
        <f t="shared" ca="1" si="20"/>
        <v>999999</v>
      </c>
      <c r="K66" s="184">
        <f>IF(OR(ISBLANK('Etape 1'!E61),ISBLANK('Etape 1'!F61)),IF(AND(ISBLANK('Etape 1'!B61),ISBLANK('Etape 1'!C61),ISBLANK('Etape 1'!D61),ISBLANK('Etape 1'!E61),ISBLANK('Etape 1'!F61),ISBLANK('Etape 1'!G61),ISBLANK('Etape 1'!H61)),999,9999),IF(VLOOKUP($C66,Matrix_Berechnungen1.Rang.Pumpendaten.Zwischenresultate,$C$9,0)&gt;0,VLOOKUP($C66,Matrix_Berechnungen1.Rang.Pumpendaten.Zwischenresultate,K$9,0),""))</f>
        <v>999</v>
      </c>
      <c r="L66" s="184">
        <f t="shared" ca="1" si="24"/>
        <v>54</v>
      </c>
      <c r="M66" s="184">
        <f t="shared" ca="1" si="24"/>
        <v>0</v>
      </c>
      <c r="N66" s="84"/>
      <c r="O66" s="84"/>
      <c r="P66" s="84"/>
      <c r="Q66" s="69" t="str">
        <f t="shared" si="21"/>
        <v/>
      </c>
      <c r="R66" s="84"/>
      <c r="S66" s="65" t="str">
        <f t="shared" si="10"/>
        <v/>
      </c>
      <c r="T66" s="69" t="str">
        <f t="shared" si="22"/>
        <v/>
      </c>
      <c r="U66" s="84"/>
      <c r="V66" s="65" t="str">
        <f t="shared" si="11"/>
        <v/>
      </c>
      <c r="W66" s="108"/>
      <c r="X66" s="108"/>
      <c r="Y66" s="108"/>
      <c r="Z66" s="110" t="str">
        <f t="shared" si="12"/>
        <v/>
      </c>
      <c r="AA66" s="199" t="str">
        <f>IF(ISERROR('Berechnungen 2'!AR69),"",'Berechnungen 2'!AR69)</f>
        <v/>
      </c>
      <c r="AB66" s="200" t="str">
        <f>IF(ISERROR('Berechnungen 2'!AS69),"",'Berechnungen 2'!AS69)</f>
        <v/>
      </c>
      <c r="AC66" s="200" t="str">
        <f>IF(ISERROR('Berechnungen 2'!AT69),"",'Berechnungen 2'!AT69)</f>
        <v/>
      </c>
      <c r="AD66" s="199" t="str">
        <f>IF(ISERROR('Berechnungen 2'!BE69),"",'Berechnungen 2'!BE69)</f>
        <v/>
      </c>
      <c r="AE66" s="200" t="str">
        <f>IF(ISERROR('Berechnungen 2'!BF69),"",'Berechnungen 2'!BF69)</f>
        <v/>
      </c>
      <c r="AF66" s="200" t="str">
        <f>IF(ISERROR('Berechnungen 2'!BG69),"",'Berechnungen 2'!BG69)</f>
        <v/>
      </c>
      <c r="AG66" s="199" t="str">
        <f>IF(ISNUMBER(A66),IF(ISERROR('Berechnungen 2'!BK69),"",'Berechnungen 2'!BK69),"")</f>
        <v/>
      </c>
      <c r="AH66" s="200" t="str">
        <f>IF(ISERROR('Berechnungen 2'!BL69),"",'Berechnungen 2'!BL69)</f>
        <v/>
      </c>
      <c r="AI66" s="200" t="str">
        <f>IF(ISERROR('Berechnungen 2'!BM69),"",'Berechnungen 2'!BM69)</f>
        <v/>
      </c>
    </row>
    <row r="67" spans="1:35" x14ac:dyDescent="0.2">
      <c r="A67" s="71" t="str">
        <f t="shared" si="0"/>
        <v/>
      </c>
      <c r="B67" s="193">
        <f t="shared" si="13"/>
        <v>55</v>
      </c>
      <c r="C67" s="192">
        <f ca="1">IF(ISERROR(LARGE('Berechnungen 1'!$A$12:$A$311,B67)),"",LARGE('Berechnungen 1'!$A$12:$A$311,B67))</f>
        <v>246</v>
      </c>
      <c r="D67" s="76" t="str">
        <f t="shared" si="23"/>
        <v/>
      </c>
      <c r="E67" s="76" t="str">
        <f t="shared" si="23"/>
        <v/>
      </c>
      <c r="F67" s="155" t="str">
        <f t="shared" si="16"/>
        <v/>
      </c>
      <c r="G67" s="204" t="str">
        <f t="shared" si="17"/>
        <v/>
      </c>
      <c r="H67" s="156" t="str">
        <f t="shared" si="18"/>
        <v/>
      </c>
      <c r="I67" s="155" t="str">
        <f t="shared" si="19"/>
        <v/>
      </c>
      <c r="J67" s="184">
        <f t="shared" ca="1" si="20"/>
        <v>999999</v>
      </c>
      <c r="K67" s="184">
        <f>IF(OR(ISBLANK('Etape 1'!E62),ISBLANK('Etape 1'!F62)),IF(AND(ISBLANK('Etape 1'!B62),ISBLANK('Etape 1'!C62),ISBLANK('Etape 1'!D62),ISBLANK('Etape 1'!E62),ISBLANK('Etape 1'!F62),ISBLANK('Etape 1'!G62),ISBLANK('Etape 1'!H62)),999,9999),IF(VLOOKUP($C67,Matrix_Berechnungen1.Rang.Pumpendaten.Zwischenresultate,$C$9,0)&gt;0,VLOOKUP($C67,Matrix_Berechnungen1.Rang.Pumpendaten.Zwischenresultate,K$9,0),""))</f>
        <v>999</v>
      </c>
      <c r="L67" s="184">
        <f t="shared" ca="1" si="24"/>
        <v>55</v>
      </c>
      <c r="M67" s="184">
        <f t="shared" ca="1" si="24"/>
        <v>0</v>
      </c>
      <c r="N67" s="84"/>
      <c r="O67" s="84"/>
      <c r="P67" s="84"/>
      <c r="Q67" s="69" t="str">
        <f t="shared" si="21"/>
        <v/>
      </c>
      <c r="R67" s="84"/>
      <c r="S67" s="65" t="str">
        <f t="shared" si="10"/>
        <v/>
      </c>
      <c r="T67" s="69" t="str">
        <f t="shared" si="22"/>
        <v/>
      </c>
      <c r="U67" s="84"/>
      <c r="V67" s="65" t="str">
        <f t="shared" si="11"/>
        <v/>
      </c>
      <c r="W67" s="108"/>
      <c r="X67" s="108"/>
      <c r="Y67" s="108"/>
      <c r="Z67" s="110" t="str">
        <f t="shared" si="12"/>
        <v/>
      </c>
      <c r="AA67" s="199" t="str">
        <f>IF(ISERROR('Berechnungen 2'!AR70),"",'Berechnungen 2'!AR70)</f>
        <v/>
      </c>
      <c r="AB67" s="200" t="str">
        <f>IF(ISERROR('Berechnungen 2'!AS70),"",'Berechnungen 2'!AS70)</f>
        <v/>
      </c>
      <c r="AC67" s="200" t="str">
        <f>IF(ISERROR('Berechnungen 2'!AT70),"",'Berechnungen 2'!AT70)</f>
        <v/>
      </c>
      <c r="AD67" s="199" t="str">
        <f>IF(ISERROR('Berechnungen 2'!BE70),"",'Berechnungen 2'!BE70)</f>
        <v/>
      </c>
      <c r="AE67" s="200" t="str">
        <f>IF(ISERROR('Berechnungen 2'!BF70),"",'Berechnungen 2'!BF70)</f>
        <v/>
      </c>
      <c r="AF67" s="200" t="str">
        <f>IF(ISERROR('Berechnungen 2'!BG70),"",'Berechnungen 2'!BG70)</f>
        <v/>
      </c>
      <c r="AG67" s="199" t="str">
        <f>IF(ISNUMBER(A67),IF(ISERROR('Berechnungen 2'!BK70),"",'Berechnungen 2'!BK70),"")</f>
        <v/>
      </c>
      <c r="AH67" s="200" t="str">
        <f>IF(ISERROR('Berechnungen 2'!BL70),"",'Berechnungen 2'!BL70)</f>
        <v/>
      </c>
      <c r="AI67" s="200" t="str">
        <f>IF(ISERROR('Berechnungen 2'!BM70),"",'Berechnungen 2'!BM70)</f>
        <v/>
      </c>
    </row>
    <row r="68" spans="1:35" x14ac:dyDescent="0.2">
      <c r="A68" s="71" t="str">
        <f t="shared" si="0"/>
        <v/>
      </c>
      <c r="B68" s="193">
        <f t="shared" si="13"/>
        <v>56</v>
      </c>
      <c r="C68" s="192">
        <f ca="1">IF(ISERROR(LARGE('Berechnungen 1'!$A$12:$A$311,B68)),"",LARGE('Berechnungen 1'!$A$12:$A$311,B68))</f>
        <v>245</v>
      </c>
      <c r="D68" s="76" t="str">
        <f t="shared" si="23"/>
        <v/>
      </c>
      <c r="E68" s="76" t="str">
        <f t="shared" si="23"/>
        <v/>
      </c>
      <c r="F68" s="155" t="str">
        <f t="shared" si="16"/>
        <v/>
      </c>
      <c r="G68" s="204" t="str">
        <f t="shared" si="17"/>
        <v/>
      </c>
      <c r="H68" s="156" t="str">
        <f t="shared" si="18"/>
        <v/>
      </c>
      <c r="I68" s="155" t="str">
        <f t="shared" si="19"/>
        <v/>
      </c>
      <c r="J68" s="184">
        <f t="shared" ca="1" si="20"/>
        <v>999999</v>
      </c>
      <c r="K68" s="184">
        <f>IF(OR(ISBLANK('Etape 1'!E63),ISBLANK('Etape 1'!F63)),IF(AND(ISBLANK('Etape 1'!B63),ISBLANK('Etape 1'!C63),ISBLANK('Etape 1'!D63),ISBLANK('Etape 1'!E63),ISBLANK('Etape 1'!F63),ISBLANK('Etape 1'!G63),ISBLANK('Etape 1'!H63)),999,9999),IF(VLOOKUP($C68,Matrix_Berechnungen1.Rang.Pumpendaten.Zwischenresultate,$C$9,0)&gt;0,VLOOKUP($C68,Matrix_Berechnungen1.Rang.Pumpendaten.Zwischenresultate,K$9,0),""))</f>
        <v>999</v>
      </c>
      <c r="L68" s="184">
        <f t="shared" ca="1" si="24"/>
        <v>56</v>
      </c>
      <c r="M68" s="184">
        <f t="shared" ca="1" si="24"/>
        <v>0</v>
      </c>
      <c r="N68" s="84"/>
      <c r="O68" s="84"/>
      <c r="P68" s="84"/>
      <c r="Q68" s="69" t="str">
        <f t="shared" si="21"/>
        <v/>
      </c>
      <c r="R68" s="84"/>
      <c r="S68" s="65" t="str">
        <f t="shared" si="10"/>
        <v/>
      </c>
      <c r="T68" s="69" t="str">
        <f t="shared" si="22"/>
        <v/>
      </c>
      <c r="U68" s="84"/>
      <c r="V68" s="65" t="str">
        <f t="shared" si="11"/>
        <v/>
      </c>
      <c r="W68" s="108"/>
      <c r="X68" s="108"/>
      <c r="Y68" s="108"/>
      <c r="Z68" s="110" t="str">
        <f t="shared" si="12"/>
        <v/>
      </c>
      <c r="AA68" s="199" t="str">
        <f>IF(ISERROR('Berechnungen 2'!AR71),"",'Berechnungen 2'!AR71)</f>
        <v/>
      </c>
      <c r="AB68" s="200" t="str">
        <f>IF(ISERROR('Berechnungen 2'!AS71),"",'Berechnungen 2'!AS71)</f>
        <v/>
      </c>
      <c r="AC68" s="200" t="str">
        <f>IF(ISERROR('Berechnungen 2'!AT71),"",'Berechnungen 2'!AT71)</f>
        <v/>
      </c>
      <c r="AD68" s="199" t="str">
        <f>IF(ISERROR('Berechnungen 2'!BE71),"",'Berechnungen 2'!BE71)</f>
        <v/>
      </c>
      <c r="AE68" s="200" t="str">
        <f>IF(ISERROR('Berechnungen 2'!BF71),"",'Berechnungen 2'!BF71)</f>
        <v/>
      </c>
      <c r="AF68" s="200" t="str">
        <f>IF(ISERROR('Berechnungen 2'!BG71),"",'Berechnungen 2'!BG71)</f>
        <v/>
      </c>
      <c r="AG68" s="199" t="str">
        <f>IF(ISNUMBER(A68),IF(ISERROR('Berechnungen 2'!BK71),"",'Berechnungen 2'!BK71),"")</f>
        <v/>
      </c>
      <c r="AH68" s="200" t="str">
        <f>IF(ISERROR('Berechnungen 2'!BL71),"",'Berechnungen 2'!BL71)</f>
        <v/>
      </c>
      <c r="AI68" s="200" t="str">
        <f>IF(ISERROR('Berechnungen 2'!BM71),"",'Berechnungen 2'!BM71)</f>
        <v/>
      </c>
    </row>
    <row r="69" spans="1:35" x14ac:dyDescent="0.2">
      <c r="A69" s="71" t="str">
        <f t="shared" si="0"/>
        <v/>
      </c>
      <c r="B69" s="193">
        <f t="shared" si="13"/>
        <v>57</v>
      </c>
      <c r="C69" s="192">
        <f ca="1">IF(ISERROR(LARGE('Berechnungen 1'!$A$12:$A$311,B69)),"",LARGE('Berechnungen 1'!$A$12:$A$311,B69))</f>
        <v>244</v>
      </c>
      <c r="D69" s="76" t="str">
        <f t="shared" si="23"/>
        <v/>
      </c>
      <c r="E69" s="76" t="str">
        <f t="shared" si="23"/>
        <v/>
      </c>
      <c r="F69" s="155" t="str">
        <f t="shared" si="16"/>
        <v/>
      </c>
      <c r="G69" s="204" t="str">
        <f t="shared" si="17"/>
        <v/>
      </c>
      <c r="H69" s="156" t="str">
        <f t="shared" si="18"/>
        <v/>
      </c>
      <c r="I69" s="155" t="str">
        <f t="shared" si="19"/>
        <v/>
      </c>
      <c r="J69" s="184">
        <f t="shared" ca="1" si="20"/>
        <v>999999</v>
      </c>
      <c r="K69" s="184">
        <f>IF(OR(ISBLANK('Etape 1'!E64),ISBLANK('Etape 1'!F64)),IF(AND(ISBLANK('Etape 1'!B64),ISBLANK('Etape 1'!C64),ISBLANK('Etape 1'!D64),ISBLANK('Etape 1'!E64),ISBLANK('Etape 1'!F64),ISBLANK('Etape 1'!G64),ISBLANK('Etape 1'!H64)),999,9999),IF(VLOOKUP($C69,Matrix_Berechnungen1.Rang.Pumpendaten.Zwischenresultate,$C$9,0)&gt;0,VLOOKUP($C69,Matrix_Berechnungen1.Rang.Pumpendaten.Zwischenresultate,K$9,0),""))</f>
        <v>999</v>
      </c>
      <c r="L69" s="184">
        <f t="shared" ca="1" si="24"/>
        <v>57</v>
      </c>
      <c r="M69" s="184">
        <f t="shared" ca="1" si="24"/>
        <v>0</v>
      </c>
      <c r="N69" s="84"/>
      <c r="O69" s="84"/>
      <c r="P69" s="84"/>
      <c r="Q69" s="69" t="str">
        <f t="shared" si="21"/>
        <v/>
      </c>
      <c r="R69" s="84"/>
      <c r="S69" s="65" t="str">
        <f t="shared" si="10"/>
        <v/>
      </c>
      <c r="T69" s="69" t="str">
        <f t="shared" si="22"/>
        <v/>
      </c>
      <c r="U69" s="84"/>
      <c r="V69" s="65" t="str">
        <f t="shared" si="11"/>
        <v/>
      </c>
      <c r="W69" s="108"/>
      <c r="X69" s="108"/>
      <c r="Y69" s="108"/>
      <c r="Z69" s="110" t="str">
        <f t="shared" si="12"/>
        <v/>
      </c>
      <c r="AA69" s="199" t="str">
        <f>IF(ISERROR('Berechnungen 2'!AR72),"",'Berechnungen 2'!AR72)</f>
        <v/>
      </c>
      <c r="AB69" s="200" t="str">
        <f>IF(ISERROR('Berechnungen 2'!AS72),"",'Berechnungen 2'!AS72)</f>
        <v/>
      </c>
      <c r="AC69" s="200" t="str">
        <f>IF(ISERROR('Berechnungen 2'!AT72),"",'Berechnungen 2'!AT72)</f>
        <v/>
      </c>
      <c r="AD69" s="199" t="str">
        <f>IF(ISERROR('Berechnungen 2'!BE72),"",'Berechnungen 2'!BE72)</f>
        <v/>
      </c>
      <c r="AE69" s="200" t="str">
        <f>IF(ISERROR('Berechnungen 2'!BF72),"",'Berechnungen 2'!BF72)</f>
        <v/>
      </c>
      <c r="AF69" s="200" t="str">
        <f>IF(ISERROR('Berechnungen 2'!BG72),"",'Berechnungen 2'!BG72)</f>
        <v/>
      </c>
      <c r="AG69" s="199" t="str">
        <f>IF(ISNUMBER(A69),IF(ISERROR('Berechnungen 2'!BK72),"",'Berechnungen 2'!BK72),"")</f>
        <v/>
      </c>
      <c r="AH69" s="200" t="str">
        <f>IF(ISERROR('Berechnungen 2'!BL72),"",'Berechnungen 2'!BL72)</f>
        <v/>
      </c>
      <c r="AI69" s="200" t="str">
        <f>IF(ISERROR('Berechnungen 2'!BM72),"",'Berechnungen 2'!BM72)</f>
        <v/>
      </c>
    </row>
    <row r="70" spans="1:35" x14ac:dyDescent="0.2">
      <c r="A70" s="71" t="str">
        <f t="shared" si="0"/>
        <v/>
      </c>
      <c r="B70" s="193">
        <f t="shared" si="13"/>
        <v>58</v>
      </c>
      <c r="C70" s="192">
        <f ca="1">IF(ISERROR(LARGE('Berechnungen 1'!$A$12:$A$311,B70)),"",LARGE('Berechnungen 1'!$A$12:$A$311,B70))</f>
        <v>243</v>
      </c>
      <c r="D70" s="76" t="str">
        <f t="shared" si="23"/>
        <v/>
      </c>
      <c r="E70" s="76" t="str">
        <f t="shared" si="23"/>
        <v/>
      </c>
      <c r="F70" s="155" t="str">
        <f t="shared" si="16"/>
        <v/>
      </c>
      <c r="G70" s="204" t="str">
        <f t="shared" si="17"/>
        <v/>
      </c>
      <c r="H70" s="156" t="str">
        <f t="shared" si="18"/>
        <v/>
      </c>
      <c r="I70" s="155" t="str">
        <f t="shared" si="19"/>
        <v/>
      </c>
      <c r="J70" s="184">
        <f t="shared" ca="1" si="20"/>
        <v>999999</v>
      </c>
      <c r="K70" s="184">
        <f>IF(OR(ISBLANK('Etape 1'!E65),ISBLANK('Etape 1'!F65)),IF(AND(ISBLANK('Etape 1'!B65),ISBLANK('Etape 1'!C65),ISBLANK('Etape 1'!D65),ISBLANK('Etape 1'!E65),ISBLANK('Etape 1'!F65),ISBLANK('Etape 1'!G65),ISBLANK('Etape 1'!H65)),999,9999),IF(VLOOKUP($C70,Matrix_Berechnungen1.Rang.Pumpendaten.Zwischenresultate,$C$9,0)&gt;0,VLOOKUP($C70,Matrix_Berechnungen1.Rang.Pumpendaten.Zwischenresultate,K$9,0),""))</f>
        <v>999</v>
      </c>
      <c r="L70" s="184">
        <f t="shared" ca="1" si="24"/>
        <v>58</v>
      </c>
      <c r="M70" s="184">
        <f t="shared" ca="1" si="24"/>
        <v>0</v>
      </c>
      <c r="N70" s="84"/>
      <c r="O70" s="84"/>
      <c r="P70" s="84"/>
      <c r="Q70" s="69" t="str">
        <f t="shared" si="21"/>
        <v/>
      </c>
      <c r="R70" s="84"/>
      <c r="S70" s="65" t="str">
        <f t="shared" si="10"/>
        <v/>
      </c>
      <c r="T70" s="69" t="str">
        <f t="shared" si="22"/>
        <v/>
      </c>
      <c r="U70" s="84"/>
      <c r="V70" s="65" t="str">
        <f t="shared" si="11"/>
        <v/>
      </c>
      <c r="W70" s="108"/>
      <c r="X70" s="108"/>
      <c r="Y70" s="108"/>
      <c r="Z70" s="110" t="str">
        <f t="shared" si="12"/>
        <v/>
      </c>
      <c r="AA70" s="199" t="str">
        <f>IF(ISERROR('Berechnungen 2'!AR73),"",'Berechnungen 2'!AR73)</f>
        <v/>
      </c>
      <c r="AB70" s="200" t="str">
        <f>IF(ISERROR('Berechnungen 2'!AS73),"",'Berechnungen 2'!AS73)</f>
        <v/>
      </c>
      <c r="AC70" s="200" t="str">
        <f>IF(ISERROR('Berechnungen 2'!AT73),"",'Berechnungen 2'!AT73)</f>
        <v/>
      </c>
      <c r="AD70" s="199" t="str">
        <f>IF(ISERROR('Berechnungen 2'!BE73),"",'Berechnungen 2'!BE73)</f>
        <v/>
      </c>
      <c r="AE70" s="200" t="str">
        <f>IF(ISERROR('Berechnungen 2'!BF73),"",'Berechnungen 2'!BF73)</f>
        <v/>
      </c>
      <c r="AF70" s="200" t="str">
        <f>IF(ISERROR('Berechnungen 2'!BG73),"",'Berechnungen 2'!BG73)</f>
        <v/>
      </c>
      <c r="AG70" s="199" t="str">
        <f>IF(ISNUMBER(A70),IF(ISERROR('Berechnungen 2'!BK73),"",'Berechnungen 2'!BK73),"")</f>
        <v/>
      </c>
      <c r="AH70" s="200" t="str">
        <f>IF(ISERROR('Berechnungen 2'!BL73),"",'Berechnungen 2'!BL73)</f>
        <v/>
      </c>
      <c r="AI70" s="200" t="str">
        <f>IF(ISERROR('Berechnungen 2'!BM73),"",'Berechnungen 2'!BM73)</f>
        <v/>
      </c>
    </row>
    <row r="71" spans="1:35" x14ac:dyDescent="0.2">
      <c r="A71" s="71" t="str">
        <f t="shared" si="0"/>
        <v/>
      </c>
      <c r="B71" s="193">
        <f t="shared" si="13"/>
        <v>59</v>
      </c>
      <c r="C71" s="192">
        <f ca="1">IF(ISERROR(LARGE('Berechnungen 1'!$A$12:$A$311,B71)),"",LARGE('Berechnungen 1'!$A$12:$A$311,B71))</f>
        <v>242</v>
      </c>
      <c r="D71" s="76" t="str">
        <f t="shared" si="23"/>
        <v/>
      </c>
      <c r="E71" s="76" t="str">
        <f t="shared" si="23"/>
        <v/>
      </c>
      <c r="F71" s="155" t="str">
        <f t="shared" si="16"/>
        <v/>
      </c>
      <c r="G71" s="204" t="str">
        <f t="shared" si="17"/>
        <v/>
      </c>
      <c r="H71" s="156" t="str">
        <f t="shared" si="18"/>
        <v/>
      </c>
      <c r="I71" s="155" t="str">
        <f t="shared" si="19"/>
        <v/>
      </c>
      <c r="J71" s="184">
        <f t="shared" ca="1" si="20"/>
        <v>999999</v>
      </c>
      <c r="K71" s="184">
        <f>IF(OR(ISBLANK('Etape 1'!E66),ISBLANK('Etape 1'!F66)),IF(AND(ISBLANK('Etape 1'!B66),ISBLANK('Etape 1'!C66),ISBLANK('Etape 1'!D66),ISBLANK('Etape 1'!E66),ISBLANK('Etape 1'!F66),ISBLANK('Etape 1'!G66),ISBLANK('Etape 1'!H66)),999,9999),IF(VLOOKUP($C71,Matrix_Berechnungen1.Rang.Pumpendaten.Zwischenresultate,$C$9,0)&gt;0,VLOOKUP($C71,Matrix_Berechnungen1.Rang.Pumpendaten.Zwischenresultate,K$9,0),""))</f>
        <v>999</v>
      </c>
      <c r="L71" s="184">
        <f t="shared" ca="1" si="24"/>
        <v>59</v>
      </c>
      <c r="M71" s="184">
        <f t="shared" ca="1" si="24"/>
        <v>0</v>
      </c>
      <c r="N71" s="84"/>
      <c r="O71" s="84"/>
      <c r="P71" s="84"/>
      <c r="Q71" s="69" t="str">
        <f t="shared" si="21"/>
        <v/>
      </c>
      <c r="R71" s="84"/>
      <c r="S71" s="65" t="str">
        <f t="shared" si="10"/>
        <v/>
      </c>
      <c r="T71" s="69" t="str">
        <f t="shared" si="22"/>
        <v/>
      </c>
      <c r="U71" s="84"/>
      <c r="V71" s="65" t="str">
        <f t="shared" si="11"/>
        <v/>
      </c>
      <c r="W71" s="108"/>
      <c r="X71" s="108"/>
      <c r="Y71" s="108"/>
      <c r="Z71" s="110" t="str">
        <f t="shared" si="12"/>
        <v/>
      </c>
      <c r="AA71" s="199" t="str">
        <f>IF(ISERROR('Berechnungen 2'!AR74),"",'Berechnungen 2'!AR74)</f>
        <v/>
      </c>
      <c r="AB71" s="200" t="str">
        <f>IF(ISERROR('Berechnungen 2'!AS74),"",'Berechnungen 2'!AS74)</f>
        <v/>
      </c>
      <c r="AC71" s="200" t="str">
        <f>IF(ISERROR('Berechnungen 2'!AT74),"",'Berechnungen 2'!AT74)</f>
        <v/>
      </c>
      <c r="AD71" s="199" t="str">
        <f>IF(ISERROR('Berechnungen 2'!BE74),"",'Berechnungen 2'!BE74)</f>
        <v/>
      </c>
      <c r="AE71" s="200" t="str">
        <f>IF(ISERROR('Berechnungen 2'!BF74),"",'Berechnungen 2'!BF74)</f>
        <v/>
      </c>
      <c r="AF71" s="200" t="str">
        <f>IF(ISERROR('Berechnungen 2'!BG74),"",'Berechnungen 2'!BG74)</f>
        <v/>
      </c>
      <c r="AG71" s="199" t="str">
        <f>IF(ISNUMBER(A71),IF(ISERROR('Berechnungen 2'!BK74),"",'Berechnungen 2'!BK74),"")</f>
        <v/>
      </c>
      <c r="AH71" s="200" t="str">
        <f>IF(ISERROR('Berechnungen 2'!BL74),"",'Berechnungen 2'!BL74)</f>
        <v/>
      </c>
      <c r="AI71" s="200" t="str">
        <f>IF(ISERROR('Berechnungen 2'!BM74),"",'Berechnungen 2'!BM74)</f>
        <v/>
      </c>
    </row>
    <row r="72" spans="1:35" x14ac:dyDescent="0.2">
      <c r="A72" s="71" t="str">
        <f t="shared" si="0"/>
        <v/>
      </c>
      <c r="B72" s="193">
        <f t="shared" si="13"/>
        <v>60</v>
      </c>
      <c r="C72" s="192">
        <f ca="1">IF(ISERROR(LARGE('Berechnungen 1'!$A$12:$A$311,B72)),"",LARGE('Berechnungen 1'!$A$12:$A$311,B72))</f>
        <v>241</v>
      </c>
      <c r="D72" s="76" t="str">
        <f t="shared" si="23"/>
        <v/>
      </c>
      <c r="E72" s="76" t="str">
        <f t="shared" si="23"/>
        <v/>
      </c>
      <c r="F72" s="155" t="str">
        <f t="shared" si="16"/>
        <v/>
      </c>
      <c r="G72" s="204" t="str">
        <f t="shared" si="17"/>
        <v/>
      </c>
      <c r="H72" s="156" t="str">
        <f t="shared" si="18"/>
        <v/>
      </c>
      <c r="I72" s="155" t="str">
        <f t="shared" si="19"/>
        <v/>
      </c>
      <c r="J72" s="184">
        <f t="shared" ca="1" si="20"/>
        <v>999999</v>
      </c>
      <c r="K72" s="184">
        <f>IF(OR(ISBLANK('Etape 1'!E67),ISBLANK('Etape 1'!F67)),IF(AND(ISBLANK('Etape 1'!B67),ISBLANK('Etape 1'!C67),ISBLANK('Etape 1'!D67),ISBLANK('Etape 1'!E67),ISBLANK('Etape 1'!F67),ISBLANK('Etape 1'!G67),ISBLANK('Etape 1'!H67)),999,9999),IF(VLOOKUP($C72,Matrix_Berechnungen1.Rang.Pumpendaten.Zwischenresultate,$C$9,0)&gt;0,VLOOKUP($C72,Matrix_Berechnungen1.Rang.Pumpendaten.Zwischenresultate,K$9,0),""))</f>
        <v>999</v>
      </c>
      <c r="L72" s="184">
        <f t="shared" ca="1" si="24"/>
        <v>60</v>
      </c>
      <c r="M72" s="184">
        <f t="shared" ca="1" si="24"/>
        <v>0</v>
      </c>
      <c r="N72" s="84"/>
      <c r="O72" s="84"/>
      <c r="P72" s="84"/>
      <c r="Q72" s="69" t="str">
        <f t="shared" si="21"/>
        <v/>
      </c>
      <c r="R72" s="84"/>
      <c r="S72" s="65" t="str">
        <f t="shared" si="10"/>
        <v/>
      </c>
      <c r="T72" s="69" t="str">
        <f t="shared" si="22"/>
        <v/>
      </c>
      <c r="U72" s="84"/>
      <c r="V72" s="65" t="str">
        <f t="shared" si="11"/>
        <v/>
      </c>
      <c r="W72" s="108"/>
      <c r="X72" s="108"/>
      <c r="Y72" s="108"/>
      <c r="Z72" s="110" t="str">
        <f t="shared" si="12"/>
        <v/>
      </c>
      <c r="AA72" s="199" t="str">
        <f>IF(ISERROR('Berechnungen 2'!AR75),"",'Berechnungen 2'!AR75)</f>
        <v/>
      </c>
      <c r="AB72" s="200" t="str">
        <f>IF(ISERROR('Berechnungen 2'!AS75),"",'Berechnungen 2'!AS75)</f>
        <v/>
      </c>
      <c r="AC72" s="200" t="str">
        <f>IF(ISERROR('Berechnungen 2'!AT75),"",'Berechnungen 2'!AT75)</f>
        <v/>
      </c>
      <c r="AD72" s="199" t="str">
        <f>IF(ISERROR('Berechnungen 2'!BE75),"",'Berechnungen 2'!BE75)</f>
        <v/>
      </c>
      <c r="AE72" s="200" t="str">
        <f>IF(ISERROR('Berechnungen 2'!BF75),"",'Berechnungen 2'!BF75)</f>
        <v/>
      </c>
      <c r="AF72" s="200" t="str">
        <f>IF(ISERROR('Berechnungen 2'!BG75),"",'Berechnungen 2'!BG75)</f>
        <v/>
      </c>
      <c r="AG72" s="199" t="str">
        <f>IF(ISNUMBER(A72),IF(ISERROR('Berechnungen 2'!BK75),"",'Berechnungen 2'!BK75),"")</f>
        <v/>
      </c>
      <c r="AH72" s="200" t="str">
        <f>IF(ISERROR('Berechnungen 2'!BL75),"",'Berechnungen 2'!BL75)</f>
        <v/>
      </c>
      <c r="AI72" s="200" t="str">
        <f>IF(ISERROR('Berechnungen 2'!BM75),"",'Berechnungen 2'!BM75)</f>
        <v/>
      </c>
    </row>
    <row r="73" spans="1:35" x14ac:dyDescent="0.2">
      <c r="A73" s="71" t="str">
        <f t="shared" si="0"/>
        <v/>
      </c>
      <c r="B73" s="193">
        <f t="shared" si="13"/>
        <v>61</v>
      </c>
      <c r="C73" s="192">
        <f ca="1">IF(ISERROR(LARGE('Berechnungen 1'!$A$12:$A$311,B73)),"",LARGE('Berechnungen 1'!$A$12:$A$311,B73))</f>
        <v>240</v>
      </c>
      <c r="D73" s="76" t="str">
        <f t="shared" ref="D73:E92" si="25">IF(ISNUMBER($A73),IF(VLOOKUP($C73,Matrix_Berechnungen1.Rang.Pumpendaten.Zwischenresultate,$C$9,0)&gt;0,IF(VLOOKUP($C73,Matrix_Berechnungen1.Rang.Pumpendaten.Zwischenresultate,D$9,0)=0,"",VLOOKUP($C73,Matrix_Berechnungen1.Rang.Pumpendaten.Zwischenresultate,D$9,0)),""),"")</f>
        <v/>
      </c>
      <c r="E73" s="76" t="str">
        <f t="shared" si="25"/>
        <v/>
      </c>
      <c r="F73" s="155" t="str">
        <f t="shared" si="16"/>
        <v/>
      </c>
      <c r="G73" s="204" t="str">
        <f t="shared" si="17"/>
        <v/>
      </c>
      <c r="H73" s="156" t="str">
        <f t="shared" si="18"/>
        <v/>
      </c>
      <c r="I73" s="155" t="str">
        <f t="shared" si="19"/>
        <v/>
      </c>
      <c r="J73" s="184">
        <f t="shared" ca="1" si="20"/>
        <v>999999</v>
      </c>
      <c r="K73" s="184">
        <f>IF(OR(ISBLANK('Etape 1'!E68),ISBLANK('Etape 1'!F68)),IF(AND(ISBLANK('Etape 1'!B68),ISBLANK('Etape 1'!C68),ISBLANK('Etape 1'!D68),ISBLANK('Etape 1'!E68),ISBLANK('Etape 1'!F68),ISBLANK('Etape 1'!G68),ISBLANK('Etape 1'!H68)),999,9999),IF(VLOOKUP($C73,Matrix_Berechnungen1.Rang.Pumpendaten.Zwischenresultate,$C$9,0)&gt;0,VLOOKUP($C73,Matrix_Berechnungen1.Rang.Pumpendaten.Zwischenresultate,K$9,0),""))</f>
        <v>999</v>
      </c>
      <c r="L73" s="184">
        <f t="shared" ref="L73:M92" ca="1" si="26">IF(VLOOKUP($C73,Matrix_Berechnungen1.Rang.Pumpendaten.Zwischenresultate,$C$9,0)&gt;0,VLOOKUP($C73,Matrix_Berechnungen1.Rang.Pumpendaten.Zwischenresultate,L$9,0),"")</f>
        <v>61</v>
      </c>
      <c r="M73" s="184">
        <f t="shared" ca="1" si="26"/>
        <v>0</v>
      </c>
      <c r="N73" s="84"/>
      <c r="O73" s="84"/>
      <c r="P73" s="84"/>
      <c r="Q73" s="69" t="str">
        <f t="shared" si="21"/>
        <v/>
      </c>
      <c r="R73" s="84"/>
      <c r="S73" s="65" t="str">
        <f t="shared" si="10"/>
        <v/>
      </c>
      <c r="T73" s="69" t="str">
        <f t="shared" si="22"/>
        <v/>
      </c>
      <c r="U73" s="84"/>
      <c r="V73" s="65" t="str">
        <f t="shared" si="11"/>
        <v/>
      </c>
      <c r="W73" s="108"/>
      <c r="X73" s="108"/>
      <c r="Y73" s="108"/>
      <c r="Z73" s="110" t="str">
        <f t="shared" si="12"/>
        <v/>
      </c>
      <c r="AA73" s="199" t="str">
        <f>IF(ISERROR('Berechnungen 2'!AR76),"",'Berechnungen 2'!AR76)</f>
        <v/>
      </c>
      <c r="AB73" s="200" t="str">
        <f>IF(ISERROR('Berechnungen 2'!AS76),"",'Berechnungen 2'!AS76)</f>
        <v/>
      </c>
      <c r="AC73" s="200" t="str">
        <f>IF(ISERROR('Berechnungen 2'!AT76),"",'Berechnungen 2'!AT76)</f>
        <v/>
      </c>
      <c r="AD73" s="199" t="str">
        <f>IF(ISERROR('Berechnungen 2'!BE76),"",'Berechnungen 2'!BE76)</f>
        <v/>
      </c>
      <c r="AE73" s="200" t="str">
        <f>IF(ISERROR('Berechnungen 2'!BF76),"",'Berechnungen 2'!BF76)</f>
        <v/>
      </c>
      <c r="AF73" s="200" t="str">
        <f>IF(ISERROR('Berechnungen 2'!BG76),"",'Berechnungen 2'!BG76)</f>
        <v/>
      </c>
      <c r="AG73" s="199" t="str">
        <f>IF(ISNUMBER(A73),IF(ISERROR('Berechnungen 2'!BK76),"",'Berechnungen 2'!BK76),"")</f>
        <v/>
      </c>
      <c r="AH73" s="200" t="str">
        <f>IF(ISERROR('Berechnungen 2'!BL76),"",'Berechnungen 2'!BL76)</f>
        <v/>
      </c>
      <c r="AI73" s="200" t="str">
        <f>IF(ISERROR('Berechnungen 2'!BM76),"",'Berechnungen 2'!BM76)</f>
        <v/>
      </c>
    </row>
    <row r="74" spans="1:35" x14ac:dyDescent="0.2">
      <c r="A74" s="71" t="str">
        <f t="shared" si="0"/>
        <v/>
      </c>
      <c r="B74" s="193">
        <f t="shared" si="13"/>
        <v>62</v>
      </c>
      <c r="C74" s="192">
        <f ca="1">IF(ISERROR(LARGE('Berechnungen 1'!$A$12:$A$311,B74)),"",LARGE('Berechnungen 1'!$A$12:$A$311,B74))</f>
        <v>239</v>
      </c>
      <c r="D74" s="76" t="str">
        <f t="shared" si="25"/>
        <v/>
      </c>
      <c r="E74" s="76" t="str">
        <f t="shared" si="25"/>
        <v/>
      </c>
      <c r="F74" s="155" t="str">
        <f t="shared" si="16"/>
        <v/>
      </c>
      <c r="G74" s="204" t="str">
        <f t="shared" si="17"/>
        <v/>
      </c>
      <c r="H74" s="156" t="str">
        <f t="shared" si="18"/>
        <v/>
      </c>
      <c r="I74" s="155" t="str">
        <f t="shared" si="19"/>
        <v/>
      </c>
      <c r="J74" s="184">
        <f t="shared" ca="1" si="20"/>
        <v>999999</v>
      </c>
      <c r="K74" s="184">
        <f>IF(OR(ISBLANK('Etape 1'!E69),ISBLANK('Etape 1'!F69)),IF(AND(ISBLANK('Etape 1'!B69),ISBLANK('Etape 1'!C69),ISBLANK('Etape 1'!D69),ISBLANK('Etape 1'!E69),ISBLANK('Etape 1'!F69),ISBLANK('Etape 1'!G69),ISBLANK('Etape 1'!H69)),999,9999),IF(VLOOKUP($C74,Matrix_Berechnungen1.Rang.Pumpendaten.Zwischenresultate,$C$9,0)&gt;0,VLOOKUP($C74,Matrix_Berechnungen1.Rang.Pumpendaten.Zwischenresultate,K$9,0),""))</f>
        <v>999</v>
      </c>
      <c r="L74" s="184">
        <f t="shared" ca="1" si="26"/>
        <v>62</v>
      </c>
      <c r="M74" s="184">
        <f t="shared" ca="1" si="26"/>
        <v>0</v>
      </c>
      <c r="N74" s="84"/>
      <c r="O74" s="84"/>
      <c r="P74" s="84"/>
      <c r="Q74" s="69" t="str">
        <f t="shared" si="21"/>
        <v/>
      </c>
      <c r="R74" s="84"/>
      <c r="S74" s="65" t="str">
        <f t="shared" si="10"/>
        <v/>
      </c>
      <c r="T74" s="69" t="str">
        <f t="shared" si="22"/>
        <v/>
      </c>
      <c r="U74" s="84"/>
      <c r="V74" s="65" t="str">
        <f t="shared" si="11"/>
        <v/>
      </c>
      <c r="W74" s="108"/>
      <c r="X74" s="108"/>
      <c r="Y74" s="108"/>
      <c r="Z74" s="110" t="str">
        <f t="shared" si="12"/>
        <v/>
      </c>
      <c r="AA74" s="199" t="str">
        <f>IF(ISERROR('Berechnungen 2'!AR77),"",'Berechnungen 2'!AR77)</f>
        <v/>
      </c>
      <c r="AB74" s="200" t="str">
        <f>IF(ISERROR('Berechnungen 2'!AS77),"",'Berechnungen 2'!AS77)</f>
        <v/>
      </c>
      <c r="AC74" s="200" t="str">
        <f>IF(ISERROR('Berechnungen 2'!AT77),"",'Berechnungen 2'!AT77)</f>
        <v/>
      </c>
      <c r="AD74" s="199" t="str">
        <f>IF(ISERROR('Berechnungen 2'!BE77),"",'Berechnungen 2'!BE77)</f>
        <v/>
      </c>
      <c r="AE74" s="200" t="str">
        <f>IF(ISERROR('Berechnungen 2'!BF77),"",'Berechnungen 2'!BF77)</f>
        <v/>
      </c>
      <c r="AF74" s="200" t="str">
        <f>IF(ISERROR('Berechnungen 2'!BG77),"",'Berechnungen 2'!BG77)</f>
        <v/>
      </c>
      <c r="AG74" s="199" t="str">
        <f>IF(ISNUMBER(A74),IF(ISERROR('Berechnungen 2'!BK77),"",'Berechnungen 2'!BK77),"")</f>
        <v/>
      </c>
      <c r="AH74" s="200" t="str">
        <f>IF(ISERROR('Berechnungen 2'!BL77),"",'Berechnungen 2'!BL77)</f>
        <v/>
      </c>
      <c r="AI74" s="200" t="str">
        <f>IF(ISERROR('Berechnungen 2'!BM77),"",'Berechnungen 2'!BM77)</f>
        <v/>
      </c>
    </row>
    <row r="75" spans="1:35" x14ac:dyDescent="0.2">
      <c r="A75" s="71" t="str">
        <f t="shared" si="0"/>
        <v/>
      </c>
      <c r="B75" s="193">
        <f t="shared" si="13"/>
        <v>63</v>
      </c>
      <c r="C75" s="192">
        <f ca="1">IF(ISERROR(LARGE('Berechnungen 1'!$A$12:$A$311,B75)),"",LARGE('Berechnungen 1'!$A$12:$A$311,B75))</f>
        <v>238</v>
      </c>
      <c r="D75" s="76" t="str">
        <f t="shared" si="25"/>
        <v/>
      </c>
      <c r="E75" s="76" t="str">
        <f t="shared" si="25"/>
        <v/>
      </c>
      <c r="F75" s="155" t="str">
        <f t="shared" si="16"/>
        <v/>
      </c>
      <c r="G75" s="204" t="str">
        <f t="shared" si="17"/>
        <v/>
      </c>
      <c r="H75" s="156" t="str">
        <f t="shared" si="18"/>
        <v/>
      </c>
      <c r="I75" s="155" t="str">
        <f t="shared" si="19"/>
        <v/>
      </c>
      <c r="J75" s="184">
        <f t="shared" ca="1" si="20"/>
        <v>999999</v>
      </c>
      <c r="K75" s="184">
        <f>IF(OR(ISBLANK('Etape 1'!E70),ISBLANK('Etape 1'!F70)),IF(AND(ISBLANK('Etape 1'!B70),ISBLANK('Etape 1'!C70),ISBLANK('Etape 1'!D70),ISBLANK('Etape 1'!E70),ISBLANK('Etape 1'!F70),ISBLANK('Etape 1'!G70),ISBLANK('Etape 1'!H70)),999,9999),IF(VLOOKUP($C75,Matrix_Berechnungen1.Rang.Pumpendaten.Zwischenresultate,$C$9,0)&gt;0,VLOOKUP($C75,Matrix_Berechnungen1.Rang.Pumpendaten.Zwischenresultate,K$9,0),""))</f>
        <v>999</v>
      </c>
      <c r="L75" s="184">
        <f t="shared" ca="1" si="26"/>
        <v>63</v>
      </c>
      <c r="M75" s="184">
        <f t="shared" ca="1" si="26"/>
        <v>0</v>
      </c>
      <c r="N75" s="84"/>
      <c r="O75" s="84"/>
      <c r="P75" s="84"/>
      <c r="Q75" s="69" t="str">
        <f t="shared" si="21"/>
        <v/>
      </c>
      <c r="R75" s="84"/>
      <c r="S75" s="65" t="str">
        <f t="shared" si="10"/>
        <v/>
      </c>
      <c r="T75" s="69" t="str">
        <f t="shared" si="22"/>
        <v/>
      </c>
      <c r="U75" s="84"/>
      <c r="V75" s="65" t="str">
        <f t="shared" si="11"/>
        <v/>
      </c>
      <c r="W75" s="108"/>
      <c r="X75" s="108"/>
      <c r="Y75" s="108"/>
      <c r="Z75" s="110" t="str">
        <f t="shared" si="12"/>
        <v/>
      </c>
      <c r="AA75" s="199" t="str">
        <f>IF(ISERROR('Berechnungen 2'!AR78),"",'Berechnungen 2'!AR78)</f>
        <v/>
      </c>
      <c r="AB75" s="200" t="str">
        <f>IF(ISERROR('Berechnungen 2'!AS78),"",'Berechnungen 2'!AS78)</f>
        <v/>
      </c>
      <c r="AC75" s="200" t="str">
        <f>IF(ISERROR('Berechnungen 2'!AT78),"",'Berechnungen 2'!AT78)</f>
        <v/>
      </c>
      <c r="AD75" s="199" t="str">
        <f>IF(ISERROR('Berechnungen 2'!BE78),"",'Berechnungen 2'!BE78)</f>
        <v/>
      </c>
      <c r="AE75" s="200" t="str">
        <f>IF(ISERROR('Berechnungen 2'!BF78),"",'Berechnungen 2'!BF78)</f>
        <v/>
      </c>
      <c r="AF75" s="200" t="str">
        <f>IF(ISERROR('Berechnungen 2'!BG78),"",'Berechnungen 2'!BG78)</f>
        <v/>
      </c>
      <c r="AG75" s="199" t="str">
        <f>IF(ISNUMBER(A75),IF(ISERROR('Berechnungen 2'!BK78),"",'Berechnungen 2'!BK78),"")</f>
        <v/>
      </c>
      <c r="AH75" s="200" t="str">
        <f>IF(ISERROR('Berechnungen 2'!BL78),"",'Berechnungen 2'!BL78)</f>
        <v/>
      </c>
      <c r="AI75" s="200" t="str">
        <f>IF(ISERROR('Berechnungen 2'!BM78),"",'Berechnungen 2'!BM78)</f>
        <v/>
      </c>
    </row>
    <row r="76" spans="1:35" x14ac:dyDescent="0.2">
      <c r="A76" s="71" t="str">
        <f t="shared" si="0"/>
        <v/>
      </c>
      <c r="B76" s="193">
        <f t="shared" si="13"/>
        <v>64</v>
      </c>
      <c r="C76" s="192">
        <f ca="1">IF(ISERROR(LARGE('Berechnungen 1'!$A$12:$A$311,B76)),"",LARGE('Berechnungen 1'!$A$12:$A$311,B76))</f>
        <v>237</v>
      </c>
      <c r="D76" s="76" t="str">
        <f t="shared" si="25"/>
        <v/>
      </c>
      <c r="E76" s="76" t="str">
        <f t="shared" si="25"/>
        <v/>
      </c>
      <c r="F76" s="155" t="str">
        <f t="shared" si="16"/>
        <v/>
      </c>
      <c r="G76" s="204" t="str">
        <f t="shared" si="17"/>
        <v/>
      </c>
      <c r="H76" s="156" t="str">
        <f t="shared" si="18"/>
        <v/>
      </c>
      <c r="I76" s="155" t="str">
        <f t="shared" si="19"/>
        <v/>
      </c>
      <c r="J76" s="184">
        <f t="shared" ca="1" si="20"/>
        <v>999999</v>
      </c>
      <c r="K76" s="184">
        <f>IF(OR(ISBLANK('Etape 1'!E71),ISBLANK('Etape 1'!F71)),IF(AND(ISBLANK('Etape 1'!B71),ISBLANK('Etape 1'!C71),ISBLANK('Etape 1'!D71),ISBLANK('Etape 1'!E71),ISBLANK('Etape 1'!F71),ISBLANK('Etape 1'!G71),ISBLANK('Etape 1'!H71)),999,9999),IF(VLOOKUP($C76,Matrix_Berechnungen1.Rang.Pumpendaten.Zwischenresultate,$C$9,0)&gt;0,VLOOKUP($C76,Matrix_Berechnungen1.Rang.Pumpendaten.Zwischenresultate,K$9,0),""))</f>
        <v>999</v>
      </c>
      <c r="L76" s="184">
        <f t="shared" ca="1" si="26"/>
        <v>64</v>
      </c>
      <c r="M76" s="184">
        <f t="shared" ca="1" si="26"/>
        <v>0</v>
      </c>
      <c r="N76" s="84"/>
      <c r="O76" s="84"/>
      <c r="P76" s="84"/>
      <c r="Q76" s="69" t="str">
        <f t="shared" si="21"/>
        <v/>
      </c>
      <c r="R76" s="84"/>
      <c r="S76" s="65" t="str">
        <f t="shared" si="10"/>
        <v/>
      </c>
      <c r="T76" s="69" t="str">
        <f t="shared" si="22"/>
        <v/>
      </c>
      <c r="U76" s="84"/>
      <c r="V76" s="65" t="str">
        <f t="shared" si="11"/>
        <v/>
      </c>
      <c r="W76" s="108"/>
      <c r="X76" s="108"/>
      <c r="Y76" s="108"/>
      <c r="Z76" s="110" t="str">
        <f t="shared" si="12"/>
        <v/>
      </c>
      <c r="AA76" s="199" t="str">
        <f>IF(ISERROR('Berechnungen 2'!AR79),"",'Berechnungen 2'!AR79)</f>
        <v/>
      </c>
      <c r="AB76" s="200" t="str">
        <f>IF(ISERROR('Berechnungen 2'!AS79),"",'Berechnungen 2'!AS79)</f>
        <v/>
      </c>
      <c r="AC76" s="200" t="str">
        <f>IF(ISERROR('Berechnungen 2'!AT79),"",'Berechnungen 2'!AT79)</f>
        <v/>
      </c>
      <c r="AD76" s="199" t="str">
        <f>IF(ISERROR('Berechnungen 2'!BE79),"",'Berechnungen 2'!BE79)</f>
        <v/>
      </c>
      <c r="AE76" s="200" t="str">
        <f>IF(ISERROR('Berechnungen 2'!BF79),"",'Berechnungen 2'!BF79)</f>
        <v/>
      </c>
      <c r="AF76" s="200" t="str">
        <f>IF(ISERROR('Berechnungen 2'!BG79),"",'Berechnungen 2'!BG79)</f>
        <v/>
      </c>
      <c r="AG76" s="199" t="str">
        <f>IF(ISNUMBER(A76),IF(ISERROR('Berechnungen 2'!BK79),"",'Berechnungen 2'!BK79),"")</f>
        <v/>
      </c>
      <c r="AH76" s="200" t="str">
        <f>IF(ISERROR('Berechnungen 2'!BL79),"",'Berechnungen 2'!BL79)</f>
        <v/>
      </c>
      <c r="AI76" s="200" t="str">
        <f>IF(ISERROR('Berechnungen 2'!BM79),"",'Berechnungen 2'!BM79)</f>
        <v/>
      </c>
    </row>
    <row r="77" spans="1:35" x14ac:dyDescent="0.2">
      <c r="A77" s="71" t="str">
        <f t="shared" ref="A77:A140" si="27">IF(OR(K77=0,K77=1,K77=2,K77=9999),VLOOKUP($C77,Matrix_Berechnungen1.Rang.Pumpendaten.Zwischenresultate,A$9,0),"")</f>
        <v/>
      </c>
      <c r="B77" s="193">
        <f t="shared" si="13"/>
        <v>65</v>
      </c>
      <c r="C77" s="192">
        <f ca="1">IF(ISERROR(LARGE('Berechnungen 1'!$A$12:$A$311,B77)),"",LARGE('Berechnungen 1'!$A$12:$A$311,B77))</f>
        <v>236</v>
      </c>
      <c r="D77" s="76" t="str">
        <f t="shared" si="25"/>
        <v/>
      </c>
      <c r="E77" s="76" t="str">
        <f t="shared" si="25"/>
        <v/>
      </c>
      <c r="F77" s="155" t="str">
        <f t="shared" ref="F77:F110" si="28">IF(ISNUMBER(A77),IF(VLOOKUP($C77,Matrix_Berechnungen1.Rang.Pumpendaten.Zwischenresultate,C$9,0)&gt;0,IF(VLOOKUP($C77,Matrix_Berechnungen1.Rang.Pumpendaten.Zwischenresultate,F$9,0)=0,"",VLOOKUP($C77,Matrix_Berechnungen1.Rang.Pumpendaten.Zwischenresultate,F$9,0)),""),"")</f>
        <v/>
      </c>
      <c r="G77" s="204" t="str">
        <f t="shared" ref="G77:G110" si="29">IF(ISNUMBER(A77),IF(VLOOKUP($C77,Matrix_Berechnungen1.Rang.Pumpendaten.Zwischenresultate,C$9,0)&gt;0,IF(VLOOKUP($C77,Matrix_Berechnungen1.Rang.Pumpendaten.Zwischenresultate,G$9,0)=0,"",VLOOKUP($C77,Matrix_Berechnungen1.Rang.Pumpendaten.Zwischenresultate,G$9,0)),""),"")</f>
        <v/>
      </c>
      <c r="H77" s="156" t="str">
        <f t="shared" ref="H77:H110" si="30">IF(ISNUMBER(A77),IF(VLOOKUP($C77,Matrix_Berechnungen1.Rang.Pumpendaten.Zwischenresultate,C$9,0)&gt;0,IF(VLOOKUP($C77,Matrix_Berechnungen1.Rang.Pumpendaten.Zwischenresultate,H$9,0)=0,"",VLOOKUP($C77,Matrix_Berechnungen1.Rang.Pumpendaten.Zwischenresultate,H$9,0)),""),"")</f>
        <v/>
      </c>
      <c r="I77" s="155" t="str">
        <f t="shared" ref="I77:I110" si="31">IF(ISNUMBER(A77),IF(VLOOKUP($C77,Matrix_Berechnungen1.Rang.Pumpendaten.Zwischenresultate,C$9,0)&gt;0,IF(VLOOKUP($C77,Matrix_Berechnungen1.Rang.Pumpendaten.Zwischenresultate,I$9,0)=0,"",VLOOKUP($C77,Matrix_Berechnungen1.Rang.Pumpendaten.Zwischenresultate,I$9,0)),""),"")</f>
        <v/>
      </c>
      <c r="J77" s="184">
        <f t="shared" ref="J77:J110" ca="1" si="32">IF(VLOOKUP($C77,Matrix_Berechnungen1.Rang.Pumpendaten.Zwischenresultate,C$9,0)&gt;0,VLOOKUP($C77,Matrix_Berechnungen1.Rang.Pumpendaten.Zwischenresultate,J$9,0),"")</f>
        <v>999999</v>
      </c>
      <c r="K77" s="184">
        <f>IF(OR(ISBLANK('Etape 1'!E72),ISBLANK('Etape 1'!F72)),IF(AND(ISBLANK('Etape 1'!B72),ISBLANK('Etape 1'!C72),ISBLANK('Etape 1'!D72),ISBLANK('Etape 1'!E72),ISBLANK('Etape 1'!F72),ISBLANK('Etape 1'!G72),ISBLANK('Etape 1'!H72)),999,9999),IF(VLOOKUP($C77,Matrix_Berechnungen1.Rang.Pumpendaten.Zwischenresultate,$C$9,0)&gt;0,VLOOKUP($C77,Matrix_Berechnungen1.Rang.Pumpendaten.Zwischenresultate,K$9,0),""))</f>
        <v>999</v>
      </c>
      <c r="L77" s="184">
        <f t="shared" ca="1" si="26"/>
        <v>65</v>
      </c>
      <c r="M77" s="184">
        <f t="shared" ca="1" si="26"/>
        <v>0</v>
      </c>
      <c r="N77" s="84"/>
      <c r="O77" s="84"/>
      <c r="P77" s="84"/>
      <c r="Q77" s="69" t="str">
        <f t="shared" ref="Q77:Q110" si="33">IF(ISNUMBER(A77),St.Wert_Motor.Pole.Anzahl,"")</f>
        <v/>
      </c>
      <c r="R77" s="84"/>
      <c r="S77" s="65" t="str">
        <f t="shared" si="10"/>
        <v/>
      </c>
      <c r="T77" s="69" t="str">
        <f t="shared" ref="T77:T110" si="34">IF(ISNUMBER(A77),VLOOKUP($C77,Matrix_Berechnungen1.Rang.Pumpendaten.Zwischenresultate,T$9,0),"")</f>
        <v/>
      </c>
      <c r="U77" s="84"/>
      <c r="V77" s="65" t="str">
        <f t="shared" si="11"/>
        <v/>
      </c>
      <c r="W77" s="108"/>
      <c r="X77" s="108"/>
      <c r="Y77" s="108"/>
      <c r="Z77" s="110" t="str">
        <f t="shared" si="12"/>
        <v/>
      </c>
      <c r="AA77" s="199" t="str">
        <f>IF(ISERROR('Berechnungen 2'!AR80),"",'Berechnungen 2'!AR80)</f>
        <v/>
      </c>
      <c r="AB77" s="200" t="str">
        <f>IF(ISERROR('Berechnungen 2'!AS80),"",'Berechnungen 2'!AS80)</f>
        <v/>
      </c>
      <c r="AC77" s="200" t="str">
        <f>IF(ISERROR('Berechnungen 2'!AT80),"",'Berechnungen 2'!AT80)</f>
        <v/>
      </c>
      <c r="AD77" s="199" t="str">
        <f>IF(ISERROR('Berechnungen 2'!BE80),"",'Berechnungen 2'!BE80)</f>
        <v/>
      </c>
      <c r="AE77" s="200" t="str">
        <f>IF(ISERROR('Berechnungen 2'!BF80),"",'Berechnungen 2'!BF80)</f>
        <v/>
      </c>
      <c r="AF77" s="200" t="str">
        <f>IF(ISERROR('Berechnungen 2'!BG80),"",'Berechnungen 2'!BG80)</f>
        <v/>
      </c>
      <c r="AG77" s="199" t="str">
        <f>IF(ISNUMBER(A77),IF(ISERROR('Berechnungen 2'!BK80),"",'Berechnungen 2'!BK80),"")</f>
        <v/>
      </c>
      <c r="AH77" s="200" t="str">
        <f>IF(ISERROR('Berechnungen 2'!BL80),"",'Berechnungen 2'!BL80)</f>
        <v/>
      </c>
      <c r="AI77" s="200" t="str">
        <f>IF(ISERROR('Berechnungen 2'!BM80),"",'Berechnungen 2'!BM80)</f>
        <v/>
      </c>
    </row>
    <row r="78" spans="1:35" x14ac:dyDescent="0.2">
      <c r="A78" s="71" t="str">
        <f t="shared" si="27"/>
        <v/>
      </c>
      <c r="B78" s="193">
        <f t="shared" si="13"/>
        <v>66</v>
      </c>
      <c r="C78" s="192">
        <f ca="1">IF(ISERROR(LARGE('Berechnungen 1'!$A$12:$A$311,B78)),"",LARGE('Berechnungen 1'!$A$12:$A$311,B78))</f>
        <v>235</v>
      </c>
      <c r="D78" s="76" t="str">
        <f t="shared" si="25"/>
        <v/>
      </c>
      <c r="E78" s="76" t="str">
        <f t="shared" si="25"/>
        <v/>
      </c>
      <c r="F78" s="155" t="str">
        <f t="shared" si="28"/>
        <v/>
      </c>
      <c r="G78" s="204" t="str">
        <f t="shared" si="29"/>
        <v/>
      </c>
      <c r="H78" s="156" t="str">
        <f t="shared" si="30"/>
        <v/>
      </c>
      <c r="I78" s="155" t="str">
        <f t="shared" si="31"/>
        <v/>
      </c>
      <c r="J78" s="184">
        <f t="shared" ca="1" si="32"/>
        <v>999999</v>
      </c>
      <c r="K78" s="184">
        <f>IF(OR(ISBLANK('Etape 1'!E73),ISBLANK('Etape 1'!F73)),IF(AND(ISBLANK('Etape 1'!B73),ISBLANK('Etape 1'!C73),ISBLANK('Etape 1'!D73),ISBLANK('Etape 1'!E73),ISBLANK('Etape 1'!F73),ISBLANK('Etape 1'!G73),ISBLANK('Etape 1'!H73)),999,9999),IF(VLOOKUP($C78,Matrix_Berechnungen1.Rang.Pumpendaten.Zwischenresultate,$C$9,0)&gt;0,VLOOKUP($C78,Matrix_Berechnungen1.Rang.Pumpendaten.Zwischenresultate,K$9,0),""))</f>
        <v>999</v>
      </c>
      <c r="L78" s="184">
        <f t="shared" ca="1" si="26"/>
        <v>66</v>
      </c>
      <c r="M78" s="184">
        <f t="shared" ca="1" si="26"/>
        <v>0</v>
      </c>
      <c r="N78" s="84"/>
      <c r="O78" s="84"/>
      <c r="P78" s="84"/>
      <c r="Q78" s="69" t="str">
        <f t="shared" si="33"/>
        <v/>
      </c>
      <c r="R78" s="84"/>
      <c r="S78" s="65" t="str">
        <f t="shared" ref="S78:S110" si="35">IF(ISBLANK(R78),Q78,R78)</f>
        <v/>
      </c>
      <c r="T78" s="69" t="str">
        <f t="shared" si="34"/>
        <v/>
      </c>
      <c r="U78" s="84"/>
      <c r="V78" s="65" t="str">
        <f t="shared" ref="V78:V110" si="36">IF(ISBLANK(U78),T78,U78)</f>
        <v/>
      </c>
      <c r="W78" s="108"/>
      <c r="X78" s="108"/>
      <c r="Y78" s="108"/>
      <c r="Z78" s="110" t="str">
        <f t="shared" ref="Z78:Z110" si="37">IF(ISNUMBER(A78),IF(ISNUMBER(H78),H78-SUM(W78:Y78),0-SUM(W78:Y78)),"")</f>
        <v/>
      </c>
      <c r="AA78" s="199" t="str">
        <f>IF(ISERROR('Berechnungen 2'!AR81),"",'Berechnungen 2'!AR81)</f>
        <v/>
      </c>
      <c r="AB78" s="200" t="str">
        <f>IF(ISERROR('Berechnungen 2'!AS81),"",'Berechnungen 2'!AS81)</f>
        <v/>
      </c>
      <c r="AC78" s="200" t="str">
        <f>IF(ISERROR('Berechnungen 2'!AT81),"",'Berechnungen 2'!AT81)</f>
        <v/>
      </c>
      <c r="AD78" s="199" t="str">
        <f>IF(ISERROR('Berechnungen 2'!BE81),"",'Berechnungen 2'!BE81)</f>
        <v/>
      </c>
      <c r="AE78" s="200" t="str">
        <f>IF(ISERROR('Berechnungen 2'!BF81),"",'Berechnungen 2'!BF81)</f>
        <v/>
      </c>
      <c r="AF78" s="200" t="str">
        <f>IF(ISERROR('Berechnungen 2'!BG81),"",'Berechnungen 2'!BG81)</f>
        <v/>
      </c>
      <c r="AG78" s="199" t="str">
        <f>IF(ISNUMBER(A78),IF(ISERROR('Berechnungen 2'!BK81),"",'Berechnungen 2'!BK81),"")</f>
        <v/>
      </c>
      <c r="AH78" s="200" t="str">
        <f>IF(ISERROR('Berechnungen 2'!BL81),"",'Berechnungen 2'!BL81)</f>
        <v/>
      </c>
      <c r="AI78" s="200" t="str">
        <f>IF(ISERROR('Berechnungen 2'!BM81),"",'Berechnungen 2'!BM81)</f>
        <v/>
      </c>
    </row>
    <row r="79" spans="1:35" x14ac:dyDescent="0.2">
      <c r="A79" s="71" t="str">
        <f t="shared" si="27"/>
        <v/>
      </c>
      <c r="B79" s="193">
        <f t="shared" ref="B79:B142" si="38">B78+1</f>
        <v>67</v>
      </c>
      <c r="C79" s="192">
        <f ca="1">IF(ISERROR(LARGE('Berechnungen 1'!$A$12:$A$311,B79)),"",LARGE('Berechnungen 1'!$A$12:$A$311,B79))</f>
        <v>234</v>
      </c>
      <c r="D79" s="76" t="str">
        <f t="shared" si="25"/>
        <v/>
      </c>
      <c r="E79" s="76" t="str">
        <f t="shared" si="25"/>
        <v/>
      </c>
      <c r="F79" s="155" t="str">
        <f t="shared" si="28"/>
        <v/>
      </c>
      <c r="G79" s="204" t="str">
        <f t="shared" si="29"/>
        <v/>
      </c>
      <c r="H79" s="156" t="str">
        <f t="shared" si="30"/>
        <v/>
      </c>
      <c r="I79" s="155" t="str">
        <f t="shared" si="31"/>
        <v/>
      </c>
      <c r="J79" s="184">
        <f t="shared" ca="1" si="32"/>
        <v>999999</v>
      </c>
      <c r="K79" s="184">
        <f>IF(OR(ISBLANK('Etape 1'!E74),ISBLANK('Etape 1'!F74)),IF(AND(ISBLANK('Etape 1'!B74),ISBLANK('Etape 1'!C74),ISBLANK('Etape 1'!D74),ISBLANK('Etape 1'!E74),ISBLANK('Etape 1'!F74),ISBLANK('Etape 1'!G74),ISBLANK('Etape 1'!H74)),999,9999),IF(VLOOKUP($C79,Matrix_Berechnungen1.Rang.Pumpendaten.Zwischenresultate,$C$9,0)&gt;0,VLOOKUP($C79,Matrix_Berechnungen1.Rang.Pumpendaten.Zwischenresultate,K$9,0),""))</f>
        <v>999</v>
      </c>
      <c r="L79" s="184">
        <f t="shared" ca="1" si="26"/>
        <v>67</v>
      </c>
      <c r="M79" s="184">
        <f t="shared" ca="1" si="26"/>
        <v>0</v>
      </c>
      <c r="N79" s="84"/>
      <c r="O79" s="84"/>
      <c r="P79" s="84"/>
      <c r="Q79" s="69" t="str">
        <f t="shared" si="33"/>
        <v/>
      </c>
      <c r="R79" s="84"/>
      <c r="S79" s="65" t="str">
        <f t="shared" si="35"/>
        <v/>
      </c>
      <c r="T79" s="69" t="str">
        <f t="shared" si="34"/>
        <v/>
      </c>
      <c r="U79" s="84"/>
      <c r="V79" s="65" t="str">
        <f t="shared" si="36"/>
        <v/>
      </c>
      <c r="W79" s="108"/>
      <c r="X79" s="108"/>
      <c r="Y79" s="108"/>
      <c r="Z79" s="110" t="str">
        <f t="shared" si="37"/>
        <v/>
      </c>
      <c r="AA79" s="199" t="str">
        <f>IF(ISERROR('Berechnungen 2'!AR82),"",'Berechnungen 2'!AR82)</f>
        <v/>
      </c>
      <c r="AB79" s="200" t="str">
        <f>IF(ISERROR('Berechnungen 2'!AS82),"",'Berechnungen 2'!AS82)</f>
        <v/>
      </c>
      <c r="AC79" s="200" t="str">
        <f>IF(ISERROR('Berechnungen 2'!AT82),"",'Berechnungen 2'!AT82)</f>
        <v/>
      </c>
      <c r="AD79" s="199" t="str">
        <f>IF(ISERROR('Berechnungen 2'!BE82),"",'Berechnungen 2'!BE82)</f>
        <v/>
      </c>
      <c r="AE79" s="200" t="str">
        <f>IF(ISERROR('Berechnungen 2'!BF82),"",'Berechnungen 2'!BF82)</f>
        <v/>
      </c>
      <c r="AF79" s="200" t="str">
        <f>IF(ISERROR('Berechnungen 2'!BG82),"",'Berechnungen 2'!BG82)</f>
        <v/>
      </c>
      <c r="AG79" s="199" t="str">
        <f>IF(ISNUMBER(A79),IF(ISERROR('Berechnungen 2'!BK82),"",'Berechnungen 2'!BK82),"")</f>
        <v/>
      </c>
      <c r="AH79" s="200" t="str">
        <f>IF(ISERROR('Berechnungen 2'!BL82),"",'Berechnungen 2'!BL82)</f>
        <v/>
      </c>
      <c r="AI79" s="200" t="str">
        <f>IF(ISERROR('Berechnungen 2'!BM82),"",'Berechnungen 2'!BM82)</f>
        <v/>
      </c>
    </row>
    <row r="80" spans="1:35" x14ac:dyDescent="0.2">
      <c r="A80" s="71" t="str">
        <f t="shared" si="27"/>
        <v/>
      </c>
      <c r="B80" s="193">
        <f t="shared" si="38"/>
        <v>68</v>
      </c>
      <c r="C80" s="192">
        <f ca="1">IF(ISERROR(LARGE('Berechnungen 1'!$A$12:$A$311,B80)),"",LARGE('Berechnungen 1'!$A$12:$A$311,B80))</f>
        <v>233</v>
      </c>
      <c r="D80" s="76" t="str">
        <f t="shared" si="25"/>
        <v/>
      </c>
      <c r="E80" s="76" t="str">
        <f t="shared" si="25"/>
        <v/>
      </c>
      <c r="F80" s="155" t="str">
        <f t="shared" si="28"/>
        <v/>
      </c>
      <c r="G80" s="204" t="str">
        <f t="shared" si="29"/>
        <v/>
      </c>
      <c r="H80" s="156" t="str">
        <f t="shared" si="30"/>
        <v/>
      </c>
      <c r="I80" s="155" t="str">
        <f t="shared" si="31"/>
        <v/>
      </c>
      <c r="J80" s="184">
        <f t="shared" ca="1" si="32"/>
        <v>999999</v>
      </c>
      <c r="K80" s="184">
        <f>IF(OR(ISBLANK('Etape 1'!E75),ISBLANK('Etape 1'!F75)),IF(AND(ISBLANK('Etape 1'!B75),ISBLANK('Etape 1'!C75),ISBLANK('Etape 1'!D75),ISBLANK('Etape 1'!E75),ISBLANK('Etape 1'!F75),ISBLANK('Etape 1'!G75),ISBLANK('Etape 1'!H75)),999,9999),IF(VLOOKUP($C80,Matrix_Berechnungen1.Rang.Pumpendaten.Zwischenresultate,$C$9,0)&gt;0,VLOOKUP($C80,Matrix_Berechnungen1.Rang.Pumpendaten.Zwischenresultate,K$9,0),""))</f>
        <v>999</v>
      </c>
      <c r="L80" s="184">
        <f t="shared" ca="1" si="26"/>
        <v>68</v>
      </c>
      <c r="M80" s="184">
        <f t="shared" ca="1" si="26"/>
        <v>0</v>
      </c>
      <c r="N80" s="84"/>
      <c r="O80" s="84"/>
      <c r="P80" s="84"/>
      <c r="Q80" s="69" t="str">
        <f t="shared" si="33"/>
        <v/>
      </c>
      <c r="R80" s="84"/>
      <c r="S80" s="65" t="str">
        <f t="shared" si="35"/>
        <v/>
      </c>
      <c r="T80" s="69" t="str">
        <f t="shared" si="34"/>
        <v/>
      </c>
      <c r="U80" s="84"/>
      <c r="V80" s="65" t="str">
        <f t="shared" si="36"/>
        <v/>
      </c>
      <c r="W80" s="108"/>
      <c r="X80" s="108"/>
      <c r="Y80" s="108"/>
      <c r="Z80" s="110" t="str">
        <f t="shared" si="37"/>
        <v/>
      </c>
      <c r="AA80" s="199" t="str">
        <f>IF(ISERROR('Berechnungen 2'!AR83),"",'Berechnungen 2'!AR83)</f>
        <v/>
      </c>
      <c r="AB80" s="200" t="str">
        <f>IF(ISERROR('Berechnungen 2'!AS83),"",'Berechnungen 2'!AS83)</f>
        <v/>
      </c>
      <c r="AC80" s="200" t="str">
        <f>IF(ISERROR('Berechnungen 2'!AT83),"",'Berechnungen 2'!AT83)</f>
        <v/>
      </c>
      <c r="AD80" s="199" t="str">
        <f>IF(ISERROR('Berechnungen 2'!BE83),"",'Berechnungen 2'!BE83)</f>
        <v/>
      </c>
      <c r="AE80" s="200" t="str">
        <f>IF(ISERROR('Berechnungen 2'!BF83),"",'Berechnungen 2'!BF83)</f>
        <v/>
      </c>
      <c r="AF80" s="200" t="str">
        <f>IF(ISERROR('Berechnungen 2'!BG83),"",'Berechnungen 2'!BG83)</f>
        <v/>
      </c>
      <c r="AG80" s="199" t="str">
        <f>IF(ISNUMBER(A80),IF(ISERROR('Berechnungen 2'!BK83),"",'Berechnungen 2'!BK83),"")</f>
        <v/>
      </c>
      <c r="AH80" s="200" t="str">
        <f>IF(ISERROR('Berechnungen 2'!BL83),"",'Berechnungen 2'!BL83)</f>
        <v/>
      </c>
      <c r="AI80" s="200" t="str">
        <f>IF(ISERROR('Berechnungen 2'!BM83),"",'Berechnungen 2'!BM83)</f>
        <v/>
      </c>
    </row>
    <row r="81" spans="1:35" x14ac:dyDescent="0.2">
      <c r="A81" s="71" t="str">
        <f t="shared" si="27"/>
        <v/>
      </c>
      <c r="B81" s="193">
        <f t="shared" si="38"/>
        <v>69</v>
      </c>
      <c r="C81" s="192">
        <f ca="1">IF(ISERROR(LARGE('Berechnungen 1'!$A$12:$A$311,B81)),"",LARGE('Berechnungen 1'!$A$12:$A$311,B81))</f>
        <v>232</v>
      </c>
      <c r="D81" s="76" t="str">
        <f t="shared" si="25"/>
        <v/>
      </c>
      <c r="E81" s="76" t="str">
        <f t="shared" si="25"/>
        <v/>
      </c>
      <c r="F81" s="155" t="str">
        <f t="shared" si="28"/>
        <v/>
      </c>
      <c r="G81" s="204" t="str">
        <f t="shared" si="29"/>
        <v/>
      </c>
      <c r="H81" s="156" t="str">
        <f t="shared" si="30"/>
        <v/>
      </c>
      <c r="I81" s="155" t="str">
        <f t="shared" si="31"/>
        <v/>
      </c>
      <c r="J81" s="184">
        <f t="shared" ca="1" si="32"/>
        <v>999999</v>
      </c>
      <c r="K81" s="184">
        <f>IF(OR(ISBLANK('Etape 1'!E76),ISBLANK('Etape 1'!F76)),IF(AND(ISBLANK('Etape 1'!B76),ISBLANK('Etape 1'!C76),ISBLANK('Etape 1'!D76),ISBLANK('Etape 1'!E76),ISBLANK('Etape 1'!F76),ISBLANK('Etape 1'!G76),ISBLANK('Etape 1'!H76)),999,9999),IF(VLOOKUP($C81,Matrix_Berechnungen1.Rang.Pumpendaten.Zwischenresultate,$C$9,0)&gt;0,VLOOKUP($C81,Matrix_Berechnungen1.Rang.Pumpendaten.Zwischenresultate,K$9,0),""))</f>
        <v>999</v>
      </c>
      <c r="L81" s="184">
        <f t="shared" ca="1" si="26"/>
        <v>69</v>
      </c>
      <c r="M81" s="184">
        <f t="shared" ca="1" si="26"/>
        <v>0</v>
      </c>
      <c r="N81" s="84"/>
      <c r="O81" s="84"/>
      <c r="P81" s="84"/>
      <c r="Q81" s="69" t="str">
        <f t="shared" si="33"/>
        <v/>
      </c>
      <c r="R81" s="84"/>
      <c r="S81" s="65" t="str">
        <f t="shared" si="35"/>
        <v/>
      </c>
      <c r="T81" s="69" t="str">
        <f t="shared" si="34"/>
        <v/>
      </c>
      <c r="U81" s="84"/>
      <c r="V81" s="65" t="str">
        <f t="shared" si="36"/>
        <v/>
      </c>
      <c r="W81" s="108"/>
      <c r="X81" s="108"/>
      <c r="Y81" s="108"/>
      <c r="Z81" s="110" t="str">
        <f t="shared" si="37"/>
        <v/>
      </c>
      <c r="AA81" s="199" t="str">
        <f>IF(ISERROR('Berechnungen 2'!AR84),"",'Berechnungen 2'!AR84)</f>
        <v/>
      </c>
      <c r="AB81" s="200" t="str">
        <f>IF(ISERROR('Berechnungen 2'!AS84),"",'Berechnungen 2'!AS84)</f>
        <v/>
      </c>
      <c r="AC81" s="200" t="str">
        <f>IF(ISERROR('Berechnungen 2'!AT84),"",'Berechnungen 2'!AT84)</f>
        <v/>
      </c>
      <c r="AD81" s="199" t="str">
        <f>IF(ISERROR('Berechnungen 2'!BE84),"",'Berechnungen 2'!BE84)</f>
        <v/>
      </c>
      <c r="AE81" s="200" t="str">
        <f>IF(ISERROR('Berechnungen 2'!BF84),"",'Berechnungen 2'!BF84)</f>
        <v/>
      </c>
      <c r="AF81" s="200" t="str">
        <f>IF(ISERROR('Berechnungen 2'!BG84),"",'Berechnungen 2'!BG84)</f>
        <v/>
      </c>
      <c r="AG81" s="199" t="str">
        <f>IF(ISNUMBER(A81),IF(ISERROR('Berechnungen 2'!BK84),"",'Berechnungen 2'!BK84),"")</f>
        <v/>
      </c>
      <c r="AH81" s="200" t="str">
        <f>IF(ISERROR('Berechnungen 2'!BL84),"",'Berechnungen 2'!BL84)</f>
        <v/>
      </c>
      <c r="AI81" s="200" t="str">
        <f>IF(ISERROR('Berechnungen 2'!BM84),"",'Berechnungen 2'!BM84)</f>
        <v/>
      </c>
    </row>
    <row r="82" spans="1:35" x14ac:dyDescent="0.2">
      <c r="A82" s="71" t="str">
        <f t="shared" si="27"/>
        <v/>
      </c>
      <c r="B82" s="193">
        <f t="shared" si="38"/>
        <v>70</v>
      </c>
      <c r="C82" s="192">
        <f ca="1">IF(ISERROR(LARGE('Berechnungen 1'!$A$12:$A$311,B82)),"",LARGE('Berechnungen 1'!$A$12:$A$311,B82))</f>
        <v>231</v>
      </c>
      <c r="D82" s="76" t="str">
        <f t="shared" si="25"/>
        <v/>
      </c>
      <c r="E82" s="76" t="str">
        <f t="shared" si="25"/>
        <v/>
      </c>
      <c r="F82" s="155" t="str">
        <f t="shared" si="28"/>
        <v/>
      </c>
      <c r="G82" s="204" t="str">
        <f t="shared" si="29"/>
        <v/>
      </c>
      <c r="H82" s="156" t="str">
        <f t="shared" si="30"/>
        <v/>
      </c>
      <c r="I82" s="155" t="str">
        <f t="shared" si="31"/>
        <v/>
      </c>
      <c r="J82" s="184">
        <f t="shared" ca="1" si="32"/>
        <v>999999</v>
      </c>
      <c r="K82" s="184">
        <f>IF(OR(ISBLANK('Etape 1'!E77),ISBLANK('Etape 1'!F77)),IF(AND(ISBLANK('Etape 1'!B77),ISBLANK('Etape 1'!C77),ISBLANK('Etape 1'!D77),ISBLANK('Etape 1'!E77),ISBLANK('Etape 1'!F77),ISBLANK('Etape 1'!G77),ISBLANK('Etape 1'!H77)),999,9999),IF(VLOOKUP($C82,Matrix_Berechnungen1.Rang.Pumpendaten.Zwischenresultate,$C$9,0)&gt;0,VLOOKUP($C82,Matrix_Berechnungen1.Rang.Pumpendaten.Zwischenresultate,K$9,0),""))</f>
        <v>999</v>
      </c>
      <c r="L82" s="184">
        <f t="shared" ca="1" si="26"/>
        <v>70</v>
      </c>
      <c r="M82" s="184">
        <f t="shared" ca="1" si="26"/>
        <v>0</v>
      </c>
      <c r="N82" s="84"/>
      <c r="O82" s="84"/>
      <c r="P82" s="84"/>
      <c r="Q82" s="69" t="str">
        <f t="shared" si="33"/>
        <v/>
      </c>
      <c r="R82" s="84"/>
      <c r="S82" s="65" t="str">
        <f t="shared" si="35"/>
        <v/>
      </c>
      <c r="T82" s="69" t="str">
        <f t="shared" si="34"/>
        <v/>
      </c>
      <c r="U82" s="84"/>
      <c r="V82" s="65" t="str">
        <f t="shared" si="36"/>
        <v/>
      </c>
      <c r="W82" s="108"/>
      <c r="X82" s="108"/>
      <c r="Y82" s="108"/>
      <c r="Z82" s="110" t="str">
        <f t="shared" si="37"/>
        <v/>
      </c>
      <c r="AA82" s="199" t="str">
        <f>IF(ISERROR('Berechnungen 2'!AR85),"",'Berechnungen 2'!AR85)</f>
        <v/>
      </c>
      <c r="AB82" s="200" t="str">
        <f>IF(ISERROR('Berechnungen 2'!AS85),"",'Berechnungen 2'!AS85)</f>
        <v/>
      </c>
      <c r="AC82" s="200" t="str">
        <f>IF(ISERROR('Berechnungen 2'!AT85),"",'Berechnungen 2'!AT85)</f>
        <v/>
      </c>
      <c r="AD82" s="199" t="str">
        <f>IF(ISERROR('Berechnungen 2'!BE85),"",'Berechnungen 2'!BE85)</f>
        <v/>
      </c>
      <c r="AE82" s="200" t="str">
        <f>IF(ISERROR('Berechnungen 2'!BF85),"",'Berechnungen 2'!BF85)</f>
        <v/>
      </c>
      <c r="AF82" s="200" t="str">
        <f>IF(ISERROR('Berechnungen 2'!BG85),"",'Berechnungen 2'!BG85)</f>
        <v/>
      </c>
      <c r="AG82" s="199" t="str">
        <f>IF(ISNUMBER(A82),IF(ISERROR('Berechnungen 2'!BK85),"",'Berechnungen 2'!BK85),"")</f>
        <v/>
      </c>
      <c r="AH82" s="200" t="str">
        <f>IF(ISERROR('Berechnungen 2'!BL85),"",'Berechnungen 2'!BL85)</f>
        <v/>
      </c>
      <c r="AI82" s="200" t="str">
        <f>IF(ISERROR('Berechnungen 2'!BM85),"",'Berechnungen 2'!BM85)</f>
        <v/>
      </c>
    </row>
    <row r="83" spans="1:35" x14ac:dyDescent="0.2">
      <c r="A83" s="71" t="str">
        <f t="shared" si="27"/>
        <v/>
      </c>
      <c r="B83" s="193">
        <f t="shared" si="38"/>
        <v>71</v>
      </c>
      <c r="C83" s="192">
        <f ca="1">IF(ISERROR(LARGE('Berechnungen 1'!$A$12:$A$311,B83)),"",LARGE('Berechnungen 1'!$A$12:$A$311,B83))</f>
        <v>230</v>
      </c>
      <c r="D83" s="76" t="str">
        <f t="shared" si="25"/>
        <v/>
      </c>
      <c r="E83" s="76" t="str">
        <f t="shared" si="25"/>
        <v/>
      </c>
      <c r="F83" s="155" t="str">
        <f t="shared" si="28"/>
        <v/>
      </c>
      <c r="G83" s="204" t="str">
        <f t="shared" si="29"/>
        <v/>
      </c>
      <c r="H83" s="156" t="str">
        <f t="shared" si="30"/>
        <v/>
      </c>
      <c r="I83" s="155" t="str">
        <f t="shared" si="31"/>
        <v/>
      </c>
      <c r="J83" s="184">
        <f t="shared" ca="1" si="32"/>
        <v>999999</v>
      </c>
      <c r="K83" s="184">
        <f>IF(OR(ISBLANK('Etape 1'!E78),ISBLANK('Etape 1'!F78)),IF(AND(ISBLANK('Etape 1'!B78),ISBLANK('Etape 1'!C78),ISBLANK('Etape 1'!D78),ISBLANK('Etape 1'!E78),ISBLANK('Etape 1'!F78),ISBLANK('Etape 1'!G78),ISBLANK('Etape 1'!H78)),999,9999),IF(VLOOKUP($C83,Matrix_Berechnungen1.Rang.Pumpendaten.Zwischenresultate,$C$9,0)&gt;0,VLOOKUP($C83,Matrix_Berechnungen1.Rang.Pumpendaten.Zwischenresultate,K$9,0),""))</f>
        <v>999</v>
      </c>
      <c r="L83" s="184">
        <f t="shared" ca="1" si="26"/>
        <v>71</v>
      </c>
      <c r="M83" s="184">
        <f t="shared" ca="1" si="26"/>
        <v>0</v>
      </c>
      <c r="N83" s="84"/>
      <c r="O83" s="84"/>
      <c r="P83" s="84"/>
      <c r="Q83" s="69" t="str">
        <f t="shared" si="33"/>
        <v/>
      </c>
      <c r="R83" s="84"/>
      <c r="S83" s="65" t="str">
        <f t="shared" si="35"/>
        <v/>
      </c>
      <c r="T83" s="69" t="str">
        <f t="shared" si="34"/>
        <v/>
      </c>
      <c r="U83" s="84"/>
      <c r="V83" s="65" t="str">
        <f t="shared" si="36"/>
        <v/>
      </c>
      <c r="W83" s="108"/>
      <c r="X83" s="108"/>
      <c r="Y83" s="108"/>
      <c r="Z83" s="110" t="str">
        <f t="shared" si="37"/>
        <v/>
      </c>
      <c r="AA83" s="199" t="str">
        <f>IF(ISERROR('Berechnungen 2'!AR86),"",'Berechnungen 2'!AR86)</f>
        <v/>
      </c>
      <c r="AB83" s="200" t="str">
        <f>IF(ISERROR('Berechnungen 2'!AS86),"",'Berechnungen 2'!AS86)</f>
        <v/>
      </c>
      <c r="AC83" s="200" t="str">
        <f>IF(ISERROR('Berechnungen 2'!AT86),"",'Berechnungen 2'!AT86)</f>
        <v/>
      </c>
      <c r="AD83" s="199" t="str">
        <f>IF(ISERROR('Berechnungen 2'!BE86),"",'Berechnungen 2'!BE86)</f>
        <v/>
      </c>
      <c r="AE83" s="200" t="str">
        <f>IF(ISERROR('Berechnungen 2'!BF86),"",'Berechnungen 2'!BF86)</f>
        <v/>
      </c>
      <c r="AF83" s="200" t="str">
        <f>IF(ISERROR('Berechnungen 2'!BG86),"",'Berechnungen 2'!BG86)</f>
        <v/>
      </c>
      <c r="AG83" s="199" t="str">
        <f>IF(ISNUMBER(A83),IF(ISERROR('Berechnungen 2'!BK86),"",'Berechnungen 2'!BK86),"")</f>
        <v/>
      </c>
      <c r="AH83" s="200" t="str">
        <f>IF(ISERROR('Berechnungen 2'!BL86),"",'Berechnungen 2'!BL86)</f>
        <v/>
      </c>
      <c r="AI83" s="200" t="str">
        <f>IF(ISERROR('Berechnungen 2'!BM86),"",'Berechnungen 2'!BM86)</f>
        <v/>
      </c>
    </row>
    <row r="84" spans="1:35" x14ac:dyDescent="0.2">
      <c r="A84" s="71" t="str">
        <f t="shared" si="27"/>
        <v/>
      </c>
      <c r="B84" s="193">
        <f t="shared" si="38"/>
        <v>72</v>
      </c>
      <c r="C84" s="192">
        <f ca="1">IF(ISERROR(LARGE('Berechnungen 1'!$A$12:$A$311,B84)),"",LARGE('Berechnungen 1'!$A$12:$A$311,B84))</f>
        <v>229</v>
      </c>
      <c r="D84" s="76" t="str">
        <f t="shared" si="25"/>
        <v/>
      </c>
      <c r="E84" s="76" t="str">
        <f t="shared" si="25"/>
        <v/>
      </c>
      <c r="F84" s="155" t="str">
        <f t="shared" si="28"/>
        <v/>
      </c>
      <c r="G84" s="204" t="str">
        <f t="shared" si="29"/>
        <v/>
      </c>
      <c r="H84" s="156" t="str">
        <f t="shared" si="30"/>
        <v/>
      </c>
      <c r="I84" s="155" t="str">
        <f t="shared" si="31"/>
        <v/>
      </c>
      <c r="J84" s="184">
        <f t="shared" ca="1" si="32"/>
        <v>999999</v>
      </c>
      <c r="K84" s="184">
        <f>IF(OR(ISBLANK('Etape 1'!E79),ISBLANK('Etape 1'!F79)),IF(AND(ISBLANK('Etape 1'!B79),ISBLANK('Etape 1'!C79),ISBLANK('Etape 1'!D79),ISBLANK('Etape 1'!E79),ISBLANK('Etape 1'!F79),ISBLANK('Etape 1'!G79),ISBLANK('Etape 1'!H79)),999,9999),IF(VLOOKUP($C84,Matrix_Berechnungen1.Rang.Pumpendaten.Zwischenresultate,$C$9,0)&gt;0,VLOOKUP($C84,Matrix_Berechnungen1.Rang.Pumpendaten.Zwischenresultate,K$9,0),""))</f>
        <v>999</v>
      </c>
      <c r="L84" s="184">
        <f t="shared" ca="1" si="26"/>
        <v>72</v>
      </c>
      <c r="M84" s="184">
        <f t="shared" ca="1" si="26"/>
        <v>0</v>
      </c>
      <c r="N84" s="84"/>
      <c r="O84" s="84"/>
      <c r="P84" s="84"/>
      <c r="Q84" s="69" t="str">
        <f t="shared" si="33"/>
        <v/>
      </c>
      <c r="R84" s="84"/>
      <c r="S84" s="65" t="str">
        <f t="shared" si="35"/>
        <v/>
      </c>
      <c r="T84" s="69" t="str">
        <f t="shared" si="34"/>
        <v/>
      </c>
      <c r="U84" s="84"/>
      <c r="V84" s="65" t="str">
        <f t="shared" si="36"/>
        <v/>
      </c>
      <c r="W84" s="108"/>
      <c r="X84" s="108"/>
      <c r="Y84" s="108"/>
      <c r="Z84" s="110" t="str">
        <f t="shared" si="37"/>
        <v/>
      </c>
      <c r="AA84" s="199" t="str">
        <f>IF(ISERROR('Berechnungen 2'!AR87),"",'Berechnungen 2'!AR87)</f>
        <v/>
      </c>
      <c r="AB84" s="200" t="str">
        <f>IF(ISERROR('Berechnungen 2'!AS87),"",'Berechnungen 2'!AS87)</f>
        <v/>
      </c>
      <c r="AC84" s="200" t="str">
        <f>IF(ISERROR('Berechnungen 2'!AT87),"",'Berechnungen 2'!AT87)</f>
        <v/>
      </c>
      <c r="AD84" s="199" t="str">
        <f>IF(ISERROR('Berechnungen 2'!BE87),"",'Berechnungen 2'!BE87)</f>
        <v/>
      </c>
      <c r="AE84" s="200" t="str">
        <f>IF(ISERROR('Berechnungen 2'!BF87),"",'Berechnungen 2'!BF87)</f>
        <v/>
      </c>
      <c r="AF84" s="200" t="str">
        <f>IF(ISERROR('Berechnungen 2'!BG87),"",'Berechnungen 2'!BG87)</f>
        <v/>
      </c>
      <c r="AG84" s="199" t="str">
        <f>IF(ISNUMBER(A84),IF(ISERROR('Berechnungen 2'!BK87),"",'Berechnungen 2'!BK87),"")</f>
        <v/>
      </c>
      <c r="AH84" s="200" t="str">
        <f>IF(ISERROR('Berechnungen 2'!BL87),"",'Berechnungen 2'!BL87)</f>
        <v/>
      </c>
      <c r="AI84" s="200" t="str">
        <f>IF(ISERROR('Berechnungen 2'!BM87),"",'Berechnungen 2'!BM87)</f>
        <v/>
      </c>
    </row>
    <row r="85" spans="1:35" x14ac:dyDescent="0.2">
      <c r="A85" s="71" t="str">
        <f t="shared" si="27"/>
        <v/>
      </c>
      <c r="B85" s="193">
        <f t="shared" si="38"/>
        <v>73</v>
      </c>
      <c r="C85" s="192">
        <f ca="1">IF(ISERROR(LARGE('Berechnungen 1'!$A$12:$A$311,B85)),"",LARGE('Berechnungen 1'!$A$12:$A$311,B85))</f>
        <v>228</v>
      </c>
      <c r="D85" s="76" t="str">
        <f t="shared" si="25"/>
        <v/>
      </c>
      <c r="E85" s="76" t="str">
        <f t="shared" si="25"/>
        <v/>
      </c>
      <c r="F85" s="155" t="str">
        <f t="shared" si="28"/>
        <v/>
      </c>
      <c r="G85" s="204" t="str">
        <f t="shared" si="29"/>
        <v/>
      </c>
      <c r="H85" s="156" t="str">
        <f t="shared" si="30"/>
        <v/>
      </c>
      <c r="I85" s="155" t="str">
        <f t="shared" si="31"/>
        <v/>
      </c>
      <c r="J85" s="184">
        <f t="shared" ca="1" si="32"/>
        <v>999999</v>
      </c>
      <c r="K85" s="184">
        <f>IF(OR(ISBLANK('Etape 1'!E80),ISBLANK('Etape 1'!F80)),IF(AND(ISBLANK('Etape 1'!B80),ISBLANK('Etape 1'!C80),ISBLANK('Etape 1'!D80),ISBLANK('Etape 1'!E80),ISBLANK('Etape 1'!F80),ISBLANK('Etape 1'!G80),ISBLANK('Etape 1'!H80)),999,9999),IF(VLOOKUP($C85,Matrix_Berechnungen1.Rang.Pumpendaten.Zwischenresultate,$C$9,0)&gt;0,VLOOKUP($C85,Matrix_Berechnungen1.Rang.Pumpendaten.Zwischenresultate,K$9,0),""))</f>
        <v>999</v>
      </c>
      <c r="L85" s="184">
        <f t="shared" ca="1" si="26"/>
        <v>73</v>
      </c>
      <c r="M85" s="184">
        <f t="shared" ca="1" si="26"/>
        <v>0</v>
      </c>
      <c r="N85" s="84"/>
      <c r="O85" s="84"/>
      <c r="P85" s="84"/>
      <c r="Q85" s="69" t="str">
        <f t="shared" si="33"/>
        <v/>
      </c>
      <c r="R85" s="84"/>
      <c r="S85" s="65" t="str">
        <f t="shared" si="35"/>
        <v/>
      </c>
      <c r="T85" s="69" t="str">
        <f t="shared" si="34"/>
        <v/>
      </c>
      <c r="U85" s="84"/>
      <c r="V85" s="65" t="str">
        <f t="shared" si="36"/>
        <v/>
      </c>
      <c r="W85" s="108"/>
      <c r="X85" s="108"/>
      <c r="Y85" s="108"/>
      <c r="Z85" s="110" t="str">
        <f t="shared" si="37"/>
        <v/>
      </c>
      <c r="AA85" s="199" t="str">
        <f>IF(ISERROR('Berechnungen 2'!AR88),"",'Berechnungen 2'!AR88)</f>
        <v/>
      </c>
      <c r="AB85" s="200" t="str">
        <f>IF(ISERROR('Berechnungen 2'!AS88),"",'Berechnungen 2'!AS88)</f>
        <v/>
      </c>
      <c r="AC85" s="200" t="str">
        <f>IF(ISERROR('Berechnungen 2'!AT88),"",'Berechnungen 2'!AT88)</f>
        <v/>
      </c>
      <c r="AD85" s="199" t="str">
        <f>IF(ISERROR('Berechnungen 2'!BE88),"",'Berechnungen 2'!BE88)</f>
        <v/>
      </c>
      <c r="AE85" s="200" t="str">
        <f>IF(ISERROR('Berechnungen 2'!BF88),"",'Berechnungen 2'!BF88)</f>
        <v/>
      </c>
      <c r="AF85" s="200" t="str">
        <f>IF(ISERROR('Berechnungen 2'!BG88),"",'Berechnungen 2'!BG88)</f>
        <v/>
      </c>
      <c r="AG85" s="199" t="str">
        <f>IF(ISNUMBER(A85),IF(ISERROR('Berechnungen 2'!BK88),"",'Berechnungen 2'!BK88),"")</f>
        <v/>
      </c>
      <c r="AH85" s="200" t="str">
        <f>IF(ISERROR('Berechnungen 2'!BL88),"",'Berechnungen 2'!BL88)</f>
        <v/>
      </c>
      <c r="AI85" s="200" t="str">
        <f>IF(ISERROR('Berechnungen 2'!BM88),"",'Berechnungen 2'!BM88)</f>
        <v/>
      </c>
    </row>
    <row r="86" spans="1:35" x14ac:dyDescent="0.2">
      <c r="A86" s="71" t="str">
        <f t="shared" si="27"/>
        <v/>
      </c>
      <c r="B86" s="193">
        <f t="shared" si="38"/>
        <v>74</v>
      </c>
      <c r="C86" s="192">
        <f ca="1">IF(ISERROR(LARGE('Berechnungen 1'!$A$12:$A$311,B86)),"",LARGE('Berechnungen 1'!$A$12:$A$311,B86))</f>
        <v>227</v>
      </c>
      <c r="D86" s="76" t="str">
        <f t="shared" si="25"/>
        <v/>
      </c>
      <c r="E86" s="76" t="str">
        <f t="shared" si="25"/>
        <v/>
      </c>
      <c r="F86" s="155" t="str">
        <f t="shared" si="28"/>
        <v/>
      </c>
      <c r="G86" s="204" t="str">
        <f t="shared" si="29"/>
        <v/>
      </c>
      <c r="H86" s="156" t="str">
        <f t="shared" si="30"/>
        <v/>
      </c>
      <c r="I86" s="155" t="str">
        <f t="shared" si="31"/>
        <v/>
      </c>
      <c r="J86" s="184">
        <f t="shared" ca="1" si="32"/>
        <v>999999</v>
      </c>
      <c r="K86" s="184">
        <f>IF(OR(ISBLANK('Etape 1'!E81),ISBLANK('Etape 1'!F81)),IF(AND(ISBLANK('Etape 1'!B81),ISBLANK('Etape 1'!C81),ISBLANK('Etape 1'!D81),ISBLANK('Etape 1'!E81),ISBLANK('Etape 1'!F81),ISBLANK('Etape 1'!G81),ISBLANK('Etape 1'!H81)),999,9999),IF(VLOOKUP($C86,Matrix_Berechnungen1.Rang.Pumpendaten.Zwischenresultate,$C$9,0)&gt;0,VLOOKUP($C86,Matrix_Berechnungen1.Rang.Pumpendaten.Zwischenresultate,K$9,0),""))</f>
        <v>999</v>
      </c>
      <c r="L86" s="184">
        <f t="shared" ca="1" si="26"/>
        <v>74</v>
      </c>
      <c r="M86" s="184">
        <f t="shared" ca="1" si="26"/>
        <v>0</v>
      </c>
      <c r="N86" s="84"/>
      <c r="O86" s="84"/>
      <c r="P86" s="84"/>
      <c r="Q86" s="69" t="str">
        <f t="shared" si="33"/>
        <v/>
      </c>
      <c r="R86" s="84"/>
      <c r="S86" s="65" t="str">
        <f t="shared" si="35"/>
        <v/>
      </c>
      <c r="T86" s="69" t="str">
        <f t="shared" si="34"/>
        <v/>
      </c>
      <c r="U86" s="84"/>
      <c r="V86" s="65" t="str">
        <f t="shared" si="36"/>
        <v/>
      </c>
      <c r="W86" s="108"/>
      <c r="X86" s="108"/>
      <c r="Y86" s="108"/>
      <c r="Z86" s="110" t="str">
        <f t="shared" si="37"/>
        <v/>
      </c>
      <c r="AA86" s="199" t="str">
        <f>IF(ISERROR('Berechnungen 2'!AR89),"",'Berechnungen 2'!AR89)</f>
        <v/>
      </c>
      <c r="AB86" s="200" t="str">
        <f>IF(ISERROR('Berechnungen 2'!AS89),"",'Berechnungen 2'!AS89)</f>
        <v/>
      </c>
      <c r="AC86" s="200" t="str">
        <f>IF(ISERROR('Berechnungen 2'!AT89),"",'Berechnungen 2'!AT89)</f>
        <v/>
      </c>
      <c r="AD86" s="199" t="str">
        <f>IF(ISERROR('Berechnungen 2'!BE89),"",'Berechnungen 2'!BE89)</f>
        <v/>
      </c>
      <c r="AE86" s="200" t="str">
        <f>IF(ISERROR('Berechnungen 2'!BF89),"",'Berechnungen 2'!BF89)</f>
        <v/>
      </c>
      <c r="AF86" s="200" t="str">
        <f>IF(ISERROR('Berechnungen 2'!BG89),"",'Berechnungen 2'!BG89)</f>
        <v/>
      </c>
      <c r="AG86" s="199" t="str">
        <f>IF(ISNUMBER(A86),IF(ISERROR('Berechnungen 2'!BK89),"",'Berechnungen 2'!BK89),"")</f>
        <v/>
      </c>
      <c r="AH86" s="200" t="str">
        <f>IF(ISERROR('Berechnungen 2'!BL89),"",'Berechnungen 2'!BL89)</f>
        <v/>
      </c>
      <c r="AI86" s="200" t="str">
        <f>IF(ISERROR('Berechnungen 2'!BM89),"",'Berechnungen 2'!BM89)</f>
        <v/>
      </c>
    </row>
    <row r="87" spans="1:35" x14ac:dyDescent="0.2">
      <c r="A87" s="71" t="str">
        <f t="shared" si="27"/>
        <v/>
      </c>
      <c r="B87" s="193">
        <f t="shared" si="38"/>
        <v>75</v>
      </c>
      <c r="C87" s="192">
        <f ca="1">IF(ISERROR(LARGE('Berechnungen 1'!$A$12:$A$311,B87)),"",LARGE('Berechnungen 1'!$A$12:$A$311,B87))</f>
        <v>226</v>
      </c>
      <c r="D87" s="76" t="str">
        <f t="shared" si="25"/>
        <v/>
      </c>
      <c r="E87" s="76" t="str">
        <f t="shared" si="25"/>
        <v/>
      </c>
      <c r="F87" s="155" t="str">
        <f t="shared" si="28"/>
        <v/>
      </c>
      <c r="G87" s="204" t="str">
        <f t="shared" si="29"/>
        <v/>
      </c>
      <c r="H87" s="156" t="str">
        <f t="shared" si="30"/>
        <v/>
      </c>
      <c r="I87" s="155" t="str">
        <f t="shared" si="31"/>
        <v/>
      </c>
      <c r="J87" s="184">
        <f t="shared" ca="1" si="32"/>
        <v>999999</v>
      </c>
      <c r="K87" s="184">
        <f>IF(OR(ISBLANK('Etape 1'!E82),ISBLANK('Etape 1'!F82)),IF(AND(ISBLANK('Etape 1'!B82),ISBLANK('Etape 1'!C82),ISBLANK('Etape 1'!D82),ISBLANK('Etape 1'!E82),ISBLANK('Etape 1'!F82),ISBLANK('Etape 1'!G82),ISBLANK('Etape 1'!H82)),999,9999),IF(VLOOKUP($C87,Matrix_Berechnungen1.Rang.Pumpendaten.Zwischenresultate,$C$9,0)&gt;0,VLOOKUP($C87,Matrix_Berechnungen1.Rang.Pumpendaten.Zwischenresultate,K$9,0),""))</f>
        <v>999</v>
      </c>
      <c r="L87" s="184">
        <f t="shared" ca="1" si="26"/>
        <v>75</v>
      </c>
      <c r="M87" s="184">
        <f t="shared" ca="1" si="26"/>
        <v>0</v>
      </c>
      <c r="N87" s="84"/>
      <c r="O87" s="84"/>
      <c r="P87" s="84"/>
      <c r="Q87" s="69" t="str">
        <f t="shared" si="33"/>
        <v/>
      </c>
      <c r="R87" s="84"/>
      <c r="S87" s="65" t="str">
        <f t="shared" si="35"/>
        <v/>
      </c>
      <c r="T87" s="69" t="str">
        <f t="shared" si="34"/>
        <v/>
      </c>
      <c r="U87" s="84"/>
      <c r="V87" s="65" t="str">
        <f t="shared" si="36"/>
        <v/>
      </c>
      <c r="W87" s="108"/>
      <c r="X87" s="108"/>
      <c r="Y87" s="108"/>
      <c r="Z87" s="110" t="str">
        <f t="shared" si="37"/>
        <v/>
      </c>
      <c r="AA87" s="199" t="str">
        <f>IF(ISERROR('Berechnungen 2'!AR90),"",'Berechnungen 2'!AR90)</f>
        <v/>
      </c>
      <c r="AB87" s="200" t="str">
        <f>IF(ISERROR('Berechnungen 2'!AS90),"",'Berechnungen 2'!AS90)</f>
        <v/>
      </c>
      <c r="AC87" s="200" t="str">
        <f>IF(ISERROR('Berechnungen 2'!AT90),"",'Berechnungen 2'!AT90)</f>
        <v/>
      </c>
      <c r="AD87" s="199" t="str">
        <f>IF(ISERROR('Berechnungen 2'!BE90),"",'Berechnungen 2'!BE90)</f>
        <v/>
      </c>
      <c r="AE87" s="200" t="str">
        <f>IF(ISERROR('Berechnungen 2'!BF90),"",'Berechnungen 2'!BF90)</f>
        <v/>
      </c>
      <c r="AF87" s="200" t="str">
        <f>IF(ISERROR('Berechnungen 2'!BG90),"",'Berechnungen 2'!BG90)</f>
        <v/>
      </c>
      <c r="AG87" s="199" t="str">
        <f>IF(ISNUMBER(A87),IF(ISERROR('Berechnungen 2'!BK90),"",'Berechnungen 2'!BK90),"")</f>
        <v/>
      </c>
      <c r="AH87" s="200" t="str">
        <f>IF(ISERROR('Berechnungen 2'!BL90),"",'Berechnungen 2'!BL90)</f>
        <v/>
      </c>
      <c r="AI87" s="200" t="str">
        <f>IF(ISERROR('Berechnungen 2'!BM90),"",'Berechnungen 2'!BM90)</f>
        <v/>
      </c>
    </row>
    <row r="88" spans="1:35" x14ac:dyDescent="0.2">
      <c r="A88" s="71" t="str">
        <f t="shared" si="27"/>
        <v/>
      </c>
      <c r="B88" s="193">
        <f t="shared" si="38"/>
        <v>76</v>
      </c>
      <c r="C88" s="192">
        <f ca="1">IF(ISERROR(LARGE('Berechnungen 1'!$A$12:$A$311,B88)),"",LARGE('Berechnungen 1'!$A$12:$A$311,B88))</f>
        <v>225</v>
      </c>
      <c r="D88" s="76" t="str">
        <f t="shared" si="25"/>
        <v/>
      </c>
      <c r="E88" s="76" t="str">
        <f t="shared" si="25"/>
        <v/>
      </c>
      <c r="F88" s="155" t="str">
        <f t="shared" si="28"/>
        <v/>
      </c>
      <c r="G88" s="204" t="str">
        <f t="shared" si="29"/>
        <v/>
      </c>
      <c r="H88" s="156" t="str">
        <f t="shared" si="30"/>
        <v/>
      </c>
      <c r="I88" s="155" t="str">
        <f t="shared" si="31"/>
        <v/>
      </c>
      <c r="J88" s="184">
        <f t="shared" ca="1" si="32"/>
        <v>999999</v>
      </c>
      <c r="K88" s="184">
        <f>IF(OR(ISBLANK('Etape 1'!E83),ISBLANK('Etape 1'!F83)),IF(AND(ISBLANK('Etape 1'!B83),ISBLANK('Etape 1'!C83),ISBLANK('Etape 1'!D83),ISBLANK('Etape 1'!E83),ISBLANK('Etape 1'!F83),ISBLANK('Etape 1'!G83),ISBLANK('Etape 1'!H83)),999,9999),IF(VLOOKUP($C88,Matrix_Berechnungen1.Rang.Pumpendaten.Zwischenresultate,$C$9,0)&gt;0,VLOOKUP($C88,Matrix_Berechnungen1.Rang.Pumpendaten.Zwischenresultate,K$9,0),""))</f>
        <v>999</v>
      </c>
      <c r="L88" s="184">
        <f t="shared" ca="1" si="26"/>
        <v>76</v>
      </c>
      <c r="M88" s="184">
        <f t="shared" ca="1" si="26"/>
        <v>0</v>
      </c>
      <c r="N88" s="84"/>
      <c r="O88" s="84"/>
      <c r="P88" s="84"/>
      <c r="Q88" s="69" t="str">
        <f t="shared" si="33"/>
        <v/>
      </c>
      <c r="R88" s="84"/>
      <c r="S88" s="65" t="str">
        <f t="shared" si="35"/>
        <v/>
      </c>
      <c r="T88" s="69" t="str">
        <f t="shared" si="34"/>
        <v/>
      </c>
      <c r="U88" s="84"/>
      <c r="V88" s="65" t="str">
        <f t="shared" si="36"/>
        <v/>
      </c>
      <c r="W88" s="108"/>
      <c r="X88" s="108"/>
      <c r="Y88" s="108"/>
      <c r="Z88" s="110" t="str">
        <f t="shared" si="37"/>
        <v/>
      </c>
      <c r="AA88" s="199" t="str">
        <f>IF(ISERROR('Berechnungen 2'!AR91),"",'Berechnungen 2'!AR91)</f>
        <v/>
      </c>
      <c r="AB88" s="200" t="str">
        <f>IF(ISERROR('Berechnungen 2'!AS91),"",'Berechnungen 2'!AS91)</f>
        <v/>
      </c>
      <c r="AC88" s="200" t="str">
        <f>IF(ISERROR('Berechnungen 2'!AT91),"",'Berechnungen 2'!AT91)</f>
        <v/>
      </c>
      <c r="AD88" s="199" t="str">
        <f>IF(ISERROR('Berechnungen 2'!BE91),"",'Berechnungen 2'!BE91)</f>
        <v/>
      </c>
      <c r="AE88" s="200" t="str">
        <f>IF(ISERROR('Berechnungen 2'!BF91),"",'Berechnungen 2'!BF91)</f>
        <v/>
      </c>
      <c r="AF88" s="200" t="str">
        <f>IF(ISERROR('Berechnungen 2'!BG91),"",'Berechnungen 2'!BG91)</f>
        <v/>
      </c>
      <c r="AG88" s="199" t="str">
        <f>IF(ISNUMBER(A88),IF(ISERROR('Berechnungen 2'!BK91),"",'Berechnungen 2'!BK91),"")</f>
        <v/>
      </c>
      <c r="AH88" s="200" t="str">
        <f>IF(ISERROR('Berechnungen 2'!BL91),"",'Berechnungen 2'!BL91)</f>
        <v/>
      </c>
      <c r="AI88" s="200" t="str">
        <f>IF(ISERROR('Berechnungen 2'!BM91),"",'Berechnungen 2'!BM91)</f>
        <v/>
      </c>
    </row>
    <row r="89" spans="1:35" x14ac:dyDescent="0.2">
      <c r="A89" s="71" t="str">
        <f t="shared" si="27"/>
        <v/>
      </c>
      <c r="B89" s="193">
        <f t="shared" si="38"/>
        <v>77</v>
      </c>
      <c r="C89" s="192">
        <f ca="1">IF(ISERROR(LARGE('Berechnungen 1'!$A$12:$A$311,B89)),"",LARGE('Berechnungen 1'!$A$12:$A$311,B89))</f>
        <v>224</v>
      </c>
      <c r="D89" s="76" t="str">
        <f t="shared" si="25"/>
        <v/>
      </c>
      <c r="E89" s="76" t="str">
        <f t="shared" si="25"/>
        <v/>
      </c>
      <c r="F89" s="155" t="str">
        <f t="shared" si="28"/>
        <v/>
      </c>
      <c r="G89" s="204" t="str">
        <f t="shared" si="29"/>
        <v/>
      </c>
      <c r="H89" s="156" t="str">
        <f t="shared" si="30"/>
        <v/>
      </c>
      <c r="I89" s="155" t="str">
        <f t="shared" si="31"/>
        <v/>
      </c>
      <c r="J89" s="184">
        <f t="shared" ca="1" si="32"/>
        <v>999999</v>
      </c>
      <c r="K89" s="184">
        <f>IF(OR(ISBLANK('Etape 1'!E84),ISBLANK('Etape 1'!F84)),IF(AND(ISBLANK('Etape 1'!B84),ISBLANK('Etape 1'!C84),ISBLANK('Etape 1'!D84),ISBLANK('Etape 1'!E84),ISBLANK('Etape 1'!F84),ISBLANK('Etape 1'!G84),ISBLANK('Etape 1'!H84)),999,9999),IF(VLOOKUP($C89,Matrix_Berechnungen1.Rang.Pumpendaten.Zwischenresultate,$C$9,0)&gt;0,VLOOKUP($C89,Matrix_Berechnungen1.Rang.Pumpendaten.Zwischenresultate,K$9,0),""))</f>
        <v>999</v>
      </c>
      <c r="L89" s="184">
        <f t="shared" ca="1" si="26"/>
        <v>77</v>
      </c>
      <c r="M89" s="184">
        <f t="shared" ca="1" si="26"/>
        <v>0</v>
      </c>
      <c r="N89" s="84"/>
      <c r="O89" s="84"/>
      <c r="P89" s="84"/>
      <c r="Q89" s="69" t="str">
        <f t="shared" si="33"/>
        <v/>
      </c>
      <c r="R89" s="84"/>
      <c r="S89" s="65" t="str">
        <f t="shared" si="35"/>
        <v/>
      </c>
      <c r="T89" s="69" t="str">
        <f t="shared" si="34"/>
        <v/>
      </c>
      <c r="U89" s="84"/>
      <c r="V89" s="65" t="str">
        <f t="shared" si="36"/>
        <v/>
      </c>
      <c r="W89" s="108"/>
      <c r="X89" s="108"/>
      <c r="Y89" s="108"/>
      <c r="Z89" s="110" t="str">
        <f t="shared" si="37"/>
        <v/>
      </c>
      <c r="AA89" s="199" t="str">
        <f>IF(ISERROR('Berechnungen 2'!AR92),"",'Berechnungen 2'!AR92)</f>
        <v/>
      </c>
      <c r="AB89" s="200" t="str">
        <f>IF(ISERROR('Berechnungen 2'!AS92),"",'Berechnungen 2'!AS92)</f>
        <v/>
      </c>
      <c r="AC89" s="200" t="str">
        <f>IF(ISERROR('Berechnungen 2'!AT92),"",'Berechnungen 2'!AT92)</f>
        <v/>
      </c>
      <c r="AD89" s="199" t="str">
        <f>IF(ISERROR('Berechnungen 2'!BE92),"",'Berechnungen 2'!BE92)</f>
        <v/>
      </c>
      <c r="AE89" s="200" t="str">
        <f>IF(ISERROR('Berechnungen 2'!BF92),"",'Berechnungen 2'!BF92)</f>
        <v/>
      </c>
      <c r="AF89" s="200" t="str">
        <f>IF(ISERROR('Berechnungen 2'!BG92),"",'Berechnungen 2'!BG92)</f>
        <v/>
      </c>
      <c r="AG89" s="199" t="str">
        <f>IF(ISNUMBER(A89),IF(ISERROR('Berechnungen 2'!BK92),"",'Berechnungen 2'!BK92),"")</f>
        <v/>
      </c>
      <c r="AH89" s="200" t="str">
        <f>IF(ISERROR('Berechnungen 2'!BL92),"",'Berechnungen 2'!BL92)</f>
        <v/>
      </c>
      <c r="AI89" s="200" t="str">
        <f>IF(ISERROR('Berechnungen 2'!BM92),"",'Berechnungen 2'!BM92)</f>
        <v/>
      </c>
    </row>
    <row r="90" spans="1:35" x14ac:dyDescent="0.2">
      <c r="A90" s="71" t="str">
        <f t="shared" si="27"/>
        <v/>
      </c>
      <c r="B90" s="193">
        <f t="shared" si="38"/>
        <v>78</v>
      </c>
      <c r="C90" s="192">
        <f ca="1">IF(ISERROR(LARGE('Berechnungen 1'!$A$12:$A$311,B90)),"",LARGE('Berechnungen 1'!$A$12:$A$311,B90))</f>
        <v>223</v>
      </c>
      <c r="D90" s="76" t="str">
        <f t="shared" si="25"/>
        <v/>
      </c>
      <c r="E90" s="76" t="str">
        <f t="shared" si="25"/>
        <v/>
      </c>
      <c r="F90" s="155" t="str">
        <f t="shared" si="28"/>
        <v/>
      </c>
      <c r="G90" s="204" t="str">
        <f t="shared" si="29"/>
        <v/>
      </c>
      <c r="H90" s="156" t="str">
        <f t="shared" si="30"/>
        <v/>
      </c>
      <c r="I90" s="155" t="str">
        <f t="shared" si="31"/>
        <v/>
      </c>
      <c r="J90" s="184">
        <f t="shared" ca="1" si="32"/>
        <v>999999</v>
      </c>
      <c r="K90" s="184">
        <f>IF(OR(ISBLANK('Etape 1'!E85),ISBLANK('Etape 1'!F85)),IF(AND(ISBLANK('Etape 1'!B85),ISBLANK('Etape 1'!C85),ISBLANK('Etape 1'!D85),ISBLANK('Etape 1'!E85),ISBLANK('Etape 1'!F85),ISBLANK('Etape 1'!G85),ISBLANK('Etape 1'!H85)),999,9999),IF(VLOOKUP($C90,Matrix_Berechnungen1.Rang.Pumpendaten.Zwischenresultate,$C$9,0)&gt;0,VLOOKUP($C90,Matrix_Berechnungen1.Rang.Pumpendaten.Zwischenresultate,K$9,0),""))</f>
        <v>999</v>
      </c>
      <c r="L90" s="184">
        <f t="shared" ca="1" si="26"/>
        <v>78</v>
      </c>
      <c r="M90" s="184">
        <f t="shared" ca="1" si="26"/>
        <v>0</v>
      </c>
      <c r="N90" s="84"/>
      <c r="O90" s="84"/>
      <c r="P90" s="84"/>
      <c r="Q90" s="69" t="str">
        <f t="shared" si="33"/>
        <v/>
      </c>
      <c r="R90" s="84"/>
      <c r="S90" s="65" t="str">
        <f t="shared" si="35"/>
        <v/>
      </c>
      <c r="T90" s="69" t="str">
        <f t="shared" si="34"/>
        <v/>
      </c>
      <c r="U90" s="84"/>
      <c r="V90" s="65" t="str">
        <f t="shared" si="36"/>
        <v/>
      </c>
      <c r="W90" s="108"/>
      <c r="X90" s="108"/>
      <c r="Y90" s="108"/>
      <c r="Z90" s="110" t="str">
        <f t="shared" si="37"/>
        <v/>
      </c>
      <c r="AA90" s="199" t="str">
        <f>IF(ISERROR('Berechnungen 2'!AR93),"",'Berechnungen 2'!AR93)</f>
        <v/>
      </c>
      <c r="AB90" s="200" t="str">
        <f>IF(ISERROR('Berechnungen 2'!AS93),"",'Berechnungen 2'!AS93)</f>
        <v/>
      </c>
      <c r="AC90" s="200" t="str">
        <f>IF(ISERROR('Berechnungen 2'!AT93),"",'Berechnungen 2'!AT93)</f>
        <v/>
      </c>
      <c r="AD90" s="199" t="str">
        <f>IF(ISERROR('Berechnungen 2'!BE93),"",'Berechnungen 2'!BE93)</f>
        <v/>
      </c>
      <c r="AE90" s="200" t="str">
        <f>IF(ISERROR('Berechnungen 2'!BF93),"",'Berechnungen 2'!BF93)</f>
        <v/>
      </c>
      <c r="AF90" s="200" t="str">
        <f>IF(ISERROR('Berechnungen 2'!BG93),"",'Berechnungen 2'!BG93)</f>
        <v/>
      </c>
      <c r="AG90" s="199" t="str">
        <f>IF(ISNUMBER(A90),IF(ISERROR('Berechnungen 2'!BK93),"",'Berechnungen 2'!BK93),"")</f>
        <v/>
      </c>
      <c r="AH90" s="200" t="str">
        <f>IF(ISERROR('Berechnungen 2'!BL93),"",'Berechnungen 2'!BL93)</f>
        <v/>
      </c>
      <c r="AI90" s="200" t="str">
        <f>IF(ISERROR('Berechnungen 2'!BM93),"",'Berechnungen 2'!BM93)</f>
        <v/>
      </c>
    </row>
    <row r="91" spans="1:35" x14ac:dyDescent="0.2">
      <c r="A91" s="71" t="str">
        <f t="shared" si="27"/>
        <v/>
      </c>
      <c r="B91" s="193">
        <f t="shared" si="38"/>
        <v>79</v>
      </c>
      <c r="C91" s="192">
        <f ca="1">IF(ISERROR(LARGE('Berechnungen 1'!$A$12:$A$311,B91)),"",LARGE('Berechnungen 1'!$A$12:$A$311,B91))</f>
        <v>222</v>
      </c>
      <c r="D91" s="76" t="str">
        <f t="shared" si="25"/>
        <v/>
      </c>
      <c r="E91" s="76" t="str">
        <f t="shared" si="25"/>
        <v/>
      </c>
      <c r="F91" s="155" t="str">
        <f t="shared" si="28"/>
        <v/>
      </c>
      <c r="G91" s="204" t="str">
        <f t="shared" si="29"/>
        <v/>
      </c>
      <c r="H91" s="156" t="str">
        <f t="shared" si="30"/>
        <v/>
      </c>
      <c r="I91" s="155" t="str">
        <f t="shared" si="31"/>
        <v/>
      </c>
      <c r="J91" s="184">
        <f t="shared" ca="1" si="32"/>
        <v>999999</v>
      </c>
      <c r="K91" s="184">
        <f>IF(OR(ISBLANK('Etape 1'!E86),ISBLANK('Etape 1'!F86)),IF(AND(ISBLANK('Etape 1'!B86),ISBLANK('Etape 1'!C86),ISBLANK('Etape 1'!D86),ISBLANK('Etape 1'!E86),ISBLANK('Etape 1'!F86),ISBLANK('Etape 1'!G86),ISBLANK('Etape 1'!H86)),999,9999),IF(VLOOKUP($C91,Matrix_Berechnungen1.Rang.Pumpendaten.Zwischenresultate,$C$9,0)&gt;0,VLOOKUP($C91,Matrix_Berechnungen1.Rang.Pumpendaten.Zwischenresultate,K$9,0),""))</f>
        <v>999</v>
      </c>
      <c r="L91" s="184">
        <f t="shared" ca="1" si="26"/>
        <v>79</v>
      </c>
      <c r="M91" s="184">
        <f t="shared" ca="1" si="26"/>
        <v>0</v>
      </c>
      <c r="N91" s="84"/>
      <c r="O91" s="84"/>
      <c r="P91" s="84"/>
      <c r="Q91" s="69" t="str">
        <f t="shared" si="33"/>
        <v/>
      </c>
      <c r="R91" s="84"/>
      <c r="S91" s="65" t="str">
        <f t="shared" si="35"/>
        <v/>
      </c>
      <c r="T91" s="69" t="str">
        <f t="shared" si="34"/>
        <v/>
      </c>
      <c r="U91" s="84"/>
      <c r="V91" s="65" t="str">
        <f t="shared" si="36"/>
        <v/>
      </c>
      <c r="W91" s="108"/>
      <c r="X91" s="108"/>
      <c r="Y91" s="108"/>
      <c r="Z91" s="110" t="str">
        <f t="shared" si="37"/>
        <v/>
      </c>
      <c r="AA91" s="199" t="str">
        <f>IF(ISERROR('Berechnungen 2'!AR94),"",'Berechnungen 2'!AR94)</f>
        <v/>
      </c>
      <c r="AB91" s="200" t="str">
        <f>IF(ISERROR('Berechnungen 2'!AS94),"",'Berechnungen 2'!AS94)</f>
        <v/>
      </c>
      <c r="AC91" s="200" t="str">
        <f>IF(ISERROR('Berechnungen 2'!AT94),"",'Berechnungen 2'!AT94)</f>
        <v/>
      </c>
      <c r="AD91" s="199" t="str">
        <f>IF(ISERROR('Berechnungen 2'!BE94),"",'Berechnungen 2'!BE94)</f>
        <v/>
      </c>
      <c r="AE91" s="200" t="str">
        <f>IF(ISERROR('Berechnungen 2'!BF94),"",'Berechnungen 2'!BF94)</f>
        <v/>
      </c>
      <c r="AF91" s="200" t="str">
        <f>IF(ISERROR('Berechnungen 2'!BG94),"",'Berechnungen 2'!BG94)</f>
        <v/>
      </c>
      <c r="AG91" s="199" t="str">
        <f>IF(ISNUMBER(A91),IF(ISERROR('Berechnungen 2'!BK94),"",'Berechnungen 2'!BK94),"")</f>
        <v/>
      </c>
      <c r="AH91" s="200" t="str">
        <f>IF(ISERROR('Berechnungen 2'!BL94),"",'Berechnungen 2'!BL94)</f>
        <v/>
      </c>
      <c r="AI91" s="200" t="str">
        <f>IF(ISERROR('Berechnungen 2'!BM94),"",'Berechnungen 2'!BM94)</f>
        <v/>
      </c>
    </row>
    <row r="92" spans="1:35" x14ac:dyDescent="0.2">
      <c r="A92" s="71" t="str">
        <f t="shared" si="27"/>
        <v/>
      </c>
      <c r="B92" s="193">
        <f t="shared" si="38"/>
        <v>80</v>
      </c>
      <c r="C92" s="192">
        <f ca="1">IF(ISERROR(LARGE('Berechnungen 1'!$A$12:$A$311,B92)),"",LARGE('Berechnungen 1'!$A$12:$A$311,B92))</f>
        <v>221</v>
      </c>
      <c r="D92" s="76" t="str">
        <f t="shared" si="25"/>
        <v/>
      </c>
      <c r="E92" s="76" t="str">
        <f t="shared" si="25"/>
        <v/>
      </c>
      <c r="F92" s="155" t="str">
        <f t="shared" si="28"/>
        <v/>
      </c>
      <c r="G92" s="204" t="str">
        <f t="shared" si="29"/>
        <v/>
      </c>
      <c r="H92" s="156" t="str">
        <f t="shared" si="30"/>
        <v/>
      </c>
      <c r="I92" s="155" t="str">
        <f t="shared" si="31"/>
        <v/>
      </c>
      <c r="J92" s="184">
        <f t="shared" ca="1" si="32"/>
        <v>999999</v>
      </c>
      <c r="K92" s="184">
        <f>IF(OR(ISBLANK('Etape 1'!E87),ISBLANK('Etape 1'!F87)),IF(AND(ISBLANK('Etape 1'!B87),ISBLANK('Etape 1'!C87),ISBLANK('Etape 1'!D87),ISBLANK('Etape 1'!E87),ISBLANK('Etape 1'!F87),ISBLANK('Etape 1'!G87),ISBLANK('Etape 1'!H87)),999,9999),IF(VLOOKUP($C92,Matrix_Berechnungen1.Rang.Pumpendaten.Zwischenresultate,$C$9,0)&gt;0,VLOOKUP($C92,Matrix_Berechnungen1.Rang.Pumpendaten.Zwischenresultate,K$9,0),""))</f>
        <v>999</v>
      </c>
      <c r="L92" s="184">
        <f t="shared" ca="1" si="26"/>
        <v>80</v>
      </c>
      <c r="M92" s="184">
        <f t="shared" ca="1" si="26"/>
        <v>0</v>
      </c>
      <c r="N92" s="84"/>
      <c r="O92" s="84"/>
      <c r="P92" s="84"/>
      <c r="Q92" s="69" t="str">
        <f t="shared" si="33"/>
        <v/>
      </c>
      <c r="R92" s="84"/>
      <c r="S92" s="65" t="str">
        <f t="shared" si="35"/>
        <v/>
      </c>
      <c r="T92" s="69" t="str">
        <f t="shared" si="34"/>
        <v/>
      </c>
      <c r="U92" s="84"/>
      <c r="V92" s="65" t="str">
        <f t="shared" si="36"/>
        <v/>
      </c>
      <c r="W92" s="108"/>
      <c r="X92" s="108"/>
      <c r="Y92" s="108"/>
      <c r="Z92" s="110" t="str">
        <f t="shared" si="37"/>
        <v/>
      </c>
      <c r="AA92" s="199" t="str">
        <f>IF(ISERROR('Berechnungen 2'!AR95),"",'Berechnungen 2'!AR95)</f>
        <v/>
      </c>
      <c r="AB92" s="200" t="str">
        <f>IF(ISERROR('Berechnungen 2'!AS95),"",'Berechnungen 2'!AS95)</f>
        <v/>
      </c>
      <c r="AC92" s="200" t="str">
        <f>IF(ISERROR('Berechnungen 2'!AT95),"",'Berechnungen 2'!AT95)</f>
        <v/>
      </c>
      <c r="AD92" s="199" t="str">
        <f>IF(ISERROR('Berechnungen 2'!BE95),"",'Berechnungen 2'!BE95)</f>
        <v/>
      </c>
      <c r="AE92" s="200" t="str">
        <f>IF(ISERROR('Berechnungen 2'!BF95),"",'Berechnungen 2'!BF95)</f>
        <v/>
      </c>
      <c r="AF92" s="200" t="str">
        <f>IF(ISERROR('Berechnungen 2'!BG95),"",'Berechnungen 2'!BG95)</f>
        <v/>
      </c>
      <c r="AG92" s="199" t="str">
        <f>IF(ISNUMBER(A92),IF(ISERROR('Berechnungen 2'!BK95),"",'Berechnungen 2'!BK95),"")</f>
        <v/>
      </c>
      <c r="AH92" s="200" t="str">
        <f>IF(ISERROR('Berechnungen 2'!BL95),"",'Berechnungen 2'!BL95)</f>
        <v/>
      </c>
      <c r="AI92" s="200" t="str">
        <f>IF(ISERROR('Berechnungen 2'!BM95),"",'Berechnungen 2'!BM95)</f>
        <v/>
      </c>
    </row>
    <row r="93" spans="1:35" x14ac:dyDescent="0.2">
      <c r="A93" s="71" t="str">
        <f t="shared" si="27"/>
        <v/>
      </c>
      <c r="B93" s="193">
        <f t="shared" si="38"/>
        <v>81</v>
      </c>
      <c r="C93" s="192">
        <f ca="1">IF(ISERROR(LARGE('Berechnungen 1'!$A$12:$A$311,B93)),"",LARGE('Berechnungen 1'!$A$12:$A$311,B93))</f>
        <v>220</v>
      </c>
      <c r="D93" s="76" t="str">
        <f t="shared" ref="D93:E112" si="39">IF(ISNUMBER($A93),IF(VLOOKUP($C93,Matrix_Berechnungen1.Rang.Pumpendaten.Zwischenresultate,$C$9,0)&gt;0,IF(VLOOKUP($C93,Matrix_Berechnungen1.Rang.Pumpendaten.Zwischenresultate,D$9,0)=0,"",VLOOKUP($C93,Matrix_Berechnungen1.Rang.Pumpendaten.Zwischenresultate,D$9,0)),""),"")</f>
        <v/>
      </c>
      <c r="E93" s="76" t="str">
        <f t="shared" si="39"/>
        <v/>
      </c>
      <c r="F93" s="155" t="str">
        <f t="shared" si="28"/>
        <v/>
      </c>
      <c r="G93" s="204" t="str">
        <f t="shared" si="29"/>
        <v/>
      </c>
      <c r="H93" s="156" t="str">
        <f t="shared" si="30"/>
        <v/>
      </c>
      <c r="I93" s="155" t="str">
        <f t="shared" si="31"/>
        <v/>
      </c>
      <c r="J93" s="184">
        <f t="shared" ca="1" si="32"/>
        <v>999999</v>
      </c>
      <c r="K93" s="184">
        <f>IF(OR(ISBLANK('Etape 1'!E88),ISBLANK('Etape 1'!F88)),IF(AND(ISBLANK('Etape 1'!B88),ISBLANK('Etape 1'!C88),ISBLANK('Etape 1'!D88),ISBLANK('Etape 1'!E88),ISBLANK('Etape 1'!F88),ISBLANK('Etape 1'!G88),ISBLANK('Etape 1'!H88)),999,9999),IF(VLOOKUP($C93,Matrix_Berechnungen1.Rang.Pumpendaten.Zwischenresultate,$C$9,0)&gt;0,VLOOKUP($C93,Matrix_Berechnungen1.Rang.Pumpendaten.Zwischenresultate,K$9,0),""))</f>
        <v>999</v>
      </c>
      <c r="L93" s="184">
        <f t="shared" ref="L93:M112" ca="1" si="40">IF(VLOOKUP($C93,Matrix_Berechnungen1.Rang.Pumpendaten.Zwischenresultate,$C$9,0)&gt;0,VLOOKUP($C93,Matrix_Berechnungen1.Rang.Pumpendaten.Zwischenresultate,L$9,0),"")</f>
        <v>81</v>
      </c>
      <c r="M93" s="184">
        <f t="shared" ca="1" si="40"/>
        <v>0</v>
      </c>
      <c r="N93" s="84"/>
      <c r="O93" s="84"/>
      <c r="P93" s="84"/>
      <c r="Q93" s="69" t="str">
        <f t="shared" si="33"/>
        <v/>
      </c>
      <c r="R93" s="84"/>
      <c r="S93" s="65" t="str">
        <f t="shared" si="35"/>
        <v/>
      </c>
      <c r="T93" s="69" t="str">
        <f t="shared" si="34"/>
        <v/>
      </c>
      <c r="U93" s="84"/>
      <c r="V93" s="65" t="str">
        <f t="shared" si="36"/>
        <v/>
      </c>
      <c r="W93" s="108"/>
      <c r="X93" s="108"/>
      <c r="Y93" s="108"/>
      <c r="Z93" s="110" t="str">
        <f t="shared" si="37"/>
        <v/>
      </c>
      <c r="AA93" s="199" t="str">
        <f>IF(ISERROR('Berechnungen 2'!AR96),"",'Berechnungen 2'!AR96)</f>
        <v/>
      </c>
      <c r="AB93" s="200" t="str">
        <f>IF(ISERROR('Berechnungen 2'!AS96),"",'Berechnungen 2'!AS96)</f>
        <v/>
      </c>
      <c r="AC93" s="200" t="str">
        <f>IF(ISERROR('Berechnungen 2'!AT96),"",'Berechnungen 2'!AT96)</f>
        <v/>
      </c>
      <c r="AD93" s="199" t="str">
        <f>IF(ISERROR('Berechnungen 2'!BE96),"",'Berechnungen 2'!BE96)</f>
        <v/>
      </c>
      <c r="AE93" s="200" t="str">
        <f>IF(ISERROR('Berechnungen 2'!BF96),"",'Berechnungen 2'!BF96)</f>
        <v/>
      </c>
      <c r="AF93" s="200" t="str">
        <f>IF(ISERROR('Berechnungen 2'!BG96),"",'Berechnungen 2'!BG96)</f>
        <v/>
      </c>
      <c r="AG93" s="199" t="str">
        <f>IF(ISNUMBER(A93),IF(ISERROR('Berechnungen 2'!BK96),"",'Berechnungen 2'!BK96),"")</f>
        <v/>
      </c>
      <c r="AH93" s="200" t="str">
        <f>IF(ISERROR('Berechnungen 2'!BL96),"",'Berechnungen 2'!BL96)</f>
        <v/>
      </c>
      <c r="AI93" s="200" t="str">
        <f>IF(ISERROR('Berechnungen 2'!BM96),"",'Berechnungen 2'!BM96)</f>
        <v/>
      </c>
    </row>
    <row r="94" spans="1:35" x14ac:dyDescent="0.2">
      <c r="A94" s="71" t="str">
        <f t="shared" si="27"/>
        <v/>
      </c>
      <c r="B94" s="193">
        <f t="shared" si="38"/>
        <v>82</v>
      </c>
      <c r="C94" s="192">
        <f ca="1">IF(ISERROR(LARGE('Berechnungen 1'!$A$12:$A$311,B94)),"",LARGE('Berechnungen 1'!$A$12:$A$311,B94))</f>
        <v>219</v>
      </c>
      <c r="D94" s="76" t="str">
        <f t="shared" si="39"/>
        <v/>
      </c>
      <c r="E94" s="76" t="str">
        <f t="shared" si="39"/>
        <v/>
      </c>
      <c r="F94" s="155" t="str">
        <f t="shared" si="28"/>
        <v/>
      </c>
      <c r="G94" s="204" t="str">
        <f t="shared" si="29"/>
        <v/>
      </c>
      <c r="H94" s="156" t="str">
        <f t="shared" si="30"/>
        <v/>
      </c>
      <c r="I94" s="155" t="str">
        <f t="shared" si="31"/>
        <v/>
      </c>
      <c r="J94" s="184">
        <f t="shared" ca="1" si="32"/>
        <v>999999</v>
      </c>
      <c r="K94" s="184">
        <f>IF(OR(ISBLANK('Etape 1'!E89),ISBLANK('Etape 1'!F89)),IF(AND(ISBLANK('Etape 1'!B89),ISBLANK('Etape 1'!C89),ISBLANK('Etape 1'!D89),ISBLANK('Etape 1'!E89),ISBLANK('Etape 1'!F89),ISBLANK('Etape 1'!G89),ISBLANK('Etape 1'!H89)),999,9999),IF(VLOOKUP($C94,Matrix_Berechnungen1.Rang.Pumpendaten.Zwischenresultate,$C$9,0)&gt;0,VLOOKUP($C94,Matrix_Berechnungen1.Rang.Pumpendaten.Zwischenresultate,K$9,0),""))</f>
        <v>999</v>
      </c>
      <c r="L94" s="184">
        <f t="shared" ca="1" si="40"/>
        <v>82</v>
      </c>
      <c r="M94" s="184">
        <f t="shared" ca="1" si="40"/>
        <v>0</v>
      </c>
      <c r="N94" s="84"/>
      <c r="O94" s="84"/>
      <c r="P94" s="84"/>
      <c r="Q94" s="69" t="str">
        <f t="shared" si="33"/>
        <v/>
      </c>
      <c r="R94" s="84"/>
      <c r="S94" s="65" t="str">
        <f t="shared" si="35"/>
        <v/>
      </c>
      <c r="T94" s="69" t="str">
        <f t="shared" si="34"/>
        <v/>
      </c>
      <c r="U94" s="84"/>
      <c r="V94" s="65" t="str">
        <f t="shared" si="36"/>
        <v/>
      </c>
      <c r="W94" s="108"/>
      <c r="X94" s="108"/>
      <c r="Y94" s="108"/>
      <c r="Z94" s="110" t="str">
        <f t="shared" si="37"/>
        <v/>
      </c>
      <c r="AA94" s="199" t="str">
        <f>IF(ISERROR('Berechnungen 2'!AR97),"",'Berechnungen 2'!AR97)</f>
        <v/>
      </c>
      <c r="AB94" s="200" t="str">
        <f>IF(ISERROR('Berechnungen 2'!AS97),"",'Berechnungen 2'!AS97)</f>
        <v/>
      </c>
      <c r="AC94" s="200" t="str">
        <f>IF(ISERROR('Berechnungen 2'!AT97),"",'Berechnungen 2'!AT97)</f>
        <v/>
      </c>
      <c r="AD94" s="199" t="str">
        <f>IF(ISERROR('Berechnungen 2'!BE97),"",'Berechnungen 2'!BE97)</f>
        <v/>
      </c>
      <c r="AE94" s="200" t="str">
        <f>IF(ISERROR('Berechnungen 2'!BF97),"",'Berechnungen 2'!BF97)</f>
        <v/>
      </c>
      <c r="AF94" s="200" t="str">
        <f>IF(ISERROR('Berechnungen 2'!BG97),"",'Berechnungen 2'!BG97)</f>
        <v/>
      </c>
      <c r="AG94" s="199" t="str">
        <f>IF(ISNUMBER(A94),IF(ISERROR('Berechnungen 2'!BK97),"",'Berechnungen 2'!BK97),"")</f>
        <v/>
      </c>
      <c r="AH94" s="200" t="str">
        <f>IF(ISERROR('Berechnungen 2'!BL97),"",'Berechnungen 2'!BL97)</f>
        <v/>
      </c>
      <c r="AI94" s="200" t="str">
        <f>IF(ISERROR('Berechnungen 2'!BM97),"",'Berechnungen 2'!BM97)</f>
        <v/>
      </c>
    </row>
    <row r="95" spans="1:35" x14ac:dyDescent="0.2">
      <c r="A95" s="71" t="str">
        <f t="shared" si="27"/>
        <v/>
      </c>
      <c r="B95" s="193">
        <f t="shared" si="38"/>
        <v>83</v>
      </c>
      <c r="C95" s="192">
        <f ca="1">IF(ISERROR(LARGE('Berechnungen 1'!$A$12:$A$311,B95)),"",LARGE('Berechnungen 1'!$A$12:$A$311,B95))</f>
        <v>218</v>
      </c>
      <c r="D95" s="76" t="str">
        <f t="shared" si="39"/>
        <v/>
      </c>
      <c r="E95" s="76" t="str">
        <f t="shared" si="39"/>
        <v/>
      </c>
      <c r="F95" s="155" t="str">
        <f t="shared" si="28"/>
        <v/>
      </c>
      <c r="G95" s="204" t="str">
        <f t="shared" si="29"/>
        <v/>
      </c>
      <c r="H95" s="156" t="str">
        <f t="shared" si="30"/>
        <v/>
      </c>
      <c r="I95" s="155" t="str">
        <f t="shared" si="31"/>
        <v/>
      </c>
      <c r="J95" s="184">
        <f t="shared" ca="1" si="32"/>
        <v>999999</v>
      </c>
      <c r="K95" s="184">
        <f>IF(OR(ISBLANK('Etape 1'!E90),ISBLANK('Etape 1'!F90)),IF(AND(ISBLANK('Etape 1'!B90),ISBLANK('Etape 1'!C90),ISBLANK('Etape 1'!D90),ISBLANK('Etape 1'!E90),ISBLANK('Etape 1'!F90),ISBLANK('Etape 1'!G90),ISBLANK('Etape 1'!H90)),999,9999),IF(VLOOKUP($C95,Matrix_Berechnungen1.Rang.Pumpendaten.Zwischenresultate,$C$9,0)&gt;0,VLOOKUP($C95,Matrix_Berechnungen1.Rang.Pumpendaten.Zwischenresultate,K$9,0),""))</f>
        <v>999</v>
      </c>
      <c r="L95" s="184">
        <f t="shared" ca="1" si="40"/>
        <v>83</v>
      </c>
      <c r="M95" s="184">
        <f t="shared" ca="1" si="40"/>
        <v>0</v>
      </c>
      <c r="N95" s="84"/>
      <c r="O95" s="84"/>
      <c r="P95" s="84"/>
      <c r="Q95" s="69" t="str">
        <f t="shared" si="33"/>
        <v/>
      </c>
      <c r="R95" s="84"/>
      <c r="S95" s="65" t="str">
        <f t="shared" si="35"/>
        <v/>
      </c>
      <c r="T95" s="69" t="str">
        <f t="shared" si="34"/>
        <v/>
      </c>
      <c r="U95" s="84"/>
      <c r="V95" s="65" t="str">
        <f t="shared" si="36"/>
        <v/>
      </c>
      <c r="W95" s="108"/>
      <c r="X95" s="108"/>
      <c r="Y95" s="108"/>
      <c r="Z95" s="110" t="str">
        <f t="shared" si="37"/>
        <v/>
      </c>
      <c r="AA95" s="199" t="str">
        <f>IF(ISERROR('Berechnungen 2'!AR98),"",'Berechnungen 2'!AR98)</f>
        <v/>
      </c>
      <c r="AB95" s="200" t="str">
        <f>IF(ISERROR('Berechnungen 2'!AS98),"",'Berechnungen 2'!AS98)</f>
        <v/>
      </c>
      <c r="AC95" s="200" t="str">
        <f>IF(ISERROR('Berechnungen 2'!AT98),"",'Berechnungen 2'!AT98)</f>
        <v/>
      </c>
      <c r="AD95" s="199" t="str">
        <f>IF(ISERROR('Berechnungen 2'!BE98),"",'Berechnungen 2'!BE98)</f>
        <v/>
      </c>
      <c r="AE95" s="200" t="str">
        <f>IF(ISERROR('Berechnungen 2'!BF98),"",'Berechnungen 2'!BF98)</f>
        <v/>
      </c>
      <c r="AF95" s="200" t="str">
        <f>IF(ISERROR('Berechnungen 2'!BG98),"",'Berechnungen 2'!BG98)</f>
        <v/>
      </c>
      <c r="AG95" s="199" t="str">
        <f>IF(ISNUMBER(A95),IF(ISERROR('Berechnungen 2'!BK98),"",'Berechnungen 2'!BK98),"")</f>
        <v/>
      </c>
      <c r="AH95" s="200" t="str">
        <f>IF(ISERROR('Berechnungen 2'!BL98),"",'Berechnungen 2'!BL98)</f>
        <v/>
      </c>
      <c r="AI95" s="200" t="str">
        <f>IF(ISERROR('Berechnungen 2'!BM98),"",'Berechnungen 2'!BM98)</f>
        <v/>
      </c>
    </row>
    <row r="96" spans="1:35" x14ac:dyDescent="0.2">
      <c r="A96" s="71" t="str">
        <f t="shared" si="27"/>
        <v/>
      </c>
      <c r="B96" s="193">
        <f t="shared" si="38"/>
        <v>84</v>
      </c>
      <c r="C96" s="192">
        <f ca="1">IF(ISERROR(LARGE('Berechnungen 1'!$A$12:$A$311,B96)),"",LARGE('Berechnungen 1'!$A$12:$A$311,B96))</f>
        <v>217</v>
      </c>
      <c r="D96" s="76" t="str">
        <f t="shared" si="39"/>
        <v/>
      </c>
      <c r="E96" s="76" t="str">
        <f t="shared" si="39"/>
        <v/>
      </c>
      <c r="F96" s="155" t="str">
        <f t="shared" si="28"/>
        <v/>
      </c>
      <c r="G96" s="204" t="str">
        <f t="shared" si="29"/>
        <v/>
      </c>
      <c r="H96" s="156" t="str">
        <f t="shared" si="30"/>
        <v/>
      </c>
      <c r="I96" s="155" t="str">
        <f t="shared" si="31"/>
        <v/>
      </c>
      <c r="J96" s="184">
        <f t="shared" ca="1" si="32"/>
        <v>999999</v>
      </c>
      <c r="K96" s="184">
        <f>IF(OR(ISBLANK('Etape 1'!E91),ISBLANK('Etape 1'!F91)),IF(AND(ISBLANK('Etape 1'!B91),ISBLANK('Etape 1'!C91),ISBLANK('Etape 1'!D91),ISBLANK('Etape 1'!E91),ISBLANK('Etape 1'!F91),ISBLANK('Etape 1'!G91),ISBLANK('Etape 1'!H91)),999,9999),IF(VLOOKUP($C96,Matrix_Berechnungen1.Rang.Pumpendaten.Zwischenresultate,$C$9,0)&gt;0,VLOOKUP($C96,Matrix_Berechnungen1.Rang.Pumpendaten.Zwischenresultate,K$9,0),""))</f>
        <v>999</v>
      </c>
      <c r="L96" s="184">
        <f t="shared" ca="1" si="40"/>
        <v>84</v>
      </c>
      <c r="M96" s="184">
        <f t="shared" ca="1" si="40"/>
        <v>0</v>
      </c>
      <c r="N96" s="84"/>
      <c r="O96" s="84"/>
      <c r="P96" s="84"/>
      <c r="Q96" s="69" t="str">
        <f t="shared" si="33"/>
        <v/>
      </c>
      <c r="R96" s="84"/>
      <c r="S96" s="65" t="str">
        <f t="shared" si="35"/>
        <v/>
      </c>
      <c r="T96" s="69" t="str">
        <f t="shared" si="34"/>
        <v/>
      </c>
      <c r="U96" s="84"/>
      <c r="V96" s="65" t="str">
        <f t="shared" si="36"/>
        <v/>
      </c>
      <c r="W96" s="108"/>
      <c r="X96" s="108"/>
      <c r="Y96" s="108"/>
      <c r="Z96" s="110" t="str">
        <f t="shared" si="37"/>
        <v/>
      </c>
      <c r="AA96" s="199" t="str">
        <f>IF(ISERROR('Berechnungen 2'!AR99),"",'Berechnungen 2'!AR99)</f>
        <v/>
      </c>
      <c r="AB96" s="200" t="str">
        <f>IF(ISERROR('Berechnungen 2'!AS99),"",'Berechnungen 2'!AS99)</f>
        <v/>
      </c>
      <c r="AC96" s="200" t="str">
        <f>IF(ISERROR('Berechnungen 2'!AT99),"",'Berechnungen 2'!AT99)</f>
        <v/>
      </c>
      <c r="AD96" s="199" t="str">
        <f>IF(ISERROR('Berechnungen 2'!BE99),"",'Berechnungen 2'!BE99)</f>
        <v/>
      </c>
      <c r="AE96" s="200" t="str">
        <f>IF(ISERROR('Berechnungen 2'!BF99),"",'Berechnungen 2'!BF99)</f>
        <v/>
      </c>
      <c r="AF96" s="200" t="str">
        <f>IF(ISERROR('Berechnungen 2'!BG99),"",'Berechnungen 2'!BG99)</f>
        <v/>
      </c>
      <c r="AG96" s="199" t="str">
        <f>IF(ISNUMBER(A96),IF(ISERROR('Berechnungen 2'!BK99),"",'Berechnungen 2'!BK99),"")</f>
        <v/>
      </c>
      <c r="AH96" s="200" t="str">
        <f>IF(ISERROR('Berechnungen 2'!BL99),"",'Berechnungen 2'!BL99)</f>
        <v/>
      </c>
      <c r="AI96" s="200" t="str">
        <f>IF(ISERROR('Berechnungen 2'!BM99),"",'Berechnungen 2'!BM99)</f>
        <v/>
      </c>
    </row>
    <row r="97" spans="1:35" x14ac:dyDescent="0.2">
      <c r="A97" s="71" t="str">
        <f t="shared" si="27"/>
        <v/>
      </c>
      <c r="B97" s="193">
        <f t="shared" si="38"/>
        <v>85</v>
      </c>
      <c r="C97" s="192">
        <f ca="1">IF(ISERROR(LARGE('Berechnungen 1'!$A$12:$A$311,B97)),"",LARGE('Berechnungen 1'!$A$12:$A$311,B97))</f>
        <v>216</v>
      </c>
      <c r="D97" s="76" t="str">
        <f t="shared" si="39"/>
        <v/>
      </c>
      <c r="E97" s="76" t="str">
        <f t="shared" si="39"/>
        <v/>
      </c>
      <c r="F97" s="155" t="str">
        <f t="shared" si="28"/>
        <v/>
      </c>
      <c r="G97" s="204" t="str">
        <f t="shared" si="29"/>
        <v/>
      </c>
      <c r="H97" s="156" t="str">
        <f t="shared" si="30"/>
        <v/>
      </c>
      <c r="I97" s="155" t="str">
        <f t="shared" si="31"/>
        <v/>
      </c>
      <c r="J97" s="184">
        <f t="shared" ca="1" si="32"/>
        <v>999999</v>
      </c>
      <c r="K97" s="184">
        <f>IF(OR(ISBLANK('Etape 1'!E92),ISBLANK('Etape 1'!F92)),IF(AND(ISBLANK('Etape 1'!B92),ISBLANK('Etape 1'!C92),ISBLANK('Etape 1'!D92),ISBLANK('Etape 1'!E92),ISBLANK('Etape 1'!F92),ISBLANK('Etape 1'!G92),ISBLANK('Etape 1'!H92)),999,9999),IF(VLOOKUP($C97,Matrix_Berechnungen1.Rang.Pumpendaten.Zwischenresultate,$C$9,0)&gt;0,VLOOKUP($C97,Matrix_Berechnungen1.Rang.Pumpendaten.Zwischenresultate,K$9,0),""))</f>
        <v>999</v>
      </c>
      <c r="L97" s="184">
        <f t="shared" ca="1" si="40"/>
        <v>85</v>
      </c>
      <c r="M97" s="184">
        <f t="shared" ca="1" si="40"/>
        <v>0</v>
      </c>
      <c r="N97" s="84"/>
      <c r="O97" s="84"/>
      <c r="P97" s="84"/>
      <c r="Q97" s="69" t="str">
        <f t="shared" si="33"/>
        <v/>
      </c>
      <c r="R97" s="84"/>
      <c r="S97" s="65" t="str">
        <f t="shared" si="35"/>
        <v/>
      </c>
      <c r="T97" s="69" t="str">
        <f t="shared" si="34"/>
        <v/>
      </c>
      <c r="U97" s="84"/>
      <c r="V97" s="65" t="str">
        <f t="shared" si="36"/>
        <v/>
      </c>
      <c r="W97" s="108"/>
      <c r="X97" s="108"/>
      <c r="Y97" s="108"/>
      <c r="Z97" s="110" t="str">
        <f t="shared" si="37"/>
        <v/>
      </c>
      <c r="AA97" s="199" t="str">
        <f>IF(ISERROR('Berechnungen 2'!AR100),"",'Berechnungen 2'!AR100)</f>
        <v/>
      </c>
      <c r="AB97" s="200" t="str">
        <f>IF(ISERROR('Berechnungen 2'!AS100),"",'Berechnungen 2'!AS100)</f>
        <v/>
      </c>
      <c r="AC97" s="200" t="str">
        <f>IF(ISERROR('Berechnungen 2'!AT100),"",'Berechnungen 2'!AT100)</f>
        <v/>
      </c>
      <c r="AD97" s="199" t="str">
        <f>IF(ISERROR('Berechnungen 2'!BE100),"",'Berechnungen 2'!BE100)</f>
        <v/>
      </c>
      <c r="AE97" s="200" t="str">
        <f>IF(ISERROR('Berechnungen 2'!BF100),"",'Berechnungen 2'!BF100)</f>
        <v/>
      </c>
      <c r="AF97" s="200" t="str">
        <f>IF(ISERROR('Berechnungen 2'!BG100),"",'Berechnungen 2'!BG100)</f>
        <v/>
      </c>
      <c r="AG97" s="199" t="str">
        <f>IF(ISNUMBER(A97),IF(ISERROR('Berechnungen 2'!BK100),"",'Berechnungen 2'!BK100),"")</f>
        <v/>
      </c>
      <c r="AH97" s="200" t="str">
        <f>IF(ISERROR('Berechnungen 2'!BL100),"",'Berechnungen 2'!BL100)</f>
        <v/>
      </c>
      <c r="AI97" s="200" t="str">
        <f>IF(ISERROR('Berechnungen 2'!BM100),"",'Berechnungen 2'!BM100)</f>
        <v/>
      </c>
    </row>
    <row r="98" spans="1:35" x14ac:dyDescent="0.2">
      <c r="A98" s="71" t="str">
        <f t="shared" si="27"/>
        <v/>
      </c>
      <c r="B98" s="193">
        <f t="shared" si="38"/>
        <v>86</v>
      </c>
      <c r="C98" s="192">
        <f ca="1">IF(ISERROR(LARGE('Berechnungen 1'!$A$12:$A$311,B98)),"",LARGE('Berechnungen 1'!$A$12:$A$311,B98))</f>
        <v>215</v>
      </c>
      <c r="D98" s="76" t="str">
        <f t="shared" si="39"/>
        <v/>
      </c>
      <c r="E98" s="76" t="str">
        <f t="shared" si="39"/>
        <v/>
      </c>
      <c r="F98" s="155" t="str">
        <f t="shared" si="28"/>
        <v/>
      </c>
      <c r="G98" s="204" t="str">
        <f t="shared" si="29"/>
        <v/>
      </c>
      <c r="H98" s="156" t="str">
        <f t="shared" si="30"/>
        <v/>
      </c>
      <c r="I98" s="155" t="str">
        <f t="shared" si="31"/>
        <v/>
      </c>
      <c r="J98" s="184">
        <f t="shared" ca="1" si="32"/>
        <v>999999</v>
      </c>
      <c r="K98" s="184">
        <f>IF(OR(ISBLANK('Etape 1'!E93),ISBLANK('Etape 1'!F93)),IF(AND(ISBLANK('Etape 1'!B93),ISBLANK('Etape 1'!C93),ISBLANK('Etape 1'!D93),ISBLANK('Etape 1'!E93),ISBLANK('Etape 1'!F93),ISBLANK('Etape 1'!G93),ISBLANK('Etape 1'!H93)),999,9999),IF(VLOOKUP($C98,Matrix_Berechnungen1.Rang.Pumpendaten.Zwischenresultate,$C$9,0)&gt;0,VLOOKUP($C98,Matrix_Berechnungen1.Rang.Pumpendaten.Zwischenresultate,K$9,0),""))</f>
        <v>999</v>
      </c>
      <c r="L98" s="184">
        <f t="shared" ca="1" si="40"/>
        <v>86</v>
      </c>
      <c r="M98" s="184">
        <f t="shared" ca="1" si="40"/>
        <v>0</v>
      </c>
      <c r="N98" s="84"/>
      <c r="O98" s="84"/>
      <c r="P98" s="84"/>
      <c r="Q98" s="69" t="str">
        <f t="shared" si="33"/>
        <v/>
      </c>
      <c r="R98" s="84"/>
      <c r="S98" s="65" t="str">
        <f t="shared" si="35"/>
        <v/>
      </c>
      <c r="T98" s="69" t="str">
        <f t="shared" si="34"/>
        <v/>
      </c>
      <c r="U98" s="84"/>
      <c r="V98" s="65" t="str">
        <f t="shared" si="36"/>
        <v/>
      </c>
      <c r="W98" s="108"/>
      <c r="X98" s="108"/>
      <c r="Y98" s="108"/>
      <c r="Z98" s="110" t="str">
        <f t="shared" si="37"/>
        <v/>
      </c>
      <c r="AA98" s="199" t="str">
        <f>IF(ISERROR('Berechnungen 2'!AR101),"",'Berechnungen 2'!AR101)</f>
        <v/>
      </c>
      <c r="AB98" s="200" t="str">
        <f>IF(ISERROR('Berechnungen 2'!AS101),"",'Berechnungen 2'!AS101)</f>
        <v/>
      </c>
      <c r="AC98" s="200" t="str">
        <f>IF(ISERROR('Berechnungen 2'!AT101),"",'Berechnungen 2'!AT101)</f>
        <v/>
      </c>
      <c r="AD98" s="199" t="str">
        <f>IF(ISERROR('Berechnungen 2'!BE101),"",'Berechnungen 2'!BE101)</f>
        <v/>
      </c>
      <c r="AE98" s="200" t="str">
        <f>IF(ISERROR('Berechnungen 2'!BF101),"",'Berechnungen 2'!BF101)</f>
        <v/>
      </c>
      <c r="AF98" s="200" t="str">
        <f>IF(ISERROR('Berechnungen 2'!BG101),"",'Berechnungen 2'!BG101)</f>
        <v/>
      </c>
      <c r="AG98" s="199" t="str">
        <f>IF(ISNUMBER(A98),IF(ISERROR('Berechnungen 2'!BK101),"",'Berechnungen 2'!BK101),"")</f>
        <v/>
      </c>
      <c r="AH98" s="200" t="str">
        <f>IF(ISERROR('Berechnungen 2'!BL101),"",'Berechnungen 2'!BL101)</f>
        <v/>
      </c>
      <c r="AI98" s="200" t="str">
        <f>IF(ISERROR('Berechnungen 2'!BM101),"",'Berechnungen 2'!BM101)</f>
        <v/>
      </c>
    </row>
    <row r="99" spans="1:35" x14ac:dyDescent="0.2">
      <c r="A99" s="71" t="str">
        <f t="shared" si="27"/>
        <v/>
      </c>
      <c r="B99" s="193">
        <f t="shared" si="38"/>
        <v>87</v>
      </c>
      <c r="C99" s="192">
        <f ca="1">IF(ISERROR(LARGE('Berechnungen 1'!$A$12:$A$311,B99)),"",LARGE('Berechnungen 1'!$A$12:$A$311,B99))</f>
        <v>214</v>
      </c>
      <c r="D99" s="76" t="str">
        <f t="shared" si="39"/>
        <v/>
      </c>
      <c r="E99" s="76" t="str">
        <f t="shared" si="39"/>
        <v/>
      </c>
      <c r="F99" s="155" t="str">
        <f t="shared" si="28"/>
        <v/>
      </c>
      <c r="G99" s="204" t="str">
        <f t="shared" si="29"/>
        <v/>
      </c>
      <c r="H99" s="156" t="str">
        <f t="shared" si="30"/>
        <v/>
      </c>
      <c r="I99" s="155" t="str">
        <f t="shared" si="31"/>
        <v/>
      </c>
      <c r="J99" s="184">
        <f t="shared" ca="1" si="32"/>
        <v>999999</v>
      </c>
      <c r="K99" s="184">
        <f>IF(OR(ISBLANK('Etape 1'!E94),ISBLANK('Etape 1'!F94)),IF(AND(ISBLANK('Etape 1'!B94),ISBLANK('Etape 1'!C94),ISBLANK('Etape 1'!D94),ISBLANK('Etape 1'!E94),ISBLANK('Etape 1'!F94),ISBLANK('Etape 1'!G94),ISBLANK('Etape 1'!H94)),999,9999),IF(VLOOKUP($C99,Matrix_Berechnungen1.Rang.Pumpendaten.Zwischenresultate,$C$9,0)&gt;0,VLOOKUP($C99,Matrix_Berechnungen1.Rang.Pumpendaten.Zwischenresultate,K$9,0),""))</f>
        <v>999</v>
      </c>
      <c r="L99" s="184">
        <f t="shared" ca="1" si="40"/>
        <v>87</v>
      </c>
      <c r="M99" s="184">
        <f t="shared" ca="1" si="40"/>
        <v>0</v>
      </c>
      <c r="N99" s="84"/>
      <c r="O99" s="84"/>
      <c r="P99" s="84"/>
      <c r="Q99" s="69" t="str">
        <f t="shared" si="33"/>
        <v/>
      </c>
      <c r="R99" s="84"/>
      <c r="S99" s="65" t="str">
        <f t="shared" si="35"/>
        <v/>
      </c>
      <c r="T99" s="69" t="str">
        <f t="shared" si="34"/>
        <v/>
      </c>
      <c r="U99" s="84"/>
      <c r="V99" s="65" t="str">
        <f t="shared" si="36"/>
        <v/>
      </c>
      <c r="W99" s="108"/>
      <c r="X99" s="108"/>
      <c r="Y99" s="108"/>
      <c r="Z99" s="110" t="str">
        <f t="shared" si="37"/>
        <v/>
      </c>
      <c r="AA99" s="199" t="str">
        <f>IF(ISERROR('Berechnungen 2'!AR102),"",'Berechnungen 2'!AR102)</f>
        <v/>
      </c>
      <c r="AB99" s="200" t="str">
        <f>IF(ISERROR('Berechnungen 2'!AS102),"",'Berechnungen 2'!AS102)</f>
        <v/>
      </c>
      <c r="AC99" s="200" t="str">
        <f>IF(ISERROR('Berechnungen 2'!AT102),"",'Berechnungen 2'!AT102)</f>
        <v/>
      </c>
      <c r="AD99" s="199" t="str">
        <f>IF(ISERROR('Berechnungen 2'!BE102),"",'Berechnungen 2'!BE102)</f>
        <v/>
      </c>
      <c r="AE99" s="200" t="str">
        <f>IF(ISERROR('Berechnungen 2'!BF102),"",'Berechnungen 2'!BF102)</f>
        <v/>
      </c>
      <c r="AF99" s="200" t="str">
        <f>IF(ISERROR('Berechnungen 2'!BG102),"",'Berechnungen 2'!BG102)</f>
        <v/>
      </c>
      <c r="AG99" s="199" t="str">
        <f>IF(ISNUMBER(A99),IF(ISERROR('Berechnungen 2'!BK102),"",'Berechnungen 2'!BK102),"")</f>
        <v/>
      </c>
      <c r="AH99" s="200" t="str">
        <f>IF(ISERROR('Berechnungen 2'!BL102),"",'Berechnungen 2'!BL102)</f>
        <v/>
      </c>
      <c r="AI99" s="200" t="str">
        <f>IF(ISERROR('Berechnungen 2'!BM102),"",'Berechnungen 2'!BM102)</f>
        <v/>
      </c>
    </row>
    <row r="100" spans="1:35" x14ac:dyDescent="0.2">
      <c r="A100" s="71" t="str">
        <f t="shared" si="27"/>
        <v/>
      </c>
      <c r="B100" s="193">
        <f t="shared" si="38"/>
        <v>88</v>
      </c>
      <c r="C100" s="192">
        <f ca="1">IF(ISERROR(LARGE('Berechnungen 1'!$A$12:$A$311,B100)),"",LARGE('Berechnungen 1'!$A$12:$A$311,B100))</f>
        <v>213</v>
      </c>
      <c r="D100" s="76" t="str">
        <f t="shared" si="39"/>
        <v/>
      </c>
      <c r="E100" s="76" t="str">
        <f t="shared" si="39"/>
        <v/>
      </c>
      <c r="F100" s="155" t="str">
        <f t="shared" si="28"/>
        <v/>
      </c>
      <c r="G100" s="204" t="str">
        <f t="shared" si="29"/>
        <v/>
      </c>
      <c r="H100" s="156" t="str">
        <f t="shared" si="30"/>
        <v/>
      </c>
      <c r="I100" s="155" t="str">
        <f t="shared" si="31"/>
        <v/>
      </c>
      <c r="J100" s="184">
        <f t="shared" ca="1" si="32"/>
        <v>999999</v>
      </c>
      <c r="K100" s="184">
        <f>IF(OR(ISBLANK('Etape 1'!E95),ISBLANK('Etape 1'!F95)),IF(AND(ISBLANK('Etape 1'!B95),ISBLANK('Etape 1'!C95),ISBLANK('Etape 1'!D95),ISBLANK('Etape 1'!E95),ISBLANK('Etape 1'!F95),ISBLANK('Etape 1'!G95),ISBLANK('Etape 1'!H95)),999,9999),IF(VLOOKUP($C100,Matrix_Berechnungen1.Rang.Pumpendaten.Zwischenresultate,$C$9,0)&gt;0,VLOOKUP($C100,Matrix_Berechnungen1.Rang.Pumpendaten.Zwischenresultate,K$9,0),""))</f>
        <v>999</v>
      </c>
      <c r="L100" s="184">
        <f t="shared" ca="1" si="40"/>
        <v>88</v>
      </c>
      <c r="M100" s="184">
        <f t="shared" ca="1" si="40"/>
        <v>0</v>
      </c>
      <c r="N100" s="84"/>
      <c r="O100" s="84"/>
      <c r="P100" s="84"/>
      <c r="Q100" s="69" t="str">
        <f t="shared" si="33"/>
        <v/>
      </c>
      <c r="R100" s="84"/>
      <c r="S100" s="65" t="str">
        <f t="shared" si="35"/>
        <v/>
      </c>
      <c r="T100" s="69" t="str">
        <f t="shared" si="34"/>
        <v/>
      </c>
      <c r="U100" s="84"/>
      <c r="V100" s="65" t="str">
        <f t="shared" si="36"/>
        <v/>
      </c>
      <c r="W100" s="108"/>
      <c r="X100" s="108"/>
      <c r="Y100" s="108"/>
      <c r="Z100" s="110" t="str">
        <f t="shared" si="37"/>
        <v/>
      </c>
      <c r="AA100" s="199" t="str">
        <f>IF(ISERROR('Berechnungen 2'!AR103),"",'Berechnungen 2'!AR103)</f>
        <v/>
      </c>
      <c r="AB100" s="200" t="str">
        <f>IF(ISERROR('Berechnungen 2'!AS103),"",'Berechnungen 2'!AS103)</f>
        <v/>
      </c>
      <c r="AC100" s="200" t="str">
        <f>IF(ISERROR('Berechnungen 2'!AT103),"",'Berechnungen 2'!AT103)</f>
        <v/>
      </c>
      <c r="AD100" s="199" t="str">
        <f>IF(ISERROR('Berechnungen 2'!BE103),"",'Berechnungen 2'!BE103)</f>
        <v/>
      </c>
      <c r="AE100" s="200" t="str">
        <f>IF(ISERROR('Berechnungen 2'!BF103),"",'Berechnungen 2'!BF103)</f>
        <v/>
      </c>
      <c r="AF100" s="200" t="str">
        <f>IF(ISERROR('Berechnungen 2'!BG103),"",'Berechnungen 2'!BG103)</f>
        <v/>
      </c>
      <c r="AG100" s="199" t="str">
        <f>IF(ISNUMBER(A100),IF(ISERROR('Berechnungen 2'!BK103),"",'Berechnungen 2'!BK103),"")</f>
        <v/>
      </c>
      <c r="AH100" s="200" t="str">
        <f>IF(ISERROR('Berechnungen 2'!BL103),"",'Berechnungen 2'!BL103)</f>
        <v/>
      </c>
      <c r="AI100" s="200" t="str">
        <f>IF(ISERROR('Berechnungen 2'!BM103),"",'Berechnungen 2'!BM103)</f>
        <v/>
      </c>
    </row>
    <row r="101" spans="1:35" x14ac:dyDescent="0.2">
      <c r="A101" s="71" t="str">
        <f t="shared" si="27"/>
        <v/>
      </c>
      <c r="B101" s="193">
        <f t="shared" si="38"/>
        <v>89</v>
      </c>
      <c r="C101" s="192">
        <f ca="1">IF(ISERROR(LARGE('Berechnungen 1'!$A$12:$A$311,B101)),"",LARGE('Berechnungen 1'!$A$12:$A$311,B101))</f>
        <v>212</v>
      </c>
      <c r="D101" s="76" t="str">
        <f t="shared" si="39"/>
        <v/>
      </c>
      <c r="E101" s="76" t="str">
        <f t="shared" si="39"/>
        <v/>
      </c>
      <c r="F101" s="155" t="str">
        <f t="shared" si="28"/>
        <v/>
      </c>
      <c r="G101" s="204" t="str">
        <f t="shared" si="29"/>
        <v/>
      </c>
      <c r="H101" s="156" t="str">
        <f t="shared" si="30"/>
        <v/>
      </c>
      <c r="I101" s="155" t="str">
        <f t="shared" si="31"/>
        <v/>
      </c>
      <c r="J101" s="184">
        <f t="shared" ca="1" si="32"/>
        <v>999999</v>
      </c>
      <c r="K101" s="184">
        <f>IF(OR(ISBLANK('Etape 1'!E96),ISBLANK('Etape 1'!F96)),IF(AND(ISBLANK('Etape 1'!B96),ISBLANK('Etape 1'!C96),ISBLANK('Etape 1'!D96),ISBLANK('Etape 1'!E96),ISBLANK('Etape 1'!F96),ISBLANK('Etape 1'!G96),ISBLANK('Etape 1'!H96)),999,9999),IF(VLOOKUP($C101,Matrix_Berechnungen1.Rang.Pumpendaten.Zwischenresultate,$C$9,0)&gt;0,VLOOKUP($C101,Matrix_Berechnungen1.Rang.Pumpendaten.Zwischenresultate,K$9,0),""))</f>
        <v>999</v>
      </c>
      <c r="L101" s="184">
        <f t="shared" ca="1" si="40"/>
        <v>89</v>
      </c>
      <c r="M101" s="184">
        <f t="shared" ca="1" si="40"/>
        <v>0</v>
      </c>
      <c r="N101" s="84"/>
      <c r="O101" s="84"/>
      <c r="P101" s="84"/>
      <c r="Q101" s="69" t="str">
        <f t="shared" si="33"/>
        <v/>
      </c>
      <c r="R101" s="84"/>
      <c r="S101" s="65" t="str">
        <f t="shared" si="35"/>
        <v/>
      </c>
      <c r="T101" s="69" t="str">
        <f t="shared" si="34"/>
        <v/>
      </c>
      <c r="U101" s="84"/>
      <c r="V101" s="65" t="str">
        <f t="shared" si="36"/>
        <v/>
      </c>
      <c r="W101" s="108"/>
      <c r="X101" s="108"/>
      <c r="Y101" s="108"/>
      <c r="Z101" s="110" t="str">
        <f t="shared" si="37"/>
        <v/>
      </c>
      <c r="AA101" s="199" t="str">
        <f>IF(ISERROR('Berechnungen 2'!AR104),"",'Berechnungen 2'!AR104)</f>
        <v/>
      </c>
      <c r="AB101" s="200" t="str">
        <f>IF(ISERROR('Berechnungen 2'!AS104),"",'Berechnungen 2'!AS104)</f>
        <v/>
      </c>
      <c r="AC101" s="200" t="str">
        <f>IF(ISERROR('Berechnungen 2'!AT104),"",'Berechnungen 2'!AT104)</f>
        <v/>
      </c>
      <c r="AD101" s="199" t="str">
        <f>IF(ISERROR('Berechnungen 2'!BE104),"",'Berechnungen 2'!BE104)</f>
        <v/>
      </c>
      <c r="AE101" s="200" t="str">
        <f>IF(ISERROR('Berechnungen 2'!BF104),"",'Berechnungen 2'!BF104)</f>
        <v/>
      </c>
      <c r="AF101" s="200" t="str">
        <f>IF(ISERROR('Berechnungen 2'!BG104),"",'Berechnungen 2'!BG104)</f>
        <v/>
      </c>
      <c r="AG101" s="199" t="str">
        <f>IF(ISNUMBER(A101),IF(ISERROR('Berechnungen 2'!BK104),"",'Berechnungen 2'!BK104),"")</f>
        <v/>
      </c>
      <c r="AH101" s="200" t="str">
        <f>IF(ISERROR('Berechnungen 2'!BL104),"",'Berechnungen 2'!BL104)</f>
        <v/>
      </c>
      <c r="AI101" s="200" t="str">
        <f>IF(ISERROR('Berechnungen 2'!BM104),"",'Berechnungen 2'!BM104)</f>
        <v/>
      </c>
    </row>
    <row r="102" spans="1:35" x14ac:dyDescent="0.2">
      <c r="A102" s="71" t="str">
        <f t="shared" si="27"/>
        <v/>
      </c>
      <c r="B102" s="193">
        <f t="shared" si="38"/>
        <v>90</v>
      </c>
      <c r="C102" s="192">
        <f ca="1">IF(ISERROR(LARGE('Berechnungen 1'!$A$12:$A$311,B102)),"",LARGE('Berechnungen 1'!$A$12:$A$311,B102))</f>
        <v>211</v>
      </c>
      <c r="D102" s="76" t="str">
        <f t="shared" si="39"/>
        <v/>
      </c>
      <c r="E102" s="76" t="str">
        <f t="shared" si="39"/>
        <v/>
      </c>
      <c r="F102" s="155" t="str">
        <f t="shared" si="28"/>
        <v/>
      </c>
      <c r="G102" s="204" t="str">
        <f t="shared" si="29"/>
        <v/>
      </c>
      <c r="H102" s="156" t="str">
        <f t="shared" si="30"/>
        <v/>
      </c>
      <c r="I102" s="155" t="str">
        <f t="shared" si="31"/>
        <v/>
      </c>
      <c r="J102" s="184">
        <f t="shared" ca="1" si="32"/>
        <v>999999</v>
      </c>
      <c r="K102" s="184">
        <f>IF(OR(ISBLANK('Etape 1'!E97),ISBLANK('Etape 1'!F97)),IF(AND(ISBLANK('Etape 1'!B97),ISBLANK('Etape 1'!C97),ISBLANK('Etape 1'!D97),ISBLANK('Etape 1'!E97),ISBLANK('Etape 1'!F97),ISBLANK('Etape 1'!G97),ISBLANK('Etape 1'!H97)),999,9999),IF(VLOOKUP($C102,Matrix_Berechnungen1.Rang.Pumpendaten.Zwischenresultate,$C$9,0)&gt;0,VLOOKUP($C102,Matrix_Berechnungen1.Rang.Pumpendaten.Zwischenresultate,K$9,0),""))</f>
        <v>999</v>
      </c>
      <c r="L102" s="184">
        <f t="shared" ca="1" si="40"/>
        <v>90</v>
      </c>
      <c r="M102" s="184">
        <f t="shared" ca="1" si="40"/>
        <v>0</v>
      </c>
      <c r="N102" s="84"/>
      <c r="O102" s="84"/>
      <c r="P102" s="84"/>
      <c r="Q102" s="69" t="str">
        <f t="shared" si="33"/>
        <v/>
      </c>
      <c r="R102" s="84"/>
      <c r="S102" s="65" t="str">
        <f t="shared" si="35"/>
        <v/>
      </c>
      <c r="T102" s="69" t="str">
        <f t="shared" si="34"/>
        <v/>
      </c>
      <c r="U102" s="84"/>
      <c r="V102" s="65" t="str">
        <f t="shared" si="36"/>
        <v/>
      </c>
      <c r="W102" s="108"/>
      <c r="X102" s="108"/>
      <c r="Y102" s="108"/>
      <c r="Z102" s="110" t="str">
        <f t="shared" si="37"/>
        <v/>
      </c>
      <c r="AA102" s="199" t="str">
        <f>IF(ISERROR('Berechnungen 2'!AR105),"",'Berechnungen 2'!AR105)</f>
        <v/>
      </c>
      <c r="AB102" s="200" t="str">
        <f>IF(ISERROR('Berechnungen 2'!AS105),"",'Berechnungen 2'!AS105)</f>
        <v/>
      </c>
      <c r="AC102" s="200" t="str">
        <f>IF(ISERROR('Berechnungen 2'!AT105),"",'Berechnungen 2'!AT105)</f>
        <v/>
      </c>
      <c r="AD102" s="199" t="str">
        <f>IF(ISERROR('Berechnungen 2'!BE105),"",'Berechnungen 2'!BE105)</f>
        <v/>
      </c>
      <c r="AE102" s="200" t="str">
        <f>IF(ISERROR('Berechnungen 2'!BF105),"",'Berechnungen 2'!BF105)</f>
        <v/>
      </c>
      <c r="AF102" s="200" t="str">
        <f>IF(ISERROR('Berechnungen 2'!BG105),"",'Berechnungen 2'!BG105)</f>
        <v/>
      </c>
      <c r="AG102" s="199" t="str">
        <f>IF(ISNUMBER(A102),IF(ISERROR('Berechnungen 2'!BK105),"",'Berechnungen 2'!BK105),"")</f>
        <v/>
      </c>
      <c r="AH102" s="200" t="str">
        <f>IF(ISERROR('Berechnungen 2'!BL105),"",'Berechnungen 2'!BL105)</f>
        <v/>
      </c>
      <c r="AI102" s="200" t="str">
        <f>IF(ISERROR('Berechnungen 2'!BM105),"",'Berechnungen 2'!BM105)</f>
        <v/>
      </c>
    </row>
    <row r="103" spans="1:35" x14ac:dyDescent="0.2">
      <c r="A103" s="71" t="str">
        <f t="shared" si="27"/>
        <v/>
      </c>
      <c r="B103" s="193">
        <f t="shared" si="38"/>
        <v>91</v>
      </c>
      <c r="C103" s="192">
        <f ca="1">IF(ISERROR(LARGE('Berechnungen 1'!$A$12:$A$311,B103)),"",LARGE('Berechnungen 1'!$A$12:$A$311,B103))</f>
        <v>210</v>
      </c>
      <c r="D103" s="76" t="str">
        <f t="shared" si="39"/>
        <v/>
      </c>
      <c r="E103" s="76" t="str">
        <f t="shared" si="39"/>
        <v/>
      </c>
      <c r="F103" s="155" t="str">
        <f t="shared" si="28"/>
        <v/>
      </c>
      <c r="G103" s="204" t="str">
        <f t="shared" si="29"/>
        <v/>
      </c>
      <c r="H103" s="156" t="str">
        <f t="shared" si="30"/>
        <v/>
      </c>
      <c r="I103" s="155" t="str">
        <f t="shared" si="31"/>
        <v/>
      </c>
      <c r="J103" s="184">
        <f t="shared" ca="1" si="32"/>
        <v>999999</v>
      </c>
      <c r="K103" s="184">
        <f>IF(OR(ISBLANK('Etape 1'!E98),ISBLANK('Etape 1'!F98)),IF(AND(ISBLANK('Etape 1'!B98),ISBLANK('Etape 1'!C98),ISBLANK('Etape 1'!D98),ISBLANK('Etape 1'!E98),ISBLANK('Etape 1'!F98),ISBLANK('Etape 1'!G98),ISBLANK('Etape 1'!H98)),999,9999),IF(VLOOKUP($C103,Matrix_Berechnungen1.Rang.Pumpendaten.Zwischenresultate,$C$9,0)&gt;0,VLOOKUP($C103,Matrix_Berechnungen1.Rang.Pumpendaten.Zwischenresultate,K$9,0),""))</f>
        <v>999</v>
      </c>
      <c r="L103" s="184">
        <f t="shared" ca="1" si="40"/>
        <v>91</v>
      </c>
      <c r="M103" s="184">
        <f t="shared" ca="1" si="40"/>
        <v>0</v>
      </c>
      <c r="N103" s="84"/>
      <c r="O103" s="84"/>
      <c r="P103" s="84"/>
      <c r="Q103" s="69" t="str">
        <f t="shared" si="33"/>
        <v/>
      </c>
      <c r="R103" s="84"/>
      <c r="S103" s="65" t="str">
        <f t="shared" si="35"/>
        <v/>
      </c>
      <c r="T103" s="69" t="str">
        <f t="shared" si="34"/>
        <v/>
      </c>
      <c r="U103" s="84"/>
      <c r="V103" s="65" t="str">
        <f t="shared" si="36"/>
        <v/>
      </c>
      <c r="W103" s="108"/>
      <c r="X103" s="108"/>
      <c r="Y103" s="108"/>
      <c r="Z103" s="110" t="str">
        <f t="shared" si="37"/>
        <v/>
      </c>
      <c r="AA103" s="199" t="str">
        <f>IF(ISERROR('Berechnungen 2'!AR106),"",'Berechnungen 2'!AR106)</f>
        <v/>
      </c>
      <c r="AB103" s="200" t="str">
        <f>IF(ISERROR('Berechnungen 2'!AS106),"",'Berechnungen 2'!AS106)</f>
        <v/>
      </c>
      <c r="AC103" s="200" t="str">
        <f>IF(ISERROR('Berechnungen 2'!AT106),"",'Berechnungen 2'!AT106)</f>
        <v/>
      </c>
      <c r="AD103" s="199" t="str">
        <f>IF(ISERROR('Berechnungen 2'!BE106),"",'Berechnungen 2'!BE106)</f>
        <v/>
      </c>
      <c r="AE103" s="200" t="str">
        <f>IF(ISERROR('Berechnungen 2'!BF106),"",'Berechnungen 2'!BF106)</f>
        <v/>
      </c>
      <c r="AF103" s="200" t="str">
        <f>IF(ISERROR('Berechnungen 2'!BG106),"",'Berechnungen 2'!BG106)</f>
        <v/>
      </c>
      <c r="AG103" s="199" t="str">
        <f>IF(ISNUMBER(A103),IF(ISERROR('Berechnungen 2'!BK106),"",'Berechnungen 2'!BK106),"")</f>
        <v/>
      </c>
      <c r="AH103" s="200" t="str">
        <f>IF(ISERROR('Berechnungen 2'!BL106),"",'Berechnungen 2'!BL106)</f>
        <v/>
      </c>
      <c r="AI103" s="200" t="str">
        <f>IF(ISERROR('Berechnungen 2'!BM106),"",'Berechnungen 2'!BM106)</f>
        <v/>
      </c>
    </row>
    <row r="104" spans="1:35" x14ac:dyDescent="0.2">
      <c r="A104" s="71" t="str">
        <f t="shared" si="27"/>
        <v/>
      </c>
      <c r="B104" s="193">
        <f t="shared" si="38"/>
        <v>92</v>
      </c>
      <c r="C104" s="192">
        <f ca="1">IF(ISERROR(LARGE('Berechnungen 1'!$A$12:$A$311,B104)),"",LARGE('Berechnungen 1'!$A$12:$A$311,B104))</f>
        <v>209</v>
      </c>
      <c r="D104" s="76" t="str">
        <f t="shared" si="39"/>
        <v/>
      </c>
      <c r="E104" s="76" t="str">
        <f t="shared" si="39"/>
        <v/>
      </c>
      <c r="F104" s="155" t="str">
        <f t="shared" si="28"/>
        <v/>
      </c>
      <c r="G104" s="204" t="str">
        <f t="shared" si="29"/>
        <v/>
      </c>
      <c r="H104" s="156" t="str">
        <f t="shared" si="30"/>
        <v/>
      </c>
      <c r="I104" s="155" t="str">
        <f t="shared" si="31"/>
        <v/>
      </c>
      <c r="J104" s="184">
        <f t="shared" ca="1" si="32"/>
        <v>999999</v>
      </c>
      <c r="K104" s="184">
        <f>IF(OR(ISBLANK('Etape 1'!E99),ISBLANK('Etape 1'!F99)),IF(AND(ISBLANK('Etape 1'!B99),ISBLANK('Etape 1'!C99),ISBLANK('Etape 1'!D99),ISBLANK('Etape 1'!E99),ISBLANK('Etape 1'!F99),ISBLANK('Etape 1'!G99),ISBLANK('Etape 1'!H99)),999,9999),IF(VLOOKUP($C104,Matrix_Berechnungen1.Rang.Pumpendaten.Zwischenresultate,$C$9,0)&gt;0,VLOOKUP($C104,Matrix_Berechnungen1.Rang.Pumpendaten.Zwischenresultate,K$9,0),""))</f>
        <v>999</v>
      </c>
      <c r="L104" s="184">
        <f t="shared" ca="1" si="40"/>
        <v>92</v>
      </c>
      <c r="M104" s="184">
        <f t="shared" ca="1" si="40"/>
        <v>0</v>
      </c>
      <c r="N104" s="84"/>
      <c r="O104" s="84"/>
      <c r="P104" s="84"/>
      <c r="Q104" s="69" t="str">
        <f t="shared" si="33"/>
        <v/>
      </c>
      <c r="R104" s="84"/>
      <c r="S104" s="65" t="str">
        <f t="shared" si="35"/>
        <v/>
      </c>
      <c r="T104" s="69" t="str">
        <f t="shared" si="34"/>
        <v/>
      </c>
      <c r="U104" s="84"/>
      <c r="V104" s="65" t="str">
        <f t="shared" si="36"/>
        <v/>
      </c>
      <c r="W104" s="108"/>
      <c r="X104" s="108"/>
      <c r="Y104" s="108"/>
      <c r="Z104" s="110" t="str">
        <f t="shared" si="37"/>
        <v/>
      </c>
      <c r="AA104" s="199" t="str">
        <f>IF(ISERROR('Berechnungen 2'!AR107),"",'Berechnungen 2'!AR107)</f>
        <v/>
      </c>
      <c r="AB104" s="200" t="str">
        <f>IF(ISERROR('Berechnungen 2'!AS107),"",'Berechnungen 2'!AS107)</f>
        <v/>
      </c>
      <c r="AC104" s="200" t="str">
        <f>IF(ISERROR('Berechnungen 2'!AT107),"",'Berechnungen 2'!AT107)</f>
        <v/>
      </c>
      <c r="AD104" s="199" t="str">
        <f>IF(ISERROR('Berechnungen 2'!BE107),"",'Berechnungen 2'!BE107)</f>
        <v/>
      </c>
      <c r="AE104" s="200" t="str">
        <f>IF(ISERROR('Berechnungen 2'!BF107),"",'Berechnungen 2'!BF107)</f>
        <v/>
      </c>
      <c r="AF104" s="200" t="str">
        <f>IF(ISERROR('Berechnungen 2'!BG107),"",'Berechnungen 2'!BG107)</f>
        <v/>
      </c>
      <c r="AG104" s="199" t="str">
        <f>IF(ISNUMBER(A104),IF(ISERROR('Berechnungen 2'!BK107),"",'Berechnungen 2'!BK107),"")</f>
        <v/>
      </c>
      <c r="AH104" s="200" t="str">
        <f>IF(ISERROR('Berechnungen 2'!BL107),"",'Berechnungen 2'!BL107)</f>
        <v/>
      </c>
      <c r="AI104" s="200" t="str">
        <f>IF(ISERROR('Berechnungen 2'!BM107),"",'Berechnungen 2'!BM107)</f>
        <v/>
      </c>
    </row>
    <row r="105" spans="1:35" x14ac:dyDescent="0.2">
      <c r="A105" s="71" t="str">
        <f t="shared" si="27"/>
        <v/>
      </c>
      <c r="B105" s="193">
        <f t="shared" si="38"/>
        <v>93</v>
      </c>
      <c r="C105" s="192">
        <f ca="1">IF(ISERROR(LARGE('Berechnungen 1'!$A$12:$A$311,B105)),"",LARGE('Berechnungen 1'!$A$12:$A$311,B105))</f>
        <v>208</v>
      </c>
      <c r="D105" s="76" t="str">
        <f t="shared" si="39"/>
        <v/>
      </c>
      <c r="E105" s="76" t="str">
        <f t="shared" si="39"/>
        <v/>
      </c>
      <c r="F105" s="155" t="str">
        <f t="shared" si="28"/>
        <v/>
      </c>
      <c r="G105" s="204" t="str">
        <f t="shared" si="29"/>
        <v/>
      </c>
      <c r="H105" s="156" t="str">
        <f t="shared" si="30"/>
        <v/>
      </c>
      <c r="I105" s="155" t="str">
        <f t="shared" si="31"/>
        <v/>
      </c>
      <c r="J105" s="184">
        <f t="shared" ca="1" si="32"/>
        <v>999999</v>
      </c>
      <c r="K105" s="184">
        <f>IF(OR(ISBLANK('Etape 1'!E100),ISBLANK('Etape 1'!F100)),IF(AND(ISBLANK('Etape 1'!B100),ISBLANK('Etape 1'!C100),ISBLANK('Etape 1'!D100),ISBLANK('Etape 1'!E100),ISBLANK('Etape 1'!F100),ISBLANK('Etape 1'!G100),ISBLANK('Etape 1'!H100)),999,9999),IF(VLOOKUP($C105,Matrix_Berechnungen1.Rang.Pumpendaten.Zwischenresultate,$C$9,0)&gt;0,VLOOKUP($C105,Matrix_Berechnungen1.Rang.Pumpendaten.Zwischenresultate,K$9,0),""))</f>
        <v>999</v>
      </c>
      <c r="L105" s="184">
        <f t="shared" ca="1" si="40"/>
        <v>93</v>
      </c>
      <c r="M105" s="184">
        <f t="shared" ca="1" si="40"/>
        <v>0</v>
      </c>
      <c r="N105" s="84"/>
      <c r="O105" s="84"/>
      <c r="P105" s="84"/>
      <c r="Q105" s="69" t="str">
        <f t="shared" si="33"/>
        <v/>
      </c>
      <c r="R105" s="84"/>
      <c r="S105" s="65" t="str">
        <f t="shared" si="35"/>
        <v/>
      </c>
      <c r="T105" s="69" t="str">
        <f t="shared" si="34"/>
        <v/>
      </c>
      <c r="U105" s="84"/>
      <c r="V105" s="65" t="str">
        <f t="shared" si="36"/>
        <v/>
      </c>
      <c r="W105" s="108"/>
      <c r="X105" s="108"/>
      <c r="Y105" s="108"/>
      <c r="Z105" s="110" t="str">
        <f t="shared" si="37"/>
        <v/>
      </c>
      <c r="AA105" s="199" t="str">
        <f>IF(ISERROR('Berechnungen 2'!AR108),"",'Berechnungen 2'!AR108)</f>
        <v/>
      </c>
      <c r="AB105" s="200" t="str">
        <f>IF(ISERROR('Berechnungen 2'!AS108),"",'Berechnungen 2'!AS108)</f>
        <v/>
      </c>
      <c r="AC105" s="200" t="str">
        <f>IF(ISERROR('Berechnungen 2'!AT108),"",'Berechnungen 2'!AT108)</f>
        <v/>
      </c>
      <c r="AD105" s="199" t="str">
        <f>IF(ISERROR('Berechnungen 2'!BE108),"",'Berechnungen 2'!BE108)</f>
        <v/>
      </c>
      <c r="AE105" s="200" t="str">
        <f>IF(ISERROR('Berechnungen 2'!BF108),"",'Berechnungen 2'!BF108)</f>
        <v/>
      </c>
      <c r="AF105" s="200" t="str">
        <f>IF(ISERROR('Berechnungen 2'!BG108),"",'Berechnungen 2'!BG108)</f>
        <v/>
      </c>
      <c r="AG105" s="199" t="str">
        <f>IF(ISNUMBER(A105),IF(ISERROR('Berechnungen 2'!BK108),"",'Berechnungen 2'!BK108),"")</f>
        <v/>
      </c>
      <c r="AH105" s="200" t="str">
        <f>IF(ISERROR('Berechnungen 2'!BL108),"",'Berechnungen 2'!BL108)</f>
        <v/>
      </c>
      <c r="AI105" s="200" t="str">
        <f>IF(ISERROR('Berechnungen 2'!BM108),"",'Berechnungen 2'!BM108)</f>
        <v/>
      </c>
    </row>
    <row r="106" spans="1:35" x14ac:dyDescent="0.2">
      <c r="A106" s="71" t="str">
        <f t="shared" si="27"/>
        <v/>
      </c>
      <c r="B106" s="193">
        <f t="shared" si="38"/>
        <v>94</v>
      </c>
      <c r="C106" s="192">
        <f ca="1">IF(ISERROR(LARGE('Berechnungen 1'!$A$12:$A$311,B106)),"",LARGE('Berechnungen 1'!$A$12:$A$311,B106))</f>
        <v>207</v>
      </c>
      <c r="D106" s="76" t="str">
        <f t="shared" si="39"/>
        <v/>
      </c>
      <c r="E106" s="76" t="str">
        <f t="shared" si="39"/>
        <v/>
      </c>
      <c r="F106" s="155" t="str">
        <f t="shared" si="28"/>
        <v/>
      </c>
      <c r="G106" s="204" t="str">
        <f t="shared" si="29"/>
        <v/>
      </c>
      <c r="H106" s="156" t="str">
        <f t="shared" si="30"/>
        <v/>
      </c>
      <c r="I106" s="155" t="str">
        <f t="shared" si="31"/>
        <v/>
      </c>
      <c r="J106" s="184">
        <f t="shared" ca="1" si="32"/>
        <v>999999</v>
      </c>
      <c r="K106" s="184">
        <f>IF(OR(ISBLANK('Etape 1'!E101),ISBLANK('Etape 1'!F101)),IF(AND(ISBLANK('Etape 1'!B101),ISBLANK('Etape 1'!C101),ISBLANK('Etape 1'!D101),ISBLANK('Etape 1'!E101),ISBLANK('Etape 1'!F101),ISBLANK('Etape 1'!G101),ISBLANK('Etape 1'!H101)),999,9999),IF(VLOOKUP($C106,Matrix_Berechnungen1.Rang.Pumpendaten.Zwischenresultate,$C$9,0)&gt;0,VLOOKUP($C106,Matrix_Berechnungen1.Rang.Pumpendaten.Zwischenresultate,K$9,0),""))</f>
        <v>999</v>
      </c>
      <c r="L106" s="184">
        <f t="shared" ca="1" si="40"/>
        <v>94</v>
      </c>
      <c r="M106" s="184">
        <f t="shared" ca="1" si="40"/>
        <v>0</v>
      </c>
      <c r="N106" s="84"/>
      <c r="O106" s="84"/>
      <c r="P106" s="84"/>
      <c r="Q106" s="69" t="str">
        <f t="shared" si="33"/>
        <v/>
      </c>
      <c r="R106" s="84"/>
      <c r="S106" s="65" t="str">
        <f t="shared" si="35"/>
        <v/>
      </c>
      <c r="T106" s="69" t="str">
        <f t="shared" si="34"/>
        <v/>
      </c>
      <c r="U106" s="84"/>
      <c r="V106" s="65" t="str">
        <f t="shared" si="36"/>
        <v/>
      </c>
      <c r="W106" s="108"/>
      <c r="X106" s="108"/>
      <c r="Y106" s="108"/>
      <c r="Z106" s="110" t="str">
        <f t="shared" si="37"/>
        <v/>
      </c>
      <c r="AA106" s="199" t="str">
        <f>IF(ISERROR('Berechnungen 2'!AR109),"",'Berechnungen 2'!AR109)</f>
        <v/>
      </c>
      <c r="AB106" s="200" t="str">
        <f>IF(ISERROR('Berechnungen 2'!AS109),"",'Berechnungen 2'!AS109)</f>
        <v/>
      </c>
      <c r="AC106" s="200" t="str">
        <f>IF(ISERROR('Berechnungen 2'!AT109),"",'Berechnungen 2'!AT109)</f>
        <v/>
      </c>
      <c r="AD106" s="199" t="str">
        <f>IF(ISERROR('Berechnungen 2'!BE109),"",'Berechnungen 2'!BE109)</f>
        <v/>
      </c>
      <c r="AE106" s="200" t="str">
        <f>IF(ISERROR('Berechnungen 2'!BF109),"",'Berechnungen 2'!BF109)</f>
        <v/>
      </c>
      <c r="AF106" s="200" t="str">
        <f>IF(ISERROR('Berechnungen 2'!BG109),"",'Berechnungen 2'!BG109)</f>
        <v/>
      </c>
      <c r="AG106" s="199" t="str">
        <f>IF(ISNUMBER(A106),IF(ISERROR('Berechnungen 2'!BK109),"",'Berechnungen 2'!BK109),"")</f>
        <v/>
      </c>
      <c r="AH106" s="200" t="str">
        <f>IF(ISERROR('Berechnungen 2'!BL109),"",'Berechnungen 2'!BL109)</f>
        <v/>
      </c>
      <c r="AI106" s="200" t="str">
        <f>IF(ISERROR('Berechnungen 2'!BM109),"",'Berechnungen 2'!BM109)</f>
        <v/>
      </c>
    </row>
    <row r="107" spans="1:35" x14ac:dyDescent="0.2">
      <c r="A107" s="71" t="str">
        <f t="shared" si="27"/>
        <v/>
      </c>
      <c r="B107" s="193">
        <f t="shared" si="38"/>
        <v>95</v>
      </c>
      <c r="C107" s="192">
        <f ca="1">IF(ISERROR(LARGE('Berechnungen 1'!$A$12:$A$311,B107)),"",LARGE('Berechnungen 1'!$A$12:$A$311,B107))</f>
        <v>206</v>
      </c>
      <c r="D107" s="76" t="str">
        <f t="shared" si="39"/>
        <v/>
      </c>
      <c r="E107" s="76" t="str">
        <f t="shared" si="39"/>
        <v/>
      </c>
      <c r="F107" s="155" t="str">
        <f t="shared" si="28"/>
        <v/>
      </c>
      <c r="G107" s="204" t="str">
        <f t="shared" si="29"/>
        <v/>
      </c>
      <c r="H107" s="156" t="str">
        <f t="shared" si="30"/>
        <v/>
      </c>
      <c r="I107" s="155" t="str">
        <f t="shared" si="31"/>
        <v/>
      </c>
      <c r="J107" s="184">
        <f t="shared" ca="1" si="32"/>
        <v>999999</v>
      </c>
      <c r="K107" s="184">
        <f>IF(OR(ISBLANK('Etape 1'!E102),ISBLANK('Etape 1'!F102)),IF(AND(ISBLANK('Etape 1'!B102),ISBLANK('Etape 1'!C102),ISBLANK('Etape 1'!D102),ISBLANK('Etape 1'!E102),ISBLANK('Etape 1'!F102),ISBLANK('Etape 1'!G102),ISBLANK('Etape 1'!H102)),999,9999),IF(VLOOKUP($C107,Matrix_Berechnungen1.Rang.Pumpendaten.Zwischenresultate,$C$9,0)&gt;0,VLOOKUP($C107,Matrix_Berechnungen1.Rang.Pumpendaten.Zwischenresultate,K$9,0),""))</f>
        <v>999</v>
      </c>
      <c r="L107" s="184">
        <f t="shared" ca="1" si="40"/>
        <v>95</v>
      </c>
      <c r="M107" s="184">
        <f t="shared" ca="1" si="40"/>
        <v>0</v>
      </c>
      <c r="N107" s="84"/>
      <c r="O107" s="84"/>
      <c r="P107" s="84"/>
      <c r="Q107" s="69" t="str">
        <f t="shared" si="33"/>
        <v/>
      </c>
      <c r="R107" s="84"/>
      <c r="S107" s="65" t="str">
        <f t="shared" si="35"/>
        <v/>
      </c>
      <c r="T107" s="69" t="str">
        <f t="shared" si="34"/>
        <v/>
      </c>
      <c r="U107" s="84"/>
      <c r="V107" s="65" t="str">
        <f t="shared" si="36"/>
        <v/>
      </c>
      <c r="W107" s="108"/>
      <c r="X107" s="108"/>
      <c r="Y107" s="108"/>
      <c r="Z107" s="110" t="str">
        <f t="shared" si="37"/>
        <v/>
      </c>
      <c r="AA107" s="199" t="str">
        <f>IF(ISERROR('Berechnungen 2'!AR110),"",'Berechnungen 2'!AR110)</f>
        <v/>
      </c>
      <c r="AB107" s="200" t="str">
        <f>IF(ISERROR('Berechnungen 2'!AS110),"",'Berechnungen 2'!AS110)</f>
        <v/>
      </c>
      <c r="AC107" s="200" t="str">
        <f>IF(ISERROR('Berechnungen 2'!AT110),"",'Berechnungen 2'!AT110)</f>
        <v/>
      </c>
      <c r="AD107" s="199" t="str">
        <f>IF(ISERROR('Berechnungen 2'!BE110),"",'Berechnungen 2'!BE110)</f>
        <v/>
      </c>
      <c r="AE107" s="200" t="str">
        <f>IF(ISERROR('Berechnungen 2'!BF110),"",'Berechnungen 2'!BF110)</f>
        <v/>
      </c>
      <c r="AF107" s="200" t="str">
        <f>IF(ISERROR('Berechnungen 2'!BG110),"",'Berechnungen 2'!BG110)</f>
        <v/>
      </c>
      <c r="AG107" s="199" t="str">
        <f>IF(ISNUMBER(A107),IF(ISERROR('Berechnungen 2'!BK110),"",'Berechnungen 2'!BK110),"")</f>
        <v/>
      </c>
      <c r="AH107" s="200" t="str">
        <f>IF(ISERROR('Berechnungen 2'!BL110),"",'Berechnungen 2'!BL110)</f>
        <v/>
      </c>
      <c r="AI107" s="200" t="str">
        <f>IF(ISERROR('Berechnungen 2'!BM110),"",'Berechnungen 2'!BM110)</f>
        <v/>
      </c>
    </row>
    <row r="108" spans="1:35" x14ac:dyDescent="0.2">
      <c r="A108" s="71" t="str">
        <f t="shared" si="27"/>
        <v/>
      </c>
      <c r="B108" s="193">
        <f t="shared" si="38"/>
        <v>96</v>
      </c>
      <c r="C108" s="192">
        <f ca="1">IF(ISERROR(LARGE('Berechnungen 1'!$A$12:$A$311,B108)),"",LARGE('Berechnungen 1'!$A$12:$A$311,B108))</f>
        <v>205</v>
      </c>
      <c r="D108" s="76" t="str">
        <f t="shared" si="39"/>
        <v/>
      </c>
      <c r="E108" s="76" t="str">
        <f t="shared" si="39"/>
        <v/>
      </c>
      <c r="F108" s="155" t="str">
        <f t="shared" si="28"/>
        <v/>
      </c>
      <c r="G108" s="204" t="str">
        <f t="shared" si="29"/>
        <v/>
      </c>
      <c r="H108" s="156" t="str">
        <f t="shared" si="30"/>
        <v/>
      </c>
      <c r="I108" s="155" t="str">
        <f t="shared" si="31"/>
        <v/>
      </c>
      <c r="J108" s="184">
        <f t="shared" ca="1" si="32"/>
        <v>999999</v>
      </c>
      <c r="K108" s="184">
        <f>IF(OR(ISBLANK('Etape 1'!E103),ISBLANK('Etape 1'!F103)),IF(AND(ISBLANK('Etape 1'!B103),ISBLANK('Etape 1'!C103),ISBLANK('Etape 1'!D103),ISBLANK('Etape 1'!E103),ISBLANK('Etape 1'!F103),ISBLANK('Etape 1'!G103),ISBLANK('Etape 1'!H103)),999,9999),IF(VLOOKUP($C108,Matrix_Berechnungen1.Rang.Pumpendaten.Zwischenresultate,$C$9,0)&gt;0,VLOOKUP($C108,Matrix_Berechnungen1.Rang.Pumpendaten.Zwischenresultate,K$9,0),""))</f>
        <v>999</v>
      </c>
      <c r="L108" s="184">
        <f t="shared" ca="1" si="40"/>
        <v>96</v>
      </c>
      <c r="M108" s="184">
        <f t="shared" ca="1" si="40"/>
        <v>0</v>
      </c>
      <c r="N108" s="84"/>
      <c r="O108" s="84"/>
      <c r="P108" s="84"/>
      <c r="Q108" s="69" t="str">
        <f t="shared" si="33"/>
        <v/>
      </c>
      <c r="R108" s="84"/>
      <c r="S108" s="65" t="str">
        <f t="shared" si="35"/>
        <v/>
      </c>
      <c r="T108" s="69" t="str">
        <f t="shared" si="34"/>
        <v/>
      </c>
      <c r="U108" s="84"/>
      <c r="V108" s="65" t="str">
        <f t="shared" si="36"/>
        <v/>
      </c>
      <c r="W108" s="108"/>
      <c r="X108" s="108"/>
      <c r="Y108" s="108"/>
      <c r="Z108" s="110" t="str">
        <f t="shared" si="37"/>
        <v/>
      </c>
      <c r="AA108" s="199" t="str">
        <f>IF(ISERROR('Berechnungen 2'!AR111),"",'Berechnungen 2'!AR111)</f>
        <v/>
      </c>
      <c r="AB108" s="200" t="str">
        <f>IF(ISERROR('Berechnungen 2'!AS111),"",'Berechnungen 2'!AS111)</f>
        <v/>
      </c>
      <c r="AC108" s="200" t="str">
        <f>IF(ISERROR('Berechnungen 2'!AT111),"",'Berechnungen 2'!AT111)</f>
        <v/>
      </c>
      <c r="AD108" s="199" t="str">
        <f>IF(ISERROR('Berechnungen 2'!BE111),"",'Berechnungen 2'!BE111)</f>
        <v/>
      </c>
      <c r="AE108" s="200" t="str">
        <f>IF(ISERROR('Berechnungen 2'!BF111),"",'Berechnungen 2'!BF111)</f>
        <v/>
      </c>
      <c r="AF108" s="200" t="str">
        <f>IF(ISERROR('Berechnungen 2'!BG111),"",'Berechnungen 2'!BG111)</f>
        <v/>
      </c>
      <c r="AG108" s="199" t="str">
        <f>IF(ISNUMBER(A108),IF(ISERROR('Berechnungen 2'!BK111),"",'Berechnungen 2'!BK111),"")</f>
        <v/>
      </c>
      <c r="AH108" s="200" t="str">
        <f>IF(ISERROR('Berechnungen 2'!BL111),"",'Berechnungen 2'!BL111)</f>
        <v/>
      </c>
      <c r="AI108" s="200" t="str">
        <f>IF(ISERROR('Berechnungen 2'!BM111),"",'Berechnungen 2'!BM111)</f>
        <v/>
      </c>
    </row>
    <row r="109" spans="1:35" x14ac:dyDescent="0.2">
      <c r="A109" s="71" t="str">
        <f t="shared" si="27"/>
        <v/>
      </c>
      <c r="B109" s="193">
        <f t="shared" si="38"/>
        <v>97</v>
      </c>
      <c r="C109" s="192">
        <f ca="1">IF(ISERROR(LARGE('Berechnungen 1'!$A$12:$A$311,B109)),"",LARGE('Berechnungen 1'!$A$12:$A$311,B109))</f>
        <v>204</v>
      </c>
      <c r="D109" s="76" t="str">
        <f t="shared" si="39"/>
        <v/>
      </c>
      <c r="E109" s="76" t="str">
        <f t="shared" si="39"/>
        <v/>
      </c>
      <c r="F109" s="155" t="str">
        <f t="shared" si="28"/>
        <v/>
      </c>
      <c r="G109" s="204" t="str">
        <f t="shared" si="29"/>
        <v/>
      </c>
      <c r="H109" s="156" t="str">
        <f t="shared" si="30"/>
        <v/>
      </c>
      <c r="I109" s="155" t="str">
        <f t="shared" si="31"/>
        <v/>
      </c>
      <c r="J109" s="184">
        <f t="shared" ca="1" si="32"/>
        <v>999999</v>
      </c>
      <c r="K109" s="184">
        <f>IF(OR(ISBLANK('Etape 1'!E104),ISBLANK('Etape 1'!F104)),IF(AND(ISBLANK('Etape 1'!B104),ISBLANK('Etape 1'!C104),ISBLANK('Etape 1'!D104),ISBLANK('Etape 1'!E104),ISBLANK('Etape 1'!F104),ISBLANK('Etape 1'!G104),ISBLANK('Etape 1'!H104)),999,9999),IF(VLOOKUP($C109,Matrix_Berechnungen1.Rang.Pumpendaten.Zwischenresultate,$C$9,0)&gt;0,VLOOKUP($C109,Matrix_Berechnungen1.Rang.Pumpendaten.Zwischenresultate,K$9,0),""))</f>
        <v>999</v>
      </c>
      <c r="L109" s="184">
        <f t="shared" ca="1" si="40"/>
        <v>97</v>
      </c>
      <c r="M109" s="184">
        <f t="shared" ca="1" si="40"/>
        <v>0</v>
      </c>
      <c r="N109" s="84"/>
      <c r="O109" s="84"/>
      <c r="P109" s="84"/>
      <c r="Q109" s="69" t="str">
        <f t="shared" si="33"/>
        <v/>
      </c>
      <c r="R109" s="84"/>
      <c r="S109" s="65" t="str">
        <f t="shared" si="35"/>
        <v/>
      </c>
      <c r="T109" s="69" t="str">
        <f t="shared" si="34"/>
        <v/>
      </c>
      <c r="U109" s="84"/>
      <c r="V109" s="65" t="str">
        <f t="shared" si="36"/>
        <v/>
      </c>
      <c r="W109" s="108"/>
      <c r="X109" s="108"/>
      <c r="Y109" s="108"/>
      <c r="Z109" s="110" t="str">
        <f t="shared" si="37"/>
        <v/>
      </c>
      <c r="AA109" s="199" t="str">
        <f>IF(ISERROR('Berechnungen 2'!AR112),"",'Berechnungen 2'!AR112)</f>
        <v/>
      </c>
      <c r="AB109" s="200" t="str">
        <f>IF(ISERROR('Berechnungen 2'!AS112),"",'Berechnungen 2'!AS112)</f>
        <v/>
      </c>
      <c r="AC109" s="200" t="str">
        <f>IF(ISERROR('Berechnungen 2'!AT112),"",'Berechnungen 2'!AT112)</f>
        <v/>
      </c>
      <c r="AD109" s="199" t="str">
        <f>IF(ISERROR('Berechnungen 2'!BE112),"",'Berechnungen 2'!BE112)</f>
        <v/>
      </c>
      <c r="AE109" s="200" t="str">
        <f>IF(ISERROR('Berechnungen 2'!BF112),"",'Berechnungen 2'!BF112)</f>
        <v/>
      </c>
      <c r="AF109" s="200" t="str">
        <f>IF(ISERROR('Berechnungen 2'!BG112),"",'Berechnungen 2'!BG112)</f>
        <v/>
      </c>
      <c r="AG109" s="199" t="str">
        <f>IF(ISNUMBER(A109),IF(ISERROR('Berechnungen 2'!BK112),"",'Berechnungen 2'!BK112),"")</f>
        <v/>
      </c>
      <c r="AH109" s="200" t="str">
        <f>IF(ISERROR('Berechnungen 2'!BL112),"",'Berechnungen 2'!BL112)</f>
        <v/>
      </c>
      <c r="AI109" s="200" t="str">
        <f>IF(ISERROR('Berechnungen 2'!BM112),"",'Berechnungen 2'!BM112)</f>
        <v/>
      </c>
    </row>
    <row r="110" spans="1:35" x14ac:dyDescent="0.2">
      <c r="A110" s="71" t="str">
        <f t="shared" si="27"/>
        <v/>
      </c>
      <c r="B110" s="193">
        <f t="shared" si="38"/>
        <v>98</v>
      </c>
      <c r="C110" s="192">
        <f ca="1">IF(ISERROR(LARGE('Berechnungen 1'!$A$12:$A$311,B110)),"",LARGE('Berechnungen 1'!$A$12:$A$311,B110))</f>
        <v>203</v>
      </c>
      <c r="D110" s="76" t="str">
        <f t="shared" si="39"/>
        <v/>
      </c>
      <c r="E110" s="76" t="str">
        <f t="shared" si="39"/>
        <v/>
      </c>
      <c r="F110" s="155" t="str">
        <f t="shared" si="28"/>
        <v/>
      </c>
      <c r="G110" s="204" t="str">
        <f t="shared" si="29"/>
        <v/>
      </c>
      <c r="H110" s="156" t="str">
        <f t="shared" si="30"/>
        <v/>
      </c>
      <c r="I110" s="155" t="str">
        <f t="shared" si="31"/>
        <v/>
      </c>
      <c r="J110" s="184">
        <f t="shared" ca="1" si="32"/>
        <v>999999</v>
      </c>
      <c r="K110" s="184">
        <f>IF(OR(ISBLANK('Etape 1'!E105),ISBLANK('Etape 1'!F105)),IF(AND(ISBLANK('Etape 1'!B105),ISBLANK('Etape 1'!C105),ISBLANK('Etape 1'!D105),ISBLANK('Etape 1'!E105),ISBLANK('Etape 1'!F105),ISBLANK('Etape 1'!G105),ISBLANK('Etape 1'!H105)),999,9999),IF(VLOOKUP($C110,Matrix_Berechnungen1.Rang.Pumpendaten.Zwischenresultate,$C$9,0)&gt;0,VLOOKUP($C110,Matrix_Berechnungen1.Rang.Pumpendaten.Zwischenresultate,K$9,0),""))</f>
        <v>999</v>
      </c>
      <c r="L110" s="184">
        <f t="shared" ca="1" si="40"/>
        <v>98</v>
      </c>
      <c r="M110" s="184">
        <f t="shared" ca="1" si="40"/>
        <v>0</v>
      </c>
      <c r="N110" s="84"/>
      <c r="O110" s="84"/>
      <c r="P110" s="84"/>
      <c r="Q110" s="69" t="str">
        <f t="shared" si="33"/>
        <v/>
      </c>
      <c r="R110" s="84"/>
      <c r="S110" s="65" t="str">
        <f t="shared" si="35"/>
        <v/>
      </c>
      <c r="T110" s="69" t="str">
        <f t="shared" si="34"/>
        <v/>
      </c>
      <c r="U110" s="84"/>
      <c r="V110" s="65" t="str">
        <f t="shared" si="36"/>
        <v/>
      </c>
      <c r="W110" s="108"/>
      <c r="X110" s="108"/>
      <c r="Y110" s="108"/>
      <c r="Z110" s="110" t="str">
        <f t="shared" si="37"/>
        <v/>
      </c>
      <c r="AA110" s="199" t="str">
        <f>IF(ISERROR('Berechnungen 2'!AR113),"",'Berechnungen 2'!AR113)</f>
        <v/>
      </c>
      <c r="AB110" s="200" t="str">
        <f>IF(ISERROR('Berechnungen 2'!AS113),"",'Berechnungen 2'!AS113)</f>
        <v/>
      </c>
      <c r="AC110" s="200" t="str">
        <f>IF(ISERROR('Berechnungen 2'!AT113),"",'Berechnungen 2'!AT113)</f>
        <v/>
      </c>
      <c r="AD110" s="199" t="str">
        <f>IF(ISERROR('Berechnungen 2'!BE113),"",'Berechnungen 2'!BE113)</f>
        <v/>
      </c>
      <c r="AE110" s="200" t="str">
        <f>IF(ISERROR('Berechnungen 2'!BF113),"",'Berechnungen 2'!BF113)</f>
        <v/>
      </c>
      <c r="AF110" s="200" t="str">
        <f>IF(ISERROR('Berechnungen 2'!BG113),"",'Berechnungen 2'!BG113)</f>
        <v/>
      </c>
      <c r="AG110" s="199" t="str">
        <f>IF(ISNUMBER(A110),IF(ISERROR('Berechnungen 2'!BK113),"",'Berechnungen 2'!BK113),"")</f>
        <v/>
      </c>
      <c r="AH110" s="200" t="str">
        <f>IF(ISERROR('Berechnungen 2'!BL113),"",'Berechnungen 2'!BL113)</f>
        <v/>
      </c>
      <c r="AI110" s="200" t="str">
        <f>IF(ISERROR('Berechnungen 2'!BM113),"",'Berechnungen 2'!BM113)</f>
        <v/>
      </c>
    </row>
    <row r="111" spans="1:35" x14ac:dyDescent="0.2">
      <c r="A111" s="71" t="str">
        <f t="shared" si="27"/>
        <v/>
      </c>
      <c r="B111" s="193">
        <f t="shared" si="38"/>
        <v>99</v>
      </c>
      <c r="C111" s="192">
        <f ca="1">IF(ISERROR(LARGE('Berechnungen 1'!$A$12:$A$311,B111)),"",LARGE('Berechnungen 1'!$A$12:$A$311,B111))</f>
        <v>202</v>
      </c>
      <c r="D111" s="76" t="str">
        <f t="shared" si="39"/>
        <v/>
      </c>
      <c r="E111" s="76" t="str">
        <f t="shared" si="39"/>
        <v/>
      </c>
      <c r="F111" s="155" t="str">
        <f t="shared" ref="F111:F174" si="41">IF(ISNUMBER(A111),IF(VLOOKUP($C111,Matrix_Berechnungen1.Rang.Pumpendaten.Zwischenresultate,C$9,0)&gt;0,IF(VLOOKUP($C111,Matrix_Berechnungen1.Rang.Pumpendaten.Zwischenresultate,F$9,0)=0,"",VLOOKUP($C111,Matrix_Berechnungen1.Rang.Pumpendaten.Zwischenresultate,F$9,0)),""),"")</f>
        <v/>
      </c>
      <c r="G111" s="204" t="str">
        <f t="shared" ref="G111:G174" si="42">IF(ISNUMBER(A111),IF(VLOOKUP($C111,Matrix_Berechnungen1.Rang.Pumpendaten.Zwischenresultate,C$9,0)&gt;0,IF(VLOOKUP($C111,Matrix_Berechnungen1.Rang.Pumpendaten.Zwischenresultate,G$9,0)=0,"",VLOOKUP($C111,Matrix_Berechnungen1.Rang.Pumpendaten.Zwischenresultate,G$9,0)),""),"")</f>
        <v/>
      </c>
      <c r="H111" s="156" t="str">
        <f t="shared" ref="H111:H174" si="43">IF(ISNUMBER(A111),IF(VLOOKUP($C111,Matrix_Berechnungen1.Rang.Pumpendaten.Zwischenresultate,C$9,0)&gt;0,IF(VLOOKUP($C111,Matrix_Berechnungen1.Rang.Pumpendaten.Zwischenresultate,H$9,0)=0,"",VLOOKUP($C111,Matrix_Berechnungen1.Rang.Pumpendaten.Zwischenresultate,H$9,0)),""),"")</f>
        <v/>
      </c>
      <c r="I111" s="155" t="str">
        <f t="shared" ref="I111:I174" si="44">IF(ISNUMBER(A111),IF(VLOOKUP($C111,Matrix_Berechnungen1.Rang.Pumpendaten.Zwischenresultate,C$9,0)&gt;0,IF(VLOOKUP($C111,Matrix_Berechnungen1.Rang.Pumpendaten.Zwischenresultate,I$9,0)=0,"",VLOOKUP($C111,Matrix_Berechnungen1.Rang.Pumpendaten.Zwischenresultate,I$9,0)),""),"")</f>
        <v/>
      </c>
      <c r="J111" s="184">
        <f t="shared" ref="J111:J174" ca="1" si="45">IF(VLOOKUP($C111,Matrix_Berechnungen1.Rang.Pumpendaten.Zwischenresultate,C$9,0)&gt;0,VLOOKUP($C111,Matrix_Berechnungen1.Rang.Pumpendaten.Zwischenresultate,J$9,0),"")</f>
        <v>999999</v>
      </c>
      <c r="K111" s="184">
        <f>IF(OR(ISBLANK('Etape 1'!E106),ISBLANK('Etape 1'!F106)),IF(AND(ISBLANK('Etape 1'!B106),ISBLANK('Etape 1'!C106),ISBLANK('Etape 1'!D106),ISBLANK('Etape 1'!E106),ISBLANK('Etape 1'!F106),ISBLANK('Etape 1'!G106),ISBLANK('Etape 1'!H106)),999,9999),IF(VLOOKUP($C111,Matrix_Berechnungen1.Rang.Pumpendaten.Zwischenresultate,$C$9,0)&gt;0,VLOOKUP($C111,Matrix_Berechnungen1.Rang.Pumpendaten.Zwischenresultate,K$9,0),""))</f>
        <v>999</v>
      </c>
      <c r="L111" s="184">
        <f t="shared" ca="1" si="40"/>
        <v>99</v>
      </c>
      <c r="M111" s="184">
        <f t="shared" ca="1" si="40"/>
        <v>0</v>
      </c>
      <c r="N111" s="84"/>
      <c r="O111" s="84"/>
      <c r="P111" s="84"/>
      <c r="Q111" s="69" t="str">
        <f t="shared" ref="Q111:Q174" si="46">IF(ISNUMBER(A111),St.Wert_Motor.Pole.Anzahl,"")</f>
        <v/>
      </c>
      <c r="R111" s="84"/>
      <c r="S111" s="65" t="str">
        <f t="shared" ref="S111:S174" si="47">IF(ISBLANK(R111),Q111,R111)</f>
        <v/>
      </c>
      <c r="T111" s="69" t="str">
        <f t="shared" ref="T111:T174" si="48">IF(ISNUMBER(A111),VLOOKUP($C111,Matrix_Berechnungen1.Rang.Pumpendaten.Zwischenresultate,T$9,0),"")</f>
        <v/>
      </c>
      <c r="U111" s="84"/>
      <c r="V111" s="65" t="str">
        <f t="shared" ref="V111:V174" si="49">IF(ISBLANK(U111),T111,U111)</f>
        <v/>
      </c>
      <c r="W111" s="108"/>
      <c r="X111" s="108"/>
      <c r="Y111" s="108"/>
      <c r="Z111" s="110" t="str">
        <f t="shared" ref="Z111:Z174" si="50">IF(ISNUMBER(A111),IF(ISNUMBER(H111),H111-SUM(W111:Y111),0-SUM(W111:Y111)),"")</f>
        <v/>
      </c>
      <c r="AA111" s="199" t="str">
        <f>IF(ISERROR('Berechnungen 2'!AR114),"",'Berechnungen 2'!AR114)</f>
        <v/>
      </c>
      <c r="AB111" s="200" t="str">
        <f>IF(ISERROR('Berechnungen 2'!AS114),"",'Berechnungen 2'!AS114)</f>
        <v/>
      </c>
      <c r="AC111" s="200" t="str">
        <f>IF(ISERROR('Berechnungen 2'!AT114),"",'Berechnungen 2'!AT114)</f>
        <v/>
      </c>
      <c r="AD111" s="199" t="str">
        <f>IF(ISERROR('Berechnungen 2'!BE114),"",'Berechnungen 2'!BE114)</f>
        <v/>
      </c>
      <c r="AE111" s="200" t="str">
        <f>IF(ISERROR('Berechnungen 2'!BF114),"",'Berechnungen 2'!BF114)</f>
        <v/>
      </c>
      <c r="AF111" s="200" t="str">
        <f>IF(ISERROR('Berechnungen 2'!BG114),"",'Berechnungen 2'!BG114)</f>
        <v/>
      </c>
      <c r="AG111" s="199" t="str">
        <f>IF(ISNUMBER(A111),IF(ISERROR('Berechnungen 2'!BK114),"",'Berechnungen 2'!BK114),"")</f>
        <v/>
      </c>
      <c r="AH111" s="200" t="str">
        <f>IF(ISERROR('Berechnungen 2'!BL114),"",'Berechnungen 2'!BL114)</f>
        <v/>
      </c>
      <c r="AI111" s="200" t="str">
        <f>IF(ISERROR('Berechnungen 2'!BM114),"",'Berechnungen 2'!BM114)</f>
        <v/>
      </c>
    </row>
    <row r="112" spans="1:35" x14ac:dyDescent="0.2">
      <c r="A112" s="71" t="str">
        <f t="shared" si="27"/>
        <v/>
      </c>
      <c r="B112" s="193">
        <f t="shared" si="38"/>
        <v>100</v>
      </c>
      <c r="C112" s="192">
        <f ca="1">IF(ISERROR(LARGE('Berechnungen 1'!$A$12:$A$311,B112)),"",LARGE('Berechnungen 1'!$A$12:$A$311,B112))</f>
        <v>201</v>
      </c>
      <c r="D112" s="76" t="str">
        <f t="shared" si="39"/>
        <v/>
      </c>
      <c r="E112" s="76" t="str">
        <f t="shared" si="39"/>
        <v/>
      </c>
      <c r="F112" s="155" t="str">
        <f t="shared" si="41"/>
        <v/>
      </c>
      <c r="G112" s="204" t="str">
        <f t="shared" si="42"/>
        <v/>
      </c>
      <c r="H112" s="156" t="str">
        <f t="shared" si="43"/>
        <v/>
      </c>
      <c r="I112" s="155" t="str">
        <f t="shared" si="44"/>
        <v/>
      </c>
      <c r="J112" s="184">
        <f t="shared" ca="1" si="45"/>
        <v>999999</v>
      </c>
      <c r="K112" s="184">
        <f>IF(OR(ISBLANK('Etape 1'!E107),ISBLANK('Etape 1'!F107)),IF(AND(ISBLANK('Etape 1'!B107),ISBLANK('Etape 1'!C107),ISBLANK('Etape 1'!D107),ISBLANK('Etape 1'!E107),ISBLANK('Etape 1'!F107),ISBLANK('Etape 1'!G107),ISBLANK('Etape 1'!H107)),999,9999),IF(VLOOKUP($C112,Matrix_Berechnungen1.Rang.Pumpendaten.Zwischenresultate,$C$9,0)&gt;0,VLOOKUP($C112,Matrix_Berechnungen1.Rang.Pumpendaten.Zwischenresultate,K$9,0),""))</f>
        <v>999</v>
      </c>
      <c r="L112" s="184">
        <f t="shared" ca="1" si="40"/>
        <v>100</v>
      </c>
      <c r="M112" s="184">
        <f t="shared" ca="1" si="40"/>
        <v>0</v>
      </c>
      <c r="N112" s="84"/>
      <c r="O112" s="84"/>
      <c r="P112" s="84"/>
      <c r="Q112" s="69" t="str">
        <f t="shared" si="46"/>
        <v/>
      </c>
      <c r="R112" s="84"/>
      <c r="S112" s="65" t="str">
        <f t="shared" si="47"/>
        <v/>
      </c>
      <c r="T112" s="69" t="str">
        <f t="shared" si="48"/>
        <v/>
      </c>
      <c r="U112" s="84"/>
      <c r="V112" s="65" t="str">
        <f t="shared" si="49"/>
        <v/>
      </c>
      <c r="W112" s="108"/>
      <c r="X112" s="108"/>
      <c r="Y112" s="108"/>
      <c r="Z112" s="110" t="str">
        <f t="shared" si="50"/>
        <v/>
      </c>
      <c r="AA112" s="199" t="str">
        <f>IF(ISERROR('Berechnungen 2'!AR315),"",'Berechnungen 2'!AR315)</f>
        <v/>
      </c>
      <c r="AB112" s="200" t="str">
        <f>IF(ISERROR('Berechnungen 2'!AS315),"",'Berechnungen 2'!AS315)</f>
        <v/>
      </c>
      <c r="AC112" s="200" t="str">
        <f>IF(ISERROR('Berechnungen 2'!AT315),"",'Berechnungen 2'!AT315)</f>
        <v/>
      </c>
      <c r="AD112" s="199" t="str">
        <f>IF(ISERROR('Berechnungen 2'!BE315),"",'Berechnungen 2'!BE315)</f>
        <v/>
      </c>
      <c r="AE112" s="200" t="str">
        <f>IF(ISERROR('Berechnungen 2'!BF315),"",'Berechnungen 2'!BF315)</f>
        <v/>
      </c>
      <c r="AF112" s="200" t="str">
        <f>IF(ISERROR('Berechnungen 2'!BG315),"",'Berechnungen 2'!BG315)</f>
        <v/>
      </c>
      <c r="AG112" s="199" t="str">
        <f>IF(ISNUMBER(A112),IF(ISERROR('Berechnungen 2'!BK315),"",'Berechnungen 2'!BK315),"")</f>
        <v/>
      </c>
      <c r="AH112" s="200" t="str">
        <f>IF(ISERROR('Berechnungen 2'!BL315),"",'Berechnungen 2'!BL315)</f>
        <v/>
      </c>
      <c r="AI112" s="200" t="str">
        <f>IF(ISERROR('Berechnungen 2'!BM315),"",'Berechnungen 2'!BM315)</f>
        <v/>
      </c>
    </row>
    <row r="113" spans="1:35" x14ac:dyDescent="0.2">
      <c r="A113" s="71" t="str">
        <f t="shared" si="27"/>
        <v/>
      </c>
      <c r="B113" s="193">
        <f t="shared" si="38"/>
        <v>101</v>
      </c>
      <c r="C113" s="192">
        <f ca="1">IF(ISERROR(LARGE('Berechnungen 1'!$A$12:$A$311,B113)),"",LARGE('Berechnungen 1'!$A$12:$A$311,B113))</f>
        <v>200</v>
      </c>
      <c r="D113" s="76" t="str">
        <f t="shared" ref="D113:E132" si="51">IF(ISNUMBER($A113),IF(VLOOKUP($C113,Matrix_Berechnungen1.Rang.Pumpendaten.Zwischenresultate,$C$9,0)&gt;0,IF(VLOOKUP($C113,Matrix_Berechnungen1.Rang.Pumpendaten.Zwischenresultate,D$9,0)=0,"",VLOOKUP($C113,Matrix_Berechnungen1.Rang.Pumpendaten.Zwischenresultate,D$9,0)),""),"")</f>
        <v/>
      </c>
      <c r="E113" s="76" t="str">
        <f t="shared" si="51"/>
        <v/>
      </c>
      <c r="F113" s="155" t="str">
        <f t="shared" si="41"/>
        <v/>
      </c>
      <c r="G113" s="204" t="str">
        <f t="shared" si="42"/>
        <v/>
      </c>
      <c r="H113" s="156" t="str">
        <f t="shared" si="43"/>
        <v/>
      </c>
      <c r="I113" s="155" t="str">
        <f t="shared" si="44"/>
        <v/>
      </c>
      <c r="J113" s="184">
        <f t="shared" ca="1" si="45"/>
        <v>999999</v>
      </c>
      <c r="K113" s="184">
        <f>IF(OR(ISBLANK('Etape 1'!E108),ISBLANK('Etape 1'!F108)),IF(AND(ISBLANK('Etape 1'!B108),ISBLANK('Etape 1'!C108),ISBLANK('Etape 1'!D108),ISBLANK('Etape 1'!E108),ISBLANK('Etape 1'!F108),ISBLANK('Etape 1'!G108),ISBLANK('Etape 1'!H108)),999,9999),IF(VLOOKUP($C113,Matrix_Berechnungen1.Rang.Pumpendaten.Zwischenresultate,$C$9,0)&gt;0,VLOOKUP($C113,Matrix_Berechnungen1.Rang.Pumpendaten.Zwischenresultate,K$9,0),""))</f>
        <v>999</v>
      </c>
      <c r="L113" s="184">
        <f t="shared" ref="L113:M132" ca="1" si="52">IF(VLOOKUP($C113,Matrix_Berechnungen1.Rang.Pumpendaten.Zwischenresultate,$C$9,0)&gt;0,VLOOKUP($C113,Matrix_Berechnungen1.Rang.Pumpendaten.Zwischenresultate,L$9,0),"")</f>
        <v>101</v>
      </c>
      <c r="M113" s="184">
        <f t="shared" ca="1" si="52"/>
        <v>0</v>
      </c>
      <c r="N113" s="84"/>
      <c r="O113" s="84"/>
      <c r="P113" s="84"/>
      <c r="Q113" s="69" t="str">
        <f t="shared" si="46"/>
        <v/>
      </c>
      <c r="R113" s="84"/>
      <c r="S113" s="65" t="str">
        <f t="shared" si="47"/>
        <v/>
      </c>
      <c r="T113" s="69" t="str">
        <f t="shared" si="48"/>
        <v/>
      </c>
      <c r="U113" s="84"/>
      <c r="V113" s="65" t="str">
        <f t="shared" si="49"/>
        <v/>
      </c>
      <c r="W113" s="108"/>
      <c r="X113" s="108"/>
      <c r="Y113" s="108"/>
      <c r="Z113" s="110" t="str">
        <f t="shared" si="50"/>
        <v/>
      </c>
      <c r="AA113" s="199">
        <f>IF(ISERROR('Berechnungen 2'!AR316),"",'Berechnungen 2'!AR316)</f>
        <v>0</v>
      </c>
      <c r="AB113" s="200">
        <f>IF(ISERROR('Berechnungen 2'!AS316),"",'Berechnungen 2'!AS316)</f>
        <v>0</v>
      </c>
      <c r="AC113" s="200">
        <f>IF(ISERROR('Berechnungen 2'!AT316),"",'Berechnungen 2'!AT316)</f>
        <v>0</v>
      </c>
      <c r="AD113" s="199">
        <f>IF(ISERROR('Berechnungen 2'!BE316),"",'Berechnungen 2'!BE316)</f>
        <v>0</v>
      </c>
      <c r="AE113" s="200">
        <f>IF(ISERROR('Berechnungen 2'!BF316),"",'Berechnungen 2'!BF316)</f>
        <v>0</v>
      </c>
      <c r="AF113" s="200">
        <f>IF(ISERROR('Berechnungen 2'!BG316),"",'Berechnungen 2'!BG316)</f>
        <v>0</v>
      </c>
      <c r="AG113" s="199" t="str">
        <f>IF(ISNUMBER(A113),IF(ISERROR('Berechnungen 2'!BK316),"",'Berechnungen 2'!BK316),"")</f>
        <v/>
      </c>
      <c r="AH113" s="200">
        <f>IF(ISERROR('Berechnungen 2'!BL316),"",'Berechnungen 2'!BL316)</f>
        <v>0</v>
      </c>
      <c r="AI113" s="200">
        <f>IF(ISERROR('Berechnungen 2'!BM316),"",'Berechnungen 2'!BM316)</f>
        <v>0</v>
      </c>
    </row>
    <row r="114" spans="1:35" x14ac:dyDescent="0.2">
      <c r="A114" s="71" t="str">
        <f t="shared" si="27"/>
        <v/>
      </c>
      <c r="B114" s="193">
        <f t="shared" si="38"/>
        <v>102</v>
      </c>
      <c r="C114" s="192">
        <f ca="1">IF(ISERROR(LARGE('Berechnungen 1'!$A$12:$A$311,B114)),"",LARGE('Berechnungen 1'!$A$12:$A$311,B114))</f>
        <v>199</v>
      </c>
      <c r="D114" s="76" t="str">
        <f t="shared" si="51"/>
        <v/>
      </c>
      <c r="E114" s="76" t="str">
        <f t="shared" si="51"/>
        <v/>
      </c>
      <c r="F114" s="155" t="str">
        <f t="shared" si="41"/>
        <v/>
      </c>
      <c r="G114" s="204" t="str">
        <f t="shared" si="42"/>
        <v/>
      </c>
      <c r="H114" s="156" t="str">
        <f t="shared" si="43"/>
        <v/>
      </c>
      <c r="I114" s="155" t="str">
        <f t="shared" si="44"/>
        <v/>
      </c>
      <c r="J114" s="184">
        <f t="shared" ca="1" si="45"/>
        <v>999999</v>
      </c>
      <c r="K114" s="184">
        <f>IF(OR(ISBLANK('Etape 1'!E109),ISBLANK('Etape 1'!F109)),IF(AND(ISBLANK('Etape 1'!B109),ISBLANK('Etape 1'!C109),ISBLANK('Etape 1'!D109),ISBLANK('Etape 1'!E109),ISBLANK('Etape 1'!F109),ISBLANK('Etape 1'!G109),ISBLANK('Etape 1'!H109)),999,9999),IF(VLOOKUP($C114,Matrix_Berechnungen1.Rang.Pumpendaten.Zwischenresultate,$C$9,0)&gt;0,VLOOKUP($C114,Matrix_Berechnungen1.Rang.Pumpendaten.Zwischenresultate,K$9,0),""))</f>
        <v>999</v>
      </c>
      <c r="L114" s="184">
        <f t="shared" ca="1" si="52"/>
        <v>102</v>
      </c>
      <c r="M114" s="184">
        <f t="shared" ca="1" si="52"/>
        <v>0</v>
      </c>
      <c r="N114" s="84"/>
      <c r="O114" s="84"/>
      <c r="P114" s="84"/>
      <c r="Q114" s="69" t="str">
        <f t="shared" si="46"/>
        <v/>
      </c>
      <c r="R114" s="84"/>
      <c r="S114" s="65" t="str">
        <f t="shared" si="47"/>
        <v/>
      </c>
      <c r="T114" s="69" t="str">
        <f t="shared" si="48"/>
        <v/>
      </c>
      <c r="U114" s="84"/>
      <c r="V114" s="65" t="str">
        <f t="shared" si="49"/>
        <v/>
      </c>
      <c r="W114" s="108"/>
      <c r="X114" s="108"/>
      <c r="Y114" s="108"/>
      <c r="Z114" s="110" t="str">
        <f t="shared" si="50"/>
        <v/>
      </c>
      <c r="AA114" s="199">
        <f>IF(ISERROR('Berechnungen 2'!AR317),"",'Berechnungen 2'!AR317)</f>
        <v>0</v>
      </c>
      <c r="AB114" s="200">
        <f>IF(ISERROR('Berechnungen 2'!AS317),"",'Berechnungen 2'!AS317)</f>
        <v>0</v>
      </c>
      <c r="AC114" s="200">
        <f>IF(ISERROR('Berechnungen 2'!AT317),"",'Berechnungen 2'!AT317)</f>
        <v>0</v>
      </c>
      <c r="AD114" s="199">
        <f>IF(ISERROR('Berechnungen 2'!BE317),"",'Berechnungen 2'!BE317)</f>
        <v>0</v>
      </c>
      <c r="AE114" s="200">
        <f>IF(ISERROR('Berechnungen 2'!BF317),"",'Berechnungen 2'!BF317)</f>
        <v>0</v>
      </c>
      <c r="AF114" s="200">
        <f>IF(ISERROR('Berechnungen 2'!BG317),"",'Berechnungen 2'!BG317)</f>
        <v>0</v>
      </c>
      <c r="AG114" s="199" t="str">
        <f>IF(ISNUMBER(A114),IF(ISERROR('Berechnungen 2'!BK317),"",'Berechnungen 2'!BK317),"")</f>
        <v/>
      </c>
      <c r="AH114" s="200">
        <f>IF(ISERROR('Berechnungen 2'!BL317),"",'Berechnungen 2'!BL317)</f>
        <v>0</v>
      </c>
      <c r="AI114" s="200">
        <f>IF(ISERROR('Berechnungen 2'!BM317),"",'Berechnungen 2'!BM317)</f>
        <v>0</v>
      </c>
    </row>
    <row r="115" spans="1:35" x14ac:dyDescent="0.2">
      <c r="A115" s="71" t="str">
        <f t="shared" si="27"/>
        <v/>
      </c>
      <c r="B115" s="193">
        <f t="shared" si="38"/>
        <v>103</v>
      </c>
      <c r="C115" s="192">
        <f ca="1">IF(ISERROR(LARGE('Berechnungen 1'!$A$12:$A$311,B115)),"",LARGE('Berechnungen 1'!$A$12:$A$311,B115))</f>
        <v>198</v>
      </c>
      <c r="D115" s="76" t="str">
        <f t="shared" si="51"/>
        <v/>
      </c>
      <c r="E115" s="76" t="str">
        <f t="shared" si="51"/>
        <v/>
      </c>
      <c r="F115" s="155" t="str">
        <f t="shared" si="41"/>
        <v/>
      </c>
      <c r="G115" s="204" t="str">
        <f t="shared" si="42"/>
        <v/>
      </c>
      <c r="H115" s="156" t="str">
        <f t="shared" si="43"/>
        <v/>
      </c>
      <c r="I115" s="155" t="str">
        <f t="shared" si="44"/>
        <v/>
      </c>
      <c r="J115" s="184">
        <f t="shared" ca="1" si="45"/>
        <v>999999</v>
      </c>
      <c r="K115" s="184">
        <f>IF(OR(ISBLANK('Etape 1'!E110),ISBLANK('Etape 1'!F110)),IF(AND(ISBLANK('Etape 1'!B110),ISBLANK('Etape 1'!C110),ISBLANK('Etape 1'!D110),ISBLANK('Etape 1'!E110),ISBLANK('Etape 1'!F110),ISBLANK('Etape 1'!G110),ISBLANK('Etape 1'!H110)),999,9999),IF(VLOOKUP($C115,Matrix_Berechnungen1.Rang.Pumpendaten.Zwischenresultate,$C$9,0)&gt;0,VLOOKUP($C115,Matrix_Berechnungen1.Rang.Pumpendaten.Zwischenresultate,K$9,0),""))</f>
        <v>999</v>
      </c>
      <c r="L115" s="184">
        <f t="shared" ca="1" si="52"/>
        <v>103</v>
      </c>
      <c r="M115" s="184">
        <f t="shared" ca="1" si="52"/>
        <v>0</v>
      </c>
      <c r="N115" s="84"/>
      <c r="O115" s="84"/>
      <c r="P115" s="84"/>
      <c r="Q115" s="69" t="str">
        <f t="shared" si="46"/>
        <v/>
      </c>
      <c r="R115" s="84"/>
      <c r="S115" s="65" t="str">
        <f t="shared" si="47"/>
        <v/>
      </c>
      <c r="T115" s="69" t="str">
        <f t="shared" si="48"/>
        <v/>
      </c>
      <c r="U115" s="84"/>
      <c r="V115" s="65" t="str">
        <f t="shared" si="49"/>
        <v/>
      </c>
      <c r="W115" s="108"/>
      <c r="X115" s="108"/>
      <c r="Y115" s="108"/>
      <c r="Z115" s="110" t="str">
        <f t="shared" si="50"/>
        <v/>
      </c>
      <c r="AA115" s="199">
        <f>IF(ISERROR('Berechnungen 2'!AR318),"",'Berechnungen 2'!AR318)</f>
        <v>0</v>
      </c>
      <c r="AB115" s="200">
        <f>IF(ISERROR('Berechnungen 2'!AS318),"",'Berechnungen 2'!AS318)</f>
        <v>0</v>
      </c>
      <c r="AC115" s="200">
        <f>IF(ISERROR('Berechnungen 2'!AT318),"",'Berechnungen 2'!AT318)</f>
        <v>0</v>
      </c>
      <c r="AD115" s="199">
        <f>IF(ISERROR('Berechnungen 2'!BE318),"",'Berechnungen 2'!BE318)</f>
        <v>0</v>
      </c>
      <c r="AE115" s="200">
        <f>IF(ISERROR('Berechnungen 2'!BF318),"",'Berechnungen 2'!BF318)</f>
        <v>0</v>
      </c>
      <c r="AF115" s="200">
        <f>IF(ISERROR('Berechnungen 2'!BG318),"",'Berechnungen 2'!BG318)</f>
        <v>0</v>
      </c>
      <c r="AG115" s="199" t="str">
        <f>IF(ISNUMBER(A115),IF(ISERROR('Berechnungen 2'!BK318),"",'Berechnungen 2'!BK318),"")</f>
        <v/>
      </c>
      <c r="AH115" s="200">
        <f>IF(ISERROR('Berechnungen 2'!BL318),"",'Berechnungen 2'!BL318)</f>
        <v>0</v>
      </c>
      <c r="AI115" s="200">
        <f>IF(ISERROR('Berechnungen 2'!BM318),"",'Berechnungen 2'!BM318)</f>
        <v>0</v>
      </c>
    </row>
    <row r="116" spans="1:35" x14ac:dyDescent="0.2">
      <c r="A116" s="71" t="str">
        <f t="shared" si="27"/>
        <v/>
      </c>
      <c r="B116" s="193">
        <f t="shared" si="38"/>
        <v>104</v>
      </c>
      <c r="C116" s="192">
        <f ca="1">IF(ISERROR(LARGE('Berechnungen 1'!$A$12:$A$311,B116)),"",LARGE('Berechnungen 1'!$A$12:$A$311,B116))</f>
        <v>197</v>
      </c>
      <c r="D116" s="76" t="str">
        <f t="shared" si="51"/>
        <v/>
      </c>
      <c r="E116" s="76" t="str">
        <f t="shared" si="51"/>
        <v/>
      </c>
      <c r="F116" s="155" t="str">
        <f t="shared" si="41"/>
        <v/>
      </c>
      <c r="G116" s="204" t="str">
        <f t="shared" si="42"/>
        <v/>
      </c>
      <c r="H116" s="156" t="str">
        <f t="shared" si="43"/>
        <v/>
      </c>
      <c r="I116" s="155" t="str">
        <f t="shared" si="44"/>
        <v/>
      </c>
      <c r="J116" s="184">
        <f t="shared" ca="1" si="45"/>
        <v>999999</v>
      </c>
      <c r="K116" s="184">
        <f>IF(OR(ISBLANK('Etape 1'!E111),ISBLANK('Etape 1'!F111)),IF(AND(ISBLANK('Etape 1'!B111),ISBLANK('Etape 1'!C111),ISBLANK('Etape 1'!D111),ISBLANK('Etape 1'!E111),ISBLANK('Etape 1'!F111),ISBLANK('Etape 1'!G111),ISBLANK('Etape 1'!H111)),999,9999),IF(VLOOKUP($C116,Matrix_Berechnungen1.Rang.Pumpendaten.Zwischenresultate,$C$9,0)&gt;0,VLOOKUP($C116,Matrix_Berechnungen1.Rang.Pumpendaten.Zwischenresultate,K$9,0),""))</f>
        <v>999</v>
      </c>
      <c r="L116" s="184">
        <f t="shared" ca="1" si="52"/>
        <v>104</v>
      </c>
      <c r="M116" s="184">
        <f t="shared" ca="1" si="52"/>
        <v>0</v>
      </c>
      <c r="N116" s="84"/>
      <c r="O116" s="84"/>
      <c r="P116" s="84"/>
      <c r="Q116" s="69" t="str">
        <f t="shared" si="46"/>
        <v/>
      </c>
      <c r="R116" s="84"/>
      <c r="S116" s="65" t="str">
        <f t="shared" si="47"/>
        <v/>
      </c>
      <c r="T116" s="69" t="str">
        <f t="shared" si="48"/>
        <v/>
      </c>
      <c r="U116" s="84"/>
      <c r="V116" s="65" t="str">
        <f t="shared" si="49"/>
        <v/>
      </c>
      <c r="W116" s="108"/>
      <c r="X116" s="108"/>
      <c r="Y116" s="108"/>
      <c r="Z116" s="110" t="str">
        <f t="shared" si="50"/>
        <v/>
      </c>
      <c r="AA116" s="199">
        <f>IF(ISERROR('Berechnungen 2'!AR319),"",'Berechnungen 2'!AR319)</f>
        <v>0</v>
      </c>
      <c r="AB116" s="200">
        <f>IF(ISERROR('Berechnungen 2'!AS319),"",'Berechnungen 2'!AS319)</f>
        <v>0</v>
      </c>
      <c r="AC116" s="200">
        <f>IF(ISERROR('Berechnungen 2'!AT319),"",'Berechnungen 2'!AT319)</f>
        <v>0</v>
      </c>
      <c r="AD116" s="199">
        <f>IF(ISERROR('Berechnungen 2'!BE319),"",'Berechnungen 2'!BE319)</f>
        <v>0</v>
      </c>
      <c r="AE116" s="200">
        <f>IF(ISERROR('Berechnungen 2'!BF319),"",'Berechnungen 2'!BF319)</f>
        <v>0</v>
      </c>
      <c r="AF116" s="200">
        <f>IF(ISERROR('Berechnungen 2'!BG319),"",'Berechnungen 2'!BG319)</f>
        <v>0</v>
      </c>
      <c r="AG116" s="199" t="str">
        <f>IF(ISNUMBER(A116),IF(ISERROR('Berechnungen 2'!BK319),"",'Berechnungen 2'!BK319),"")</f>
        <v/>
      </c>
      <c r="AH116" s="200">
        <f>IF(ISERROR('Berechnungen 2'!BL319),"",'Berechnungen 2'!BL319)</f>
        <v>0</v>
      </c>
      <c r="AI116" s="200">
        <f>IF(ISERROR('Berechnungen 2'!BM319),"",'Berechnungen 2'!BM319)</f>
        <v>0</v>
      </c>
    </row>
    <row r="117" spans="1:35" x14ac:dyDescent="0.2">
      <c r="A117" s="71" t="str">
        <f t="shared" si="27"/>
        <v/>
      </c>
      <c r="B117" s="193">
        <f t="shared" si="38"/>
        <v>105</v>
      </c>
      <c r="C117" s="192">
        <f ca="1">IF(ISERROR(LARGE('Berechnungen 1'!$A$12:$A$311,B117)),"",LARGE('Berechnungen 1'!$A$12:$A$311,B117))</f>
        <v>196</v>
      </c>
      <c r="D117" s="76" t="str">
        <f t="shared" si="51"/>
        <v/>
      </c>
      <c r="E117" s="76" t="str">
        <f t="shared" si="51"/>
        <v/>
      </c>
      <c r="F117" s="155" t="str">
        <f t="shared" si="41"/>
        <v/>
      </c>
      <c r="G117" s="204" t="str">
        <f t="shared" si="42"/>
        <v/>
      </c>
      <c r="H117" s="156" t="str">
        <f t="shared" si="43"/>
        <v/>
      </c>
      <c r="I117" s="155" t="str">
        <f t="shared" si="44"/>
        <v/>
      </c>
      <c r="J117" s="184">
        <f t="shared" ca="1" si="45"/>
        <v>999999</v>
      </c>
      <c r="K117" s="184">
        <f>IF(OR(ISBLANK('Etape 1'!E112),ISBLANK('Etape 1'!F112)),IF(AND(ISBLANK('Etape 1'!B112),ISBLANK('Etape 1'!C112),ISBLANK('Etape 1'!D112),ISBLANK('Etape 1'!E112),ISBLANK('Etape 1'!F112),ISBLANK('Etape 1'!G112),ISBLANK('Etape 1'!H112)),999,9999),IF(VLOOKUP($C117,Matrix_Berechnungen1.Rang.Pumpendaten.Zwischenresultate,$C$9,0)&gt;0,VLOOKUP($C117,Matrix_Berechnungen1.Rang.Pumpendaten.Zwischenresultate,K$9,0),""))</f>
        <v>999</v>
      </c>
      <c r="L117" s="184">
        <f t="shared" ca="1" si="52"/>
        <v>105</v>
      </c>
      <c r="M117" s="184">
        <f t="shared" ca="1" si="52"/>
        <v>0</v>
      </c>
      <c r="N117" s="84"/>
      <c r="O117" s="84"/>
      <c r="P117" s="84"/>
      <c r="Q117" s="69" t="str">
        <f t="shared" si="46"/>
        <v/>
      </c>
      <c r="R117" s="84"/>
      <c r="S117" s="65" t="str">
        <f t="shared" si="47"/>
        <v/>
      </c>
      <c r="T117" s="69" t="str">
        <f t="shared" si="48"/>
        <v/>
      </c>
      <c r="U117" s="84"/>
      <c r="V117" s="65" t="str">
        <f t="shared" si="49"/>
        <v/>
      </c>
      <c r="W117" s="108"/>
      <c r="X117" s="108"/>
      <c r="Y117" s="108"/>
      <c r="Z117" s="110" t="str">
        <f t="shared" si="50"/>
        <v/>
      </c>
      <c r="AA117" s="199">
        <f>IF(ISERROR('Berechnungen 2'!AR320),"",'Berechnungen 2'!AR320)</f>
        <v>0</v>
      </c>
      <c r="AB117" s="200">
        <f>IF(ISERROR('Berechnungen 2'!AS320),"",'Berechnungen 2'!AS320)</f>
        <v>0</v>
      </c>
      <c r="AC117" s="200">
        <f>IF(ISERROR('Berechnungen 2'!AT320),"",'Berechnungen 2'!AT320)</f>
        <v>0</v>
      </c>
      <c r="AD117" s="199">
        <f>IF(ISERROR('Berechnungen 2'!BE320),"",'Berechnungen 2'!BE320)</f>
        <v>0</v>
      </c>
      <c r="AE117" s="200">
        <f>IF(ISERROR('Berechnungen 2'!BF320),"",'Berechnungen 2'!BF320)</f>
        <v>0</v>
      </c>
      <c r="AF117" s="200">
        <f>IF(ISERROR('Berechnungen 2'!BG320),"",'Berechnungen 2'!BG320)</f>
        <v>0</v>
      </c>
      <c r="AG117" s="199" t="str">
        <f>IF(ISNUMBER(A117),IF(ISERROR('Berechnungen 2'!BK320),"",'Berechnungen 2'!BK320),"")</f>
        <v/>
      </c>
      <c r="AH117" s="200">
        <f>IF(ISERROR('Berechnungen 2'!BL320),"",'Berechnungen 2'!BL320)</f>
        <v>0</v>
      </c>
      <c r="AI117" s="200">
        <f>IF(ISERROR('Berechnungen 2'!BM320),"",'Berechnungen 2'!BM320)</f>
        <v>0</v>
      </c>
    </row>
    <row r="118" spans="1:35" x14ac:dyDescent="0.2">
      <c r="A118" s="71" t="str">
        <f t="shared" si="27"/>
        <v/>
      </c>
      <c r="B118" s="193">
        <f t="shared" si="38"/>
        <v>106</v>
      </c>
      <c r="C118" s="192">
        <f ca="1">IF(ISERROR(LARGE('Berechnungen 1'!$A$12:$A$311,B118)),"",LARGE('Berechnungen 1'!$A$12:$A$311,B118))</f>
        <v>195</v>
      </c>
      <c r="D118" s="76" t="str">
        <f t="shared" si="51"/>
        <v/>
      </c>
      <c r="E118" s="76" t="str">
        <f t="shared" si="51"/>
        <v/>
      </c>
      <c r="F118" s="155" t="str">
        <f t="shared" si="41"/>
        <v/>
      </c>
      <c r="G118" s="204" t="str">
        <f t="shared" si="42"/>
        <v/>
      </c>
      <c r="H118" s="156" t="str">
        <f t="shared" si="43"/>
        <v/>
      </c>
      <c r="I118" s="155" t="str">
        <f t="shared" si="44"/>
        <v/>
      </c>
      <c r="J118" s="184">
        <f t="shared" ca="1" si="45"/>
        <v>999999</v>
      </c>
      <c r="K118" s="184">
        <f>IF(OR(ISBLANK('Etape 1'!E113),ISBLANK('Etape 1'!F113)),IF(AND(ISBLANK('Etape 1'!B113),ISBLANK('Etape 1'!C113),ISBLANK('Etape 1'!D113),ISBLANK('Etape 1'!E113),ISBLANK('Etape 1'!F113),ISBLANK('Etape 1'!G113),ISBLANK('Etape 1'!H113)),999,9999),IF(VLOOKUP($C118,Matrix_Berechnungen1.Rang.Pumpendaten.Zwischenresultate,$C$9,0)&gt;0,VLOOKUP($C118,Matrix_Berechnungen1.Rang.Pumpendaten.Zwischenresultate,K$9,0),""))</f>
        <v>999</v>
      </c>
      <c r="L118" s="184">
        <f t="shared" ca="1" si="52"/>
        <v>106</v>
      </c>
      <c r="M118" s="184">
        <f t="shared" ca="1" si="52"/>
        <v>0</v>
      </c>
      <c r="N118" s="84"/>
      <c r="O118" s="84"/>
      <c r="P118" s="84"/>
      <c r="Q118" s="69" t="str">
        <f t="shared" si="46"/>
        <v/>
      </c>
      <c r="R118" s="84"/>
      <c r="S118" s="65" t="str">
        <f t="shared" si="47"/>
        <v/>
      </c>
      <c r="T118" s="69" t="str">
        <f t="shared" si="48"/>
        <v/>
      </c>
      <c r="U118" s="84"/>
      <c r="V118" s="65" t="str">
        <f t="shared" si="49"/>
        <v/>
      </c>
      <c r="W118" s="108"/>
      <c r="X118" s="108"/>
      <c r="Y118" s="108"/>
      <c r="Z118" s="110" t="str">
        <f t="shared" si="50"/>
        <v/>
      </c>
      <c r="AA118" s="199">
        <f>IF(ISERROR('Berechnungen 2'!AR321),"",'Berechnungen 2'!AR321)</f>
        <v>0</v>
      </c>
      <c r="AB118" s="200">
        <f>IF(ISERROR('Berechnungen 2'!AS321),"",'Berechnungen 2'!AS321)</f>
        <v>0</v>
      </c>
      <c r="AC118" s="200">
        <f>IF(ISERROR('Berechnungen 2'!AT321),"",'Berechnungen 2'!AT321)</f>
        <v>0</v>
      </c>
      <c r="AD118" s="199">
        <f>IF(ISERROR('Berechnungen 2'!BE321),"",'Berechnungen 2'!BE321)</f>
        <v>0</v>
      </c>
      <c r="AE118" s="200">
        <f>IF(ISERROR('Berechnungen 2'!BF321),"",'Berechnungen 2'!BF321)</f>
        <v>0</v>
      </c>
      <c r="AF118" s="200">
        <f>IF(ISERROR('Berechnungen 2'!BG321),"",'Berechnungen 2'!BG321)</f>
        <v>0</v>
      </c>
      <c r="AG118" s="199" t="str">
        <f>IF(ISNUMBER(A118),IF(ISERROR('Berechnungen 2'!BK321),"",'Berechnungen 2'!BK321),"")</f>
        <v/>
      </c>
      <c r="AH118" s="200">
        <f>IF(ISERROR('Berechnungen 2'!BL321),"",'Berechnungen 2'!BL321)</f>
        <v>0</v>
      </c>
      <c r="AI118" s="200">
        <f>IF(ISERROR('Berechnungen 2'!BM321),"",'Berechnungen 2'!BM321)</f>
        <v>0</v>
      </c>
    </row>
    <row r="119" spans="1:35" x14ac:dyDescent="0.2">
      <c r="A119" s="71" t="str">
        <f t="shared" si="27"/>
        <v/>
      </c>
      <c r="B119" s="193">
        <f t="shared" si="38"/>
        <v>107</v>
      </c>
      <c r="C119" s="192">
        <f ca="1">IF(ISERROR(LARGE('Berechnungen 1'!$A$12:$A$311,B119)),"",LARGE('Berechnungen 1'!$A$12:$A$311,B119))</f>
        <v>194</v>
      </c>
      <c r="D119" s="76" t="str">
        <f t="shared" si="51"/>
        <v/>
      </c>
      <c r="E119" s="76" t="str">
        <f t="shared" si="51"/>
        <v/>
      </c>
      <c r="F119" s="155" t="str">
        <f t="shared" si="41"/>
        <v/>
      </c>
      <c r="G119" s="204" t="str">
        <f t="shared" si="42"/>
        <v/>
      </c>
      <c r="H119" s="156" t="str">
        <f t="shared" si="43"/>
        <v/>
      </c>
      <c r="I119" s="155" t="str">
        <f t="shared" si="44"/>
        <v/>
      </c>
      <c r="J119" s="184">
        <f t="shared" ca="1" si="45"/>
        <v>999999</v>
      </c>
      <c r="K119" s="184">
        <f>IF(OR(ISBLANK('Etape 1'!E114),ISBLANK('Etape 1'!F114)),IF(AND(ISBLANK('Etape 1'!B114),ISBLANK('Etape 1'!C114),ISBLANK('Etape 1'!D114),ISBLANK('Etape 1'!E114),ISBLANK('Etape 1'!F114),ISBLANK('Etape 1'!G114),ISBLANK('Etape 1'!H114)),999,9999),IF(VLOOKUP($C119,Matrix_Berechnungen1.Rang.Pumpendaten.Zwischenresultate,$C$9,0)&gt;0,VLOOKUP($C119,Matrix_Berechnungen1.Rang.Pumpendaten.Zwischenresultate,K$9,0),""))</f>
        <v>999</v>
      </c>
      <c r="L119" s="184">
        <f t="shared" ca="1" si="52"/>
        <v>107</v>
      </c>
      <c r="M119" s="184">
        <f t="shared" ca="1" si="52"/>
        <v>0</v>
      </c>
      <c r="N119" s="84"/>
      <c r="O119" s="84"/>
      <c r="P119" s="84"/>
      <c r="Q119" s="69" t="str">
        <f t="shared" si="46"/>
        <v/>
      </c>
      <c r="R119" s="84"/>
      <c r="S119" s="65" t="str">
        <f t="shared" si="47"/>
        <v/>
      </c>
      <c r="T119" s="69" t="str">
        <f t="shared" si="48"/>
        <v/>
      </c>
      <c r="U119" s="84"/>
      <c r="V119" s="65" t="str">
        <f t="shared" si="49"/>
        <v/>
      </c>
      <c r="W119" s="108"/>
      <c r="X119" s="108"/>
      <c r="Y119" s="108"/>
      <c r="Z119" s="110" t="str">
        <f t="shared" si="50"/>
        <v/>
      </c>
      <c r="AA119" s="199">
        <f>IF(ISERROR('Berechnungen 2'!AR322),"",'Berechnungen 2'!AR322)</f>
        <v>0</v>
      </c>
      <c r="AB119" s="200">
        <f>IF(ISERROR('Berechnungen 2'!AS322),"",'Berechnungen 2'!AS322)</f>
        <v>0</v>
      </c>
      <c r="AC119" s="200">
        <f>IF(ISERROR('Berechnungen 2'!AT322),"",'Berechnungen 2'!AT322)</f>
        <v>0</v>
      </c>
      <c r="AD119" s="199">
        <f>IF(ISERROR('Berechnungen 2'!BE322),"",'Berechnungen 2'!BE322)</f>
        <v>0</v>
      </c>
      <c r="AE119" s="200">
        <f>IF(ISERROR('Berechnungen 2'!BF322),"",'Berechnungen 2'!BF322)</f>
        <v>0</v>
      </c>
      <c r="AF119" s="200">
        <f>IF(ISERROR('Berechnungen 2'!BG322),"",'Berechnungen 2'!BG322)</f>
        <v>0</v>
      </c>
      <c r="AG119" s="199" t="str">
        <f>IF(ISNUMBER(A119),IF(ISERROR('Berechnungen 2'!BK322),"",'Berechnungen 2'!BK322),"")</f>
        <v/>
      </c>
      <c r="AH119" s="200">
        <f>IF(ISERROR('Berechnungen 2'!BL322),"",'Berechnungen 2'!BL322)</f>
        <v>0</v>
      </c>
      <c r="AI119" s="200">
        <f>IF(ISERROR('Berechnungen 2'!BM322),"",'Berechnungen 2'!BM322)</f>
        <v>0</v>
      </c>
    </row>
    <row r="120" spans="1:35" x14ac:dyDescent="0.2">
      <c r="A120" s="71" t="str">
        <f t="shared" si="27"/>
        <v/>
      </c>
      <c r="B120" s="193">
        <f t="shared" si="38"/>
        <v>108</v>
      </c>
      <c r="C120" s="192">
        <f ca="1">IF(ISERROR(LARGE('Berechnungen 1'!$A$12:$A$311,B120)),"",LARGE('Berechnungen 1'!$A$12:$A$311,B120))</f>
        <v>193</v>
      </c>
      <c r="D120" s="76" t="str">
        <f t="shared" si="51"/>
        <v/>
      </c>
      <c r="E120" s="76" t="str">
        <f t="shared" si="51"/>
        <v/>
      </c>
      <c r="F120" s="155" t="str">
        <f t="shared" si="41"/>
        <v/>
      </c>
      <c r="G120" s="204" t="str">
        <f t="shared" si="42"/>
        <v/>
      </c>
      <c r="H120" s="156" t="str">
        <f t="shared" si="43"/>
        <v/>
      </c>
      <c r="I120" s="155" t="str">
        <f t="shared" si="44"/>
        <v/>
      </c>
      <c r="J120" s="184">
        <f t="shared" ca="1" si="45"/>
        <v>999999</v>
      </c>
      <c r="K120" s="184">
        <f>IF(OR(ISBLANK('Etape 1'!E115),ISBLANK('Etape 1'!F115)),IF(AND(ISBLANK('Etape 1'!B115),ISBLANK('Etape 1'!C115),ISBLANK('Etape 1'!D115),ISBLANK('Etape 1'!E115),ISBLANK('Etape 1'!F115),ISBLANK('Etape 1'!G115),ISBLANK('Etape 1'!H115)),999,9999),IF(VLOOKUP($C120,Matrix_Berechnungen1.Rang.Pumpendaten.Zwischenresultate,$C$9,0)&gt;0,VLOOKUP($C120,Matrix_Berechnungen1.Rang.Pumpendaten.Zwischenresultate,K$9,0),""))</f>
        <v>999</v>
      </c>
      <c r="L120" s="184">
        <f t="shared" ca="1" si="52"/>
        <v>108</v>
      </c>
      <c r="M120" s="184">
        <f t="shared" ca="1" si="52"/>
        <v>0</v>
      </c>
      <c r="N120" s="84"/>
      <c r="O120" s="84"/>
      <c r="P120" s="84"/>
      <c r="Q120" s="69" t="str">
        <f t="shared" si="46"/>
        <v/>
      </c>
      <c r="R120" s="84"/>
      <c r="S120" s="65" t="str">
        <f t="shared" si="47"/>
        <v/>
      </c>
      <c r="T120" s="69" t="str">
        <f t="shared" si="48"/>
        <v/>
      </c>
      <c r="U120" s="84"/>
      <c r="V120" s="65" t="str">
        <f t="shared" si="49"/>
        <v/>
      </c>
      <c r="W120" s="108"/>
      <c r="X120" s="108"/>
      <c r="Y120" s="108"/>
      <c r="Z120" s="110" t="str">
        <f t="shared" si="50"/>
        <v/>
      </c>
      <c r="AA120" s="199">
        <f>IF(ISERROR('Berechnungen 2'!AR323),"",'Berechnungen 2'!AR323)</f>
        <v>0</v>
      </c>
      <c r="AB120" s="200">
        <f>IF(ISERROR('Berechnungen 2'!AS323),"",'Berechnungen 2'!AS323)</f>
        <v>0</v>
      </c>
      <c r="AC120" s="200">
        <f>IF(ISERROR('Berechnungen 2'!AT323),"",'Berechnungen 2'!AT323)</f>
        <v>0</v>
      </c>
      <c r="AD120" s="199">
        <f>IF(ISERROR('Berechnungen 2'!BE323),"",'Berechnungen 2'!BE323)</f>
        <v>0</v>
      </c>
      <c r="AE120" s="200">
        <f>IF(ISERROR('Berechnungen 2'!BF323),"",'Berechnungen 2'!BF323)</f>
        <v>0</v>
      </c>
      <c r="AF120" s="200">
        <f>IF(ISERROR('Berechnungen 2'!BG323),"",'Berechnungen 2'!BG323)</f>
        <v>0</v>
      </c>
      <c r="AG120" s="199" t="str">
        <f>IF(ISNUMBER(A120),IF(ISERROR('Berechnungen 2'!BK323),"",'Berechnungen 2'!BK323),"")</f>
        <v/>
      </c>
      <c r="AH120" s="200">
        <f>IF(ISERROR('Berechnungen 2'!BL323),"",'Berechnungen 2'!BL323)</f>
        <v>0</v>
      </c>
      <c r="AI120" s="200">
        <f>IF(ISERROR('Berechnungen 2'!BM323),"",'Berechnungen 2'!BM323)</f>
        <v>0</v>
      </c>
    </row>
    <row r="121" spans="1:35" x14ac:dyDescent="0.2">
      <c r="A121" s="71" t="str">
        <f t="shared" si="27"/>
        <v/>
      </c>
      <c r="B121" s="193">
        <f t="shared" si="38"/>
        <v>109</v>
      </c>
      <c r="C121" s="192">
        <f ca="1">IF(ISERROR(LARGE('Berechnungen 1'!$A$12:$A$311,B121)),"",LARGE('Berechnungen 1'!$A$12:$A$311,B121))</f>
        <v>192</v>
      </c>
      <c r="D121" s="76" t="str">
        <f t="shared" si="51"/>
        <v/>
      </c>
      <c r="E121" s="76" t="str">
        <f t="shared" si="51"/>
        <v/>
      </c>
      <c r="F121" s="155" t="str">
        <f t="shared" si="41"/>
        <v/>
      </c>
      <c r="G121" s="204" t="str">
        <f t="shared" si="42"/>
        <v/>
      </c>
      <c r="H121" s="156" t="str">
        <f t="shared" si="43"/>
        <v/>
      </c>
      <c r="I121" s="155" t="str">
        <f t="shared" si="44"/>
        <v/>
      </c>
      <c r="J121" s="184">
        <f t="shared" ca="1" si="45"/>
        <v>999999</v>
      </c>
      <c r="K121" s="184">
        <f>IF(OR(ISBLANK('Etape 1'!E116),ISBLANK('Etape 1'!F116)),IF(AND(ISBLANK('Etape 1'!B116),ISBLANK('Etape 1'!C116),ISBLANK('Etape 1'!D116),ISBLANK('Etape 1'!E116),ISBLANK('Etape 1'!F116),ISBLANK('Etape 1'!G116),ISBLANK('Etape 1'!H116)),999,9999),IF(VLOOKUP($C121,Matrix_Berechnungen1.Rang.Pumpendaten.Zwischenresultate,$C$9,0)&gt;0,VLOOKUP($C121,Matrix_Berechnungen1.Rang.Pumpendaten.Zwischenresultate,K$9,0),""))</f>
        <v>999</v>
      </c>
      <c r="L121" s="184">
        <f t="shared" ca="1" si="52"/>
        <v>109</v>
      </c>
      <c r="M121" s="184">
        <f t="shared" ca="1" si="52"/>
        <v>0</v>
      </c>
      <c r="N121" s="84"/>
      <c r="O121" s="84"/>
      <c r="P121" s="84"/>
      <c r="Q121" s="69" t="str">
        <f t="shared" si="46"/>
        <v/>
      </c>
      <c r="R121" s="84"/>
      <c r="S121" s="65" t="str">
        <f t="shared" si="47"/>
        <v/>
      </c>
      <c r="T121" s="69" t="str">
        <f t="shared" si="48"/>
        <v/>
      </c>
      <c r="U121" s="84"/>
      <c r="V121" s="65" t="str">
        <f t="shared" si="49"/>
        <v/>
      </c>
      <c r="W121" s="108"/>
      <c r="X121" s="108"/>
      <c r="Y121" s="108"/>
      <c r="Z121" s="110" t="str">
        <f t="shared" si="50"/>
        <v/>
      </c>
      <c r="AA121" s="199">
        <f>IF(ISERROR('Berechnungen 2'!AR324),"",'Berechnungen 2'!AR324)</f>
        <v>0</v>
      </c>
      <c r="AB121" s="200">
        <f>IF(ISERROR('Berechnungen 2'!AS324),"",'Berechnungen 2'!AS324)</f>
        <v>0</v>
      </c>
      <c r="AC121" s="200">
        <f>IF(ISERROR('Berechnungen 2'!AT324),"",'Berechnungen 2'!AT324)</f>
        <v>0</v>
      </c>
      <c r="AD121" s="199">
        <f>IF(ISERROR('Berechnungen 2'!BE324),"",'Berechnungen 2'!BE324)</f>
        <v>0</v>
      </c>
      <c r="AE121" s="200">
        <f>IF(ISERROR('Berechnungen 2'!BF324),"",'Berechnungen 2'!BF324)</f>
        <v>0</v>
      </c>
      <c r="AF121" s="200">
        <f>IF(ISERROR('Berechnungen 2'!BG324),"",'Berechnungen 2'!BG324)</f>
        <v>0</v>
      </c>
      <c r="AG121" s="199" t="str">
        <f>IF(ISNUMBER(A121),IF(ISERROR('Berechnungen 2'!BK324),"",'Berechnungen 2'!BK324),"")</f>
        <v/>
      </c>
      <c r="AH121" s="200">
        <f>IF(ISERROR('Berechnungen 2'!BL324),"",'Berechnungen 2'!BL324)</f>
        <v>0</v>
      </c>
      <c r="AI121" s="200">
        <f>IF(ISERROR('Berechnungen 2'!BM324),"",'Berechnungen 2'!BM324)</f>
        <v>0</v>
      </c>
    </row>
    <row r="122" spans="1:35" x14ac:dyDescent="0.2">
      <c r="A122" s="71" t="str">
        <f t="shared" si="27"/>
        <v/>
      </c>
      <c r="B122" s="193">
        <f t="shared" si="38"/>
        <v>110</v>
      </c>
      <c r="C122" s="192">
        <f ca="1">IF(ISERROR(LARGE('Berechnungen 1'!$A$12:$A$311,B122)),"",LARGE('Berechnungen 1'!$A$12:$A$311,B122))</f>
        <v>191</v>
      </c>
      <c r="D122" s="76" t="str">
        <f t="shared" si="51"/>
        <v/>
      </c>
      <c r="E122" s="76" t="str">
        <f t="shared" si="51"/>
        <v/>
      </c>
      <c r="F122" s="155" t="str">
        <f t="shared" si="41"/>
        <v/>
      </c>
      <c r="G122" s="204" t="str">
        <f t="shared" si="42"/>
        <v/>
      </c>
      <c r="H122" s="156" t="str">
        <f t="shared" si="43"/>
        <v/>
      </c>
      <c r="I122" s="155" t="str">
        <f t="shared" si="44"/>
        <v/>
      </c>
      <c r="J122" s="184">
        <f t="shared" ca="1" si="45"/>
        <v>999999</v>
      </c>
      <c r="K122" s="184">
        <f>IF(OR(ISBLANK('Etape 1'!E117),ISBLANK('Etape 1'!F117)),IF(AND(ISBLANK('Etape 1'!B117),ISBLANK('Etape 1'!C117),ISBLANK('Etape 1'!D117),ISBLANK('Etape 1'!E117),ISBLANK('Etape 1'!F117),ISBLANK('Etape 1'!G117),ISBLANK('Etape 1'!H117)),999,9999),IF(VLOOKUP($C122,Matrix_Berechnungen1.Rang.Pumpendaten.Zwischenresultate,$C$9,0)&gt;0,VLOOKUP($C122,Matrix_Berechnungen1.Rang.Pumpendaten.Zwischenresultate,K$9,0),""))</f>
        <v>999</v>
      </c>
      <c r="L122" s="184">
        <f t="shared" ca="1" si="52"/>
        <v>110</v>
      </c>
      <c r="M122" s="184">
        <f t="shared" ca="1" si="52"/>
        <v>0</v>
      </c>
      <c r="N122" s="84"/>
      <c r="O122" s="84"/>
      <c r="P122" s="84"/>
      <c r="Q122" s="69" t="str">
        <f t="shared" si="46"/>
        <v/>
      </c>
      <c r="R122" s="84"/>
      <c r="S122" s="65" t="str">
        <f t="shared" si="47"/>
        <v/>
      </c>
      <c r="T122" s="69" t="str">
        <f t="shared" si="48"/>
        <v/>
      </c>
      <c r="U122" s="84"/>
      <c r="V122" s="65" t="str">
        <f t="shared" si="49"/>
        <v/>
      </c>
      <c r="W122" s="108"/>
      <c r="X122" s="108"/>
      <c r="Y122" s="108"/>
      <c r="Z122" s="110" t="str">
        <f t="shared" si="50"/>
        <v/>
      </c>
      <c r="AA122" s="199">
        <f>IF(ISERROR('Berechnungen 2'!AR325),"",'Berechnungen 2'!AR325)</f>
        <v>0</v>
      </c>
      <c r="AB122" s="200">
        <f>IF(ISERROR('Berechnungen 2'!AS325),"",'Berechnungen 2'!AS325)</f>
        <v>0</v>
      </c>
      <c r="AC122" s="200">
        <f>IF(ISERROR('Berechnungen 2'!AT325),"",'Berechnungen 2'!AT325)</f>
        <v>0</v>
      </c>
      <c r="AD122" s="199">
        <f>IF(ISERROR('Berechnungen 2'!BE325),"",'Berechnungen 2'!BE325)</f>
        <v>0</v>
      </c>
      <c r="AE122" s="200">
        <f>IF(ISERROR('Berechnungen 2'!BF325),"",'Berechnungen 2'!BF325)</f>
        <v>0</v>
      </c>
      <c r="AF122" s="200">
        <f>IF(ISERROR('Berechnungen 2'!BG325),"",'Berechnungen 2'!BG325)</f>
        <v>0</v>
      </c>
      <c r="AG122" s="199" t="str">
        <f>IF(ISNUMBER(A122),IF(ISERROR('Berechnungen 2'!BK325),"",'Berechnungen 2'!BK325),"")</f>
        <v/>
      </c>
      <c r="AH122" s="200">
        <f>IF(ISERROR('Berechnungen 2'!BL325),"",'Berechnungen 2'!BL325)</f>
        <v>0</v>
      </c>
      <c r="AI122" s="200">
        <f>IF(ISERROR('Berechnungen 2'!BM325),"",'Berechnungen 2'!BM325)</f>
        <v>0</v>
      </c>
    </row>
    <row r="123" spans="1:35" x14ac:dyDescent="0.2">
      <c r="A123" s="71" t="str">
        <f t="shared" si="27"/>
        <v/>
      </c>
      <c r="B123" s="193">
        <f t="shared" si="38"/>
        <v>111</v>
      </c>
      <c r="C123" s="192">
        <f ca="1">IF(ISERROR(LARGE('Berechnungen 1'!$A$12:$A$311,B123)),"",LARGE('Berechnungen 1'!$A$12:$A$311,B123))</f>
        <v>190</v>
      </c>
      <c r="D123" s="76" t="str">
        <f t="shared" si="51"/>
        <v/>
      </c>
      <c r="E123" s="76" t="str">
        <f t="shared" si="51"/>
        <v/>
      </c>
      <c r="F123" s="155" t="str">
        <f t="shared" si="41"/>
        <v/>
      </c>
      <c r="G123" s="204" t="str">
        <f t="shared" si="42"/>
        <v/>
      </c>
      <c r="H123" s="156" t="str">
        <f t="shared" si="43"/>
        <v/>
      </c>
      <c r="I123" s="155" t="str">
        <f t="shared" si="44"/>
        <v/>
      </c>
      <c r="J123" s="184">
        <f t="shared" ca="1" si="45"/>
        <v>999999</v>
      </c>
      <c r="K123" s="184">
        <f>IF(OR(ISBLANK('Etape 1'!E118),ISBLANK('Etape 1'!F118)),IF(AND(ISBLANK('Etape 1'!B118),ISBLANK('Etape 1'!C118),ISBLANK('Etape 1'!D118),ISBLANK('Etape 1'!E118),ISBLANK('Etape 1'!F118),ISBLANK('Etape 1'!G118),ISBLANK('Etape 1'!H118)),999,9999),IF(VLOOKUP($C123,Matrix_Berechnungen1.Rang.Pumpendaten.Zwischenresultate,$C$9,0)&gt;0,VLOOKUP($C123,Matrix_Berechnungen1.Rang.Pumpendaten.Zwischenresultate,K$9,0),""))</f>
        <v>999</v>
      </c>
      <c r="L123" s="184">
        <f t="shared" ca="1" si="52"/>
        <v>111</v>
      </c>
      <c r="M123" s="184">
        <f t="shared" ca="1" si="52"/>
        <v>0</v>
      </c>
      <c r="N123" s="84"/>
      <c r="O123" s="84"/>
      <c r="P123" s="84"/>
      <c r="Q123" s="69" t="str">
        <f t="shared" si="46"/>
        <v/>
      </c>
      <c r="R123" s="84"/>
      <c r="S123" s="65" t="str">
        <f t="shared" si="47"/>
        <v/>
      </c>
      <c r="T123" s="69" t="str">
        <f t="shared" si="48"/>
        <v/>
      </c>
      <c r="U123" s="84"/>
      <c r="V123" s="65" t="str">
        <f t="shared" si="49"/>
        <v/>
      </c>
      <c r="W123" s="108"/>
      <c r="X123" s="108"/>
      <c r="Y123" s="108"/>
      <c r="Z123" s="110" t="str">
        <f t="shared" si="50"/>
        <v/>
      </c>
      <c r="AA123" s="199">
        <f>IF(ISERROR('Berechnungen 2'!AR326),"",'Berechnungen 2'!AR326)</f>
        <v>0</v>
      </c>
      <c r="AB123" s="200">
        <f>IF(ISERROR('Berechnungen 2'!AS326),"",'Berechnungen 2'!AS326)</f>
        <v>0</v>
      </c>
      <c r="AC123" s="200">
        <f>IF(ISERROR('Berechnungen 2'!AT326),"",'Berechnungen 2'!AT326)</f>
        <v>0</v>
      </c>
      <c r="AD123" s="199">
        <f>IF(ISERROR('Berechnungen 2'!BE326),"",'Berechnungen 2'!BE326)</f>
        <v>0</v>
      </c>
      <c r="AE123" s="200">
        <f>IF(ISERROR('Berechnungen 2'!BF326),"",'Berechnungen 2'!BF326)</f>
        <v>0</v>
      </c>
      <c r="AF123" s="200">
        <f>IF(ISERROR('Berechnungen 2'!BG326),"",'Berechnungen 2'!BG326)</f>
        <v>0</v>
      </c>
      <c r="AG123" s="199" t="str">
        <f>IF(ISNUMBER(A123),IF(ISERROR('Berechnungen 2'!BK326),"",'Berechnungen 2'!BK326),"")</f>
        <v/>
      </c>
      <c r="AH123" s="200">
        <f>IF(ISERROR('Berechnungen 2'!BL326),"",'Berechnungen 2'!BL326)</f>
        <v>0</v>
      </c>
      <c r="AI123" s="200">
        <f>IF(ISERROR('Berechnungen 2'!BM326),"",'Berechnungen 2'!BM326)</f>
        <v>0</v>
      </c>
    </row>
    <row r="124" spans="1:35" x14ac:dyDescent="0.2">
      <c r="A124" s="71" t="str">
        <f t="shared" si="27"/>
        <v/>
      </c>
      <c r="B124" s="193">
        <f t="shared" si="38"/>
        <v>112</v>
      </c>
      <c r="C124" s="192">
        <f ca="1">IF(ISERROR(LARGE('Berechnungen 1'!$A$12:$A$311,B124)),"",LARGE('Berechnungen 1'!$A$12:$A$311,B124))</f>
        <v>189</v>
      </c>
      <c r="D124" s="76" t="str">
        <f t="shared" si="51"/>
        <v/>
      </c>
      <c r="E124" s="76" t="str">
        <f t="shared" si="51"/>
        <v/>
      </c>
      <c r="F124" s="155" t="str">
        <f t="shared" si="41"/>
        <v/>
      </c>
      <c r="G124" s="204" t="str">
        <f t="shared" si="42"/>
        <v/>
      </c>
      <c r="H124" s="156" t="str">
        <f t="shared" si="43"/>
        <v/>
      </c>
      <c r="I124" s="155" t="str">
        <f t="shared" si="44"/>
        <v/>
      </c>
      <c r="J124" s="184">
        <f t="shared" ca="1" si="45"/>
        <v>999999</v>
      </c>
      <c r="K124" s="184">
        <f>IF(OR(ISBLANK('Etape 1'!E119),ISBLANK('Etape 1'!F119)),IF(AND(ISBLANK('Etape 1'!B119),ISBLANK('Etape 1'!C119),ISBLANK('Etape 1'!D119),ISBLANK('Etape 1'!E119),ISBLANK('Etape 1'!F119),ISBLANK('Etape 1'!G119),ISBLANK('Etape 1'!H119)),999,9999),IF(VLOOKUP($C124,Matrix_Berechnungen1.Rang.Pumpendaten.Zwischenresultate,$C$9,0)&gt;0,VLOOKUP($C124,Matrix_Berechnungen1.Rang.Pumpendaten.Zwischenresultate,K$9,0),""))</f>
        <v>999</v>
      </c>
      <c r="L124" s="184">
        <f t="shared" ca="1" si="52"/>
        <v>112</v>
      </c>
      <c r="M124" s="184">
        <f t="shared" ca="1" si="52"/>
        <v>0</v>
      </c>
      <c r="N124" s="84"/>
      <c r="O124" s="84"/>
      <c r="P124" s="84"/>
      <c r="Q124" s="69" t="str">
        <f t="shared" si="46"/>
        <v/>
      </c>
      <c r="R124" s="84"/>
      <c r="S124" s="65" t="str">
        <f t="shared" si="47"/>
        <v/>
      </c>
      <c r="T124" s="69" t="str">
        <f t="shared" si="48"/>
        <v/>
      </c>
      <c r="U124" s="84"/>
      <c r="V124" s="65" t="str">
        <f t="shared" si="49"/>
        <v/>
      </c>
      <c r="W124" s="108"/>
      <c r="X124" s="108"/>
      <c r="Y124" s="108"/>
      <c r="Z124" s="110" t="str">
        <f t="shared" si="50"/>
        <v/>
      </c>
      <c r="AA124" s="199">
        <f>IF(ISERROR('Berechnungen 2'!AR327),"",'Berechnungen 2'!AR327)</f>
        <v>0</v>
      </c>
      <c r="AB124" s="200">
        <f>IF(ISERROR('Berechnungen 2'!AS327),"",'Berechnungen 2'!AS327)</f>
        <v>0</v>
      </c>
      <c r="AC124" s="200">
        <f>IF(ISERROR('Berechnungen 2'!AT327),"",'Berechnungen 2'!AT327)</f>
        <v>0</v>
      </c>
      <c r="AD124" s="199">
        <f>IF(ISERROR('Berechnungen 2'!BE327),"",'Berechnungen 2'!BE327)</f>
        <v>0</v>
      </c>
      <c r="AE124" s="200">
        <f>IF(ISERROR('Berechnungen 2'!BF327),"",'Berechnungen 2'!BF327)</f>
        <v>0</v>
      </c>
      <c r="AF124" s="200">
        <f>IF(ISERROR('Berechnungen 2'!BG327),"",'Berechnungen 2'!BG327)</f>
        <v>0</v>
      </c>
      <c r="AG124" s="199" t="str">
        <f>IF(ISNUMBER(A124),IF(ISERROR('Berechnungen 2'!BK327),"",'Berechnungen 2'!BK327),"")</f>
        <v/>
      </c>
      <c r="AH124" s="200">
        <f>IF(ISERROR('Berechnungen 2'!BL327),"",'Berechnungen 2'!BL327)</f>
        <v>0</v>
      </c>
      <c r="AI124" s="200">
        <f>IF(ISERROR('Berechnungen 2'!BM327),"",'Berechnungen 2'!BM327)</f>
        <v>0</v>
      </c>
    </row>
    <row r="125" spans="1:35" x14ac:dyDescent="0.2">
      <c r="A125" s="71" t="str">
        <f t="shared" si="27"/>
        <v/>
      </c>
      <c r="B125" s="193">
        <f t="shared" si="38"/>
        <v>113</v>
      </c>
      <c r="C125" s="192">
        <f ca="1">IF(ISERROR(LARGE('Berechnungen 1'!$A$12:$A$311,B125)),"",LARGE('Berechnungen 1'!$A$12:$A$311,B125))</f>
        <v>188</v>
      </c>
      <c r="D125" s="76" t="str">
        <f t="shared" si="51"/>
        <v/>
      </c>
      <c r="E125" s="76" t="str">
        <f t="shared" si="51"/>
        <v/>
      </c>
      <c r="F125" s="155" t="str">
        <f t="shared" si="41"/>
        <v/>
      </c>
      <c r="G125" s="204" t="str">
        <f t="shared" si="42"/>
        <v/>
      </c>
      <c r="H125" s="156" t="str">
        <f t="shared" si="43"/>
        <v/>
      </c>
      <c r="I125" s="155" t="str">
        <f t="shared" si="44"/>
        <v/>
      </c>
      <c r="J125" s="184">
        <f t="shared" ca="1" si="45"/>
        <v>999999</v>
      </c>
      <c r="K125" s="184">
        <f>IF(OR(ISBLANK('Etape 1'!E120),ISBLANK('Etape 1'!F120)),IF(AND(ISBLANK('Etape 1'!B120),ISBLANK('Etape 1'!C120),ISBLANK('Etape 1'!D120),ISBLANK('Etape 1'!E120),ISBLANK('Etape 1'!F120),ISBLANK('Etape 1'!G120),ISBLANK('Etape 1'!H120)),999,9999),IF(VLOOKUP($C125,Matrix_Berechnungen1.Rang.Pumpendaten.Zwischenresultate,$C$9,0)&gt;0,VLOOKUP($C125,Matrix_Berechnungen1.Rang.Pumpendaten.Zwischenresultate,K$9,0),""))</f>
        <v>999</v>
      </c>
      <c r="L125" s="184">
        <f t="shared" ca="1" si="52"/>
        <v>113</v>
      </c>
      <c r="M125" s="184">
        <f t="shared" ca="1" si="52"/>
        <v>0</v>
      </c>
      <c r="N125" s="84"/>
      <c r="O125" s="84"/>
      <c r="P125" s="84"/>
      <c r="Q125" s="69" t="str">
        <f t="shared" si="46"/>
        <v/>
      </c>
      <c r="R125" s="84"/>
      <c r="S125" s="65" t="str">
        <f t="shared" si="47"/>
        <v/>
      </c>
      <c r="T125" s="69" t="str">
        <f t="shared" si="48"/>
        <v/>
      </c>
      <c r="U125" s="84"/>
      <c r="V125" s="65" t="str">
        <f t="shared" si="49"/>
        <v/>
      </c>
      <c r="W125" s="108"/>
      <c r="X125" s="108"/>
      <c r="Y125" s="108"/>
      <c r="Z125" s="110" t="str">
        <f t="shared" si="50"/>
        <v/>
      </c>
      <c r="AA125" s="199">
        <f>IF(ISERROR('Berechnungen 2'!AR328),"",'Berechnungen 2'!AR328)</f>
        <v>0</v>
      </c>
      <c r="AB125" s="200">
        <f>IF(ISERROR('Berechnungen 2'!AS328),"",'Berechnungen 2'!AS328)</f>
        <v>0</v>
      </c>
      <c r="AC125" s="200">
        <f>IF(ISERROR('Berechnungen 2'!AT328),"",'Berechnungen 2'!AT328)</f>
        <v>0</v>
      </c>
      <c r="AD125" s="199">
        <f>IF(ISERROR('Berechnungen 2'!BE328),"",'Berechnungen 2'!BE328)</f>
        <v>0</v>
      </c>
      <c r="AE125" s="200">
        <f>IF(ISERROR('Berechnungen 2'!BF328),"",'Berechnungen 2'!BF328)</f>
        <v>0</v>
      </c>
      <c r="AF125" s="200">
        <f>IF(ISERROR('Berechnungen 2'!BG328),"",'Berechnungen 2'!BG328)</f>
        <v>0</v>
      </c>
      <c r="AG125" s="199" t="str">
        <f>IF(ISNUMBER(A125),IF(ISERROR('Berechnungen 2'!BK328),"",'Berechnungen 2'!BK328),"")</f>
        <v/>
      </c>
      <c r="AH125" s="200">
        <f>IF(ISERROR('Berechnungen 2'!BL328),"",'Berechnungen 2'!BL328)</f>
        <v>0</v>
      </c>
      <c r="AI125" s="200">
        <f>IF(ISERROR('Berechnungen 2'!BM328),"",'Berechnungen 2'!BM328)</f>
        <v>0</v>
      </c>
    </row>
    <row r="126" spans="1:35" x14ac:dyDescent="0.2">
      <c r="A126" s="71" t="str">
        <f t="shared" si="27"/>
        <v/>
      </c>
      <c r="B126" s="193">
        <f t="shared" si="38"/>
        <v>114</v>
      </c>
      <c r="C126" s="192">
        <f ca="1">IF(ISERROR(LARGE('Berechnungen 1'!$A$12:$A$311,B126)),"",LARGE('Berechnungen 1'!$A$12:$A$311,B126))</f>
        <v>187</v>
      </c>
      <c r="D126" s="76" t="str">
        <f t="shared" si="51"/>
        <v/>
      </c>
      <c r="E126" s="76" t="str">
        <f t="shared" si="51"/>
        <v/>
      </c>
      <c r="F126" s="155" t="str">
        <f t="shared" si="41"/>
        <v/>
      </c>
      <c r="G126" s="204" t="str">
        <f t="shared" si="42"/>
        <v/>
      </c>
      <c r="H126" s="156" t="str">
        <f t="shared" si="43"/>
        <v/>
      </c>
      <c r="I126" s="155" t="str">
        <f t="shared" si="44"/>
        <v/>
      </c>
      <c r="J126" s="184">
        <f t="shared" ca="1" si="45"/>
        <v>999999</v>
      </c>
      <c r="K126" s="184">
        <f>IF(OR(ISBLANK('Etape 1'!E121),ISBLANK('Etape 1'!F121)),IF(AND(ISBLANK('Etape 1'!B121),ISBLANK('Etape 1'!C121),ISBLANK('Etape 1'!D121),ISBLANK('Etape 1'!E121),ISBLANK('Etape 1'!F121),ISBLANK('Etape 1'!G121),ISBLANK('Etape 1'!H121)),999,9999),IF(VLOOKUP($C126,Matrix_Berechnungen1.Rang.Pumpendaten.Zwischenresultate,$C$9,0)&gt;0,VLOOKUP($C126,Matrix_Berechnungen1.Rang.Pumpendaten.Zwischenresultate,K$9,0),""))</f>
        <v>999</v>
      </c>
      <c r="L126" s="184">
        <f t="shared" ca="1" si="52"/>
        <v>114</v>
      </c>
      <c r="M126" s="184">
        <f t="shared" ca="1" si="52"/>
        <v>0</v>
      </c>
      <c r="N126" s="84"/>
      <c r="O126" s="84"/>
      <c r="P126" s="84"/>
      <c r="Q126" s="69" t="str">
        <f t="shared" si="46"/>
        <v/>
      </c>
      <c r="R126" s="84"/>
      <c r="S126" s="65" t="str">
        <f t="shared" si="47"/>
        <v/>
      </c>
      <c r="T126" s="69" t="str">
        <f t="shared" si="48"/>
        <v/>
      </c>
      <c r="U126" s="84"/>
      <c r="V126" s="65" t="str">
        <f t="shared" si="49"/>
        <v/>
      </c>
      <c r="W126" s="108"/>
      <c r="X126" s="108"/>
      <c r="Y126" s="108"/>
      <c r="Z126" s="110" t="str">
        <f t="shared" si="50"/>
        <v/>
      </c>
      <c r="AA126" s="199">
        <f>IF(ISERROR('Berechnungen 2'!AR329),"",'Berechnungen 2'!AR329)</f>
        <v>0</v>
      </c>
      <c r="AB126" s="200">
        <f>IF(ISERROR('Berechnungen 2'!AS329),"",'Berechnungen 2'!AS329)</f>
        <v>0</v>
      </c>
      <c r="AC126" s="200">
        <f>IF(ISERROR('Berechnungen 2'!AT329),"",'Berechnungen 2'!AT329)</f>
        <v>0</v>
      </c>
      <c r="AD126" s="199">
        <f>IF(ISERROR('Berechnungen 2'!BE329),"",'Berechnungen 2'!BE329)</f>
        <v>0</v>
      </c>
      <c r="AE126" s="200">
        <f>IF(ISERROR('Berechnungen 2'!BF329),"",'Berechnungen 2'!BF329)</f>
        <v>0</v>
      </c>
      <c r="AF126" s="200">
        <f>IF(ISERROR('Berechnungen 2'!BG329),"",'Berechnungen 2'!BG329)</f>
        <v>0</v>
      </c>
      <c r="AG126" s="199" t="str">
        <f>IF(ISNUMBER(A126),IF(ISERROR('Berechnungen 2'!BK329),"",'Berechnungen 2'!BK329),"")</f>
        <v/>
      </c>
      <c r="AH126" s="200">
        <f>IF(ISERROR('Berechnungen 2'!BL329),"",'Berechnungen 2'!BL329)</f>
        <v>0</v>
      </c>
      <c r="AI126" s="200">
        <f>IF(ISERROR('Berechnungen 2'!BM329),"",'Berechnungen 2'!BM329)</f>
        <v>0</v>
      </c>
    </row>
    <row r="127" spans="1:35" x14ac:dyDescent="0.2">
      <c r="A127" s="71" t="str">
        <f t="shared" si="27"/>
        <v/>
      </c>
      <c r="B127" s="193">
        <f t="shared" si="38"/>
        <v>115</v>
      </c>
      <c r="C127" s="192">
        <f ca="1">IF(ISERROR(LARGE('Berechnungen 1'!$A$12:$A$311,B127)),"",LARGE('Berechnungen 1'!$A$12:$A$311,B127))</f>
        <v>186</v>
      </c>
      <c r="D127" s="76" t="str">
        <f t="shared" si="51"/>
        <v/>
      </c>
      <c r="E127" s="76" t="str">
        <f t="shared" si="51"/>
        <v/>
      </c>
      <c r="F127" s="155" t="str">
        <f t="shared" si="41"/>
        <v/>
      </c>
      <c r="G127" s="204" t="str">
        <f t="shared" si="42"/>
        <v/>
      </c>
      <c r="H127" s="156" t="str">
        <f t="shared" si="43"/>
        <v/>
      </c>
      <c r="I127" s="155" t="str">
        <f t="shared" si="44"/>
        <v/>
      </c>
      <c r="J127" s="184">
        <f t="shared" ca="1" si="45"/>
        <v>999999</v>
      </c>
      <c r="K127" s="184">
        <f>IF(OR(ISBLANK('Etape 1'!E122),ISBLANK('Etape 1'!F122)),IF(AND(ISBLANK('Etape 1'!B122),ISBLANK('Etape 1'!C122),ISBLANK('Etape 1'!D122),ISBLANK('Etape 1'!E122),ISBLANK('Etape 1'!F122),ISBLANK('Etape 1'!G122),ISBLANK('Etape 1'!H122)),999,9999),IF(VLOOKUP($C127,Matrix_Berechnungen1.Rang.Pumpendaten.Zwischenresultate,$C$9,0)&gt;0,VLOOKUP($C127,Matrix_Berechnungen1.Rang.Pumpendaten.Zwischenresultate,K$9,0),""))</f>
        <v>999</v>
      </c>
      <c r="L127" s="184">
        <f t="shared" ca="1" si="52"/>
        <v>115</v>
      </c>
      <c r="M127" s="184">
        <f t="shared" ca="1" si="52"/>
        <v>0</v>
      </c>
      <c r="N127" s="84"/>
      <c r="O127" s="84"/>
      <c r="P127" s="84"/>
      <c r="Q127" s="69" t="str">
        <f t="shared" si="46"/>
        <v/>
      </c>
      <c r="R127" s="84"/>
      <c r="S127" s="65" t="str">
        <f t="shared" si="47"/>
        <v/>
      </c>
      <c r="T127" s="69" t="str">
        <f t="shared" si="48"/>
        <v/>
      </c>
      <c r="U127" s="84"/>
      <c r="V127" s="65" t="str">
        <f t="shared" si="49"/>
        <v/>
      </c>
      <c r="W127" s="108"/>
      <c r="X127" s="108"/>
      <c r="Y127" s="108"/>
      <c r="Z127" s="110" t="str">
        <f t="shared" si="50"/>
        <v/>
      </c>
      <c r="AA127" s="199">
        <f>IF(ISERROR('Berechnungen 2'!AR330),"",'Berechnungen 2'!AR330)</f>
        <v>0</v>
      </c>
      <c r="AB127" s="200">
        <f>IF(ISERROR('Berechnungen 2'!AS330),"",'Berechnungen 2'!AS330)</f>
        <v>0</v>
      </c>
      <c r="AC127" s="200">
        <f>IF(ISERROR('Berechnungen 2'!AT330),"",'Berechnungen 2'!AT330)</f>
        <v>0</v>
      </c>
      <c r="AD127" s="199">
        <f>IF(ISERROR('Berechnungen 2'!BE330),"",'Berechnungen 2'!BE330)</f>
        <v>0</v>
      </c>
      <c r="AE127" s="200">
        <f>IF(ISERROR('Berechnungen 2'!BF330),"",'Berechnungen 2'!BF330)</f>
        <v>0</v>
      </c>
      <c r="AF127" s="200">
        <f>IF(ISERROR('Berechnungen 2'!BG330),"",'Berechnungen 2'!BG330)</f>
        <v>0</v>
      </c>
      <c r="AG127" s="199" t="str">
        <f>IF(ISNUMBER(A127),IF(ISERROR('Berechnungen 2'!BK330),"",'Berechnungen 2'!BK330),"")</f>
        <v/>
      </c>
      <c r="AH127" s="200">
        <f>IF(ISERROR('Berechnungen 2'!BL330),"",'Berechnungen 2'!BL330)</f>
        <v>0</v>
      </c>
      <c r="AI127" s="200">
        <f>IF(ISERROR('Berechnungen 2'!BM330),"",'Berechnungen 2'!BM330)</f>
        <v>0</v>
      </c>
    </row>
    <row r="128" spans="1:35" x14ac:dyDescent="0.2">
      <c r="A128" s="71" t="str">
        <f t="shared" si="27"/>
        <v/>
      </c>
      <c r="B128" s="193">
        <f t="shared" si="38"/>
        <v>116</v>
      </c>
      <c r="C128" s="192">
        <f ca="1">IF(ISERROR(LARGE('Berechnungen 1'!$A$12:$A$311,B128)),"",LARGE('Berechnungen 1'!$A$12:$A$311,B128))</f>
        <v>185</v>
      </c>
      <c r="D128" s="76" t="str">
        <f t="shared" si="51"/>
        <v/>
      </c>
      <c r="E128" s="76" t="str">
        <f t="shared" si="51"/>
        <v/>
      </c>
      <c r="F128" s="155" t="str">
        <f t="shared" si="41"/>
        <v/>
      </c>
      <c r="G128" s="204" t="str">
        <f t="shared" si="42"/>
        <v/>
      </c>
      <c r="H128" s="156" t="str">
        <f t="shared" si="43"/>
        <v/>
      </c>
      <c r="I128" s="155" t="str">
        <f t="shared" si="44"/>
        <v/>
      </c>
      <c r="J128" s="184">
        <f t="shared" ca="1" si="45"/>
        <v>999999</v>
      </c>
      <c r="K128" s="184">
        <f>IF(OR(ISBLANK('Etape 1'!E123),ISBLANK('Etape 1'!F123)),IF(AND(ISBLANK('Etape 1'!B123),ISBLANK('Etape 1'!C123),ISBLANK('Etape 1'!D123),ISBLANK('Etape 1'!E123),ISBLANK('Etape 1'!F123),ISBLANK('Etape 1'!G123),ISBLANK('Etape 1'!H123)),999,9999),IF(VLOOKUP($C128,Matrix_Berechnungen1.Rang.Pumpendaten.Zwischenresultate,$C$9,0)&gt;0,VLOOKUP($C128,Matrix_Berechnungen1.Rang.Pumpendaten.Zwischenresultate,K$9,0),""))</f>
        <v>999</v>
      </c>
      <c r="L128" s="184">
        <f t="shared" ca="1" si="52"/>
        <v>116</v>
      </c>
      <c r="M128" s="184">
        <f t="shared" ca="1" si="52"/>
        <v>0</v>
      </c>
      <c r="N128" s="84"/>
      <c r="O128" s="84"/>
      <c r="P128" s="84"/>
      <c r="Q128" s="69" t="str">
        <f t="shared" si="46"/>
        <v/>
      </c>
      <c r="R128" s="84"/>
      <c r="S128" s="65" t="str">
        <f t="shared" si="47"/>
        <v/>
      </c>
      <c r="T128" s="69" t="str">
        <f t="shared" si="48"/>
        <v/>
      </c>
      <c r="U128" s="84"/>
      <c r="V128" s="65" t="str">
        <f t="shared" si="49"/>
        <v/>
      </c>
      <c r="W128" s="108"/>
      <c r="X128" s="108"/>
      <c r="Y128" s="108"/>
      <c r="Z128" s="110" t="str">
        <f t="shared" si="50"/>
        <v/>
      </c>
      <c r="AA128" s="199">
        <f>IF(ISERROR('Berechnungen 2'!AR331),"",'Berechnungen 2'!AR331)</f>
        <v>0</v>
      </c>
      <c r="AB128" s="200">
        <f>IF(ISERROR('Berechnungen 2'!AS331),"",'Berechnungen 2'!AS331)</f>
        <v>0</v>
      </c>
      <c r="AC128" s="200">
        <f>IF(ISERROR('Berechnungen 2'!AT331),"",'Berechnungen 2'!AT331)</f>
        <v>0</v>
      </c>
      <c r="AD128" s="199">
        <f>IF(ISERROR('Berechnungen 2'!BE331),"",'Berechnungen 2'!BE331)</f>
        <v>0</v>
      </c>
      <c r="AE128" s="200">
        <f>IF(ISERROR('Berechnungen 2'!BF331),"",'Berechnungen 2'!BF331)</f>
        <v>0</v>
      </c>
      <c r="AF128" s="200">
        <f>IF(ISERROR('Berechnungen 2'!BG331),"",'Berechnungen 2'!BG331)</f>
        <v>0</v>
      </c>
      <c r="AG128" s="199" t="str">
        <f>IF(ISNUMBER(A128),IF(ISERROR('Berechnungen 2'!BK331),"",'Berechnungen 2'!BK331),"")</f>
        <v/>
      </c>
      <c r="AH128" s="200">
        <f>IF(ISERROR('Berechnungen 2'!BL331),"",'Berechnungen 2'!BL331)</f>
        <v>0</v>
      </c>
      <c r="AI128" s="200">
        <f>IF(ISERROR('Berechnungen 2'!BM331),"",'Berechnungen 2'!BM331)</f>
        <v>0</v>
      </c>
    </row>
    <row r="129" spans="1:35" x14ac:dyDescent="0.2">
      <c r="A129" s="71" t="str">
        <f t="shared" si="27"/>
        <v/>
      </c>
      <c r="B129" s="193">
        <f t="shared" si="38"/>
        <v>117</v>
      </c>
      <c r="C129" s="192">
        <f ca="1">IF(ISERROR(LARGE('Berechnungen 1'!$A$12:$A$311,B129)),"",LARGE('Berechnungen 1'!$A$12:$A$311,B129))</f>
        <v>184</v>
      </c>
      <c r="D129" s="76" t="str">
        <f t="shared" si="51"/>
        <v/>
      </c>
      <c r="E129" s="76" t="str">
        <f t="shared" si="51"/>
        <v/>
      </c>
      <c r="F129" s="155" t="str">
        <f t="shared" si="41"/>
        <v/>
      </c>
      <c r="G129" s="204" t="str">
        <f t="shared" si="42"/>
        <v/>
      </c>
      <c r="H129" s="156" t="str">
        <f t="shared" si="43"/>
        <v/>
      </c>
      <c r="I129" s="155" t="str">
        <f t="shared" si="44"/>
        <v/>
      </c>
      <c r="J129" s="184">
        <f t="shared" ca="1" si="45"/>
        <v>999999</v>
      </c>
      <c r="K129" s="184">
        <f>IF(OR(ISBLANK('Etape 1'!E124),ISBLANK('Etape 1'!F124)),IF(AND(ISBLANK('Etape 1'!B124),ISBLANK('Etape 1'!C124),ISBLANK('Etape 1'!D124),ISBLANK('Etape 1'!E124),ISBLANK('Etape 1'!F124),ISBLANK('Etape 1'!G124),ISBLANK('Etape 1'!H124)),999,9999),IF(VLOOKUP($C129,Matrix_Berechnungen1.Rang.Pumpendaten.Zwischenresultate,$C$9,0)&gt;0,VLOOKUP($C129,Matrix_Berechnungen1.Rang.Pumpendaten.Zwischenresultate,K$9,0),""))</f>
        <v>999</v>
      </c>
      <c r="L129" s="184">
        <f t="shared" ca="1" si="52"/>
        <v>117</v>
      </c>
      <c r="M129" s="184">
        <f t="shared" ca="1" si="52"/>
        <v>0</v>
      </c>
      <c r="N129" s="84"/>
      <c r="O129" s="84"/>
      <c r="P129" s="84"/>
      <c r="Q129" s="69" t="str">
        <f t="shared" si="46"/>
        <v/>
      </c>
      <c r="R129" s="84"/>
      <c r="S129" s="65" t="str">
        <f t="shared" si="47"/>
        <v/>
      </c>
      <c r="T129" s="69" t="str">
        <f t="shared" si="48"/>
        <v/>
      </c>
      <c r="U129" s="84"/>
      <c r="V129" s="65" t="str">
        <f t="shared" si="49"/>
        <v/>
      </c>
      <c r="W129" s="108"/>
      <c r="X129" s="108"/>
      <c r="Y129" s="108"/>
      <c r="Z129" s="110" t="str">
        <f t="shared" si="50"/>
        <v/>
      </c>
      <c r="AA129" s="199">
        <f>IF(ISERROR('Berechnungen 2'!AR332),"",'Berechnungen 2'!AR332)</f>
        <v>0</v>
      </c>
      <c r="AB129" s="200">
        <f>IF(ISERROR('Berechnungen 2'!AS332),"",'Berechnungen 2'!AS332)</f>
        <v>0</v>
      </c>
      <c r="AC129" s="200">
        <f>IF(ISERROR('Berechnungen 2'!AT332),"",'Berechnungen 2'!AT332)</f>
        <v>0</v>
      </c>
      <c r="AD129" s="199">
        <f>IF(ISERROR('Berechnungen 2'!BE332),"",'Berechnungen 2'!BE332)</f>
        <v>0</v>
      </c>
      <c r="AE129" s="200">
        <f>IF(ISERROR('Berechnungen 2'!BF332),"",'Berechnungen 2'!BF332)</f>
        <v>0</v>
      </c>
      <c r="AF129" s="200">
        <f>IF(ISERROR('Berechnungen 2'!BG332),"",'Berechnungen 2'!BG332)</f>
        <v>0</v>
      </c>
      <c r="AG129" s="199" t="str">
        <f>IF(ISNUMBER(A129),IF(ISERROR('Berechnungen 2'!BK332),"",'Berechnungen 2'!BK332),"")</f>
        <v/>
      </c>
      <c r="AH129" s="200">
        <f>IF(ISERROR('Berechnungen 2'!BL332),"",'Berechnungen 2'!BL332)</f>
        <v>0</v>
      </c>
      <c r="AI129" s="200">
        <f>IF(ISERROR('Berechnungen 2'!BM332),"",'Berechnungen 2'!BM332)</f>
        <v>0</v>
      </c>
    </row>
    <row r="130" spans="1:35" x14ac:dyDescent="0.2">
      <c r="A130" s="71" t="str">
        <f t="shared" si="27"/>
        <v/>
      </c>
      <c r="B130" s="193">
        <f t="shared" si="38"/>
        <v>118</v>
      </c>
      <c r="C130" s="192">
        <f ca="1">IF(ISERROR(LARGE('Berechnungen 1'!$A$12:$A$311,B130)),"",LARGE('Berechnungen 1'!$A$12:$A$311,B130))</f>
        <v>183</v>
      </c>
      <c r="D130" s="76" t="str">
        <f t="shared" si="51"/>
        <v/>
      </c>
      <c r="E130" s="76" t="str">
        <f t="shared" si="51"/>
        <v/>
      </c>
      <c r="F130" s="155" t="str">
        <f t="shared" si="41"/>
        <v/>
      </c>
      <c r="G130" s="204" t="str">
        <f t="shared" si="42"/>
        <v/>
      </c>
      <c r="H130" s="156" t="str">
        <f t="shared" si="43"/>
        <v/>
      </c>
      <c r="I130" s="155" t="str">
        <f t="shared" si="44"/>
        <v/>
      </c>
      <c r="J130" s="184">
        <f t="shared" ca="1" si="45"/>
        <v>999999</v>
      </c>
      <c r="K130" s="184">
        <f>IF(OR(ISBLANK('Etape 1'!E125),ISBLANK('Etape 1'!F125)),IF(AND(ISBLANK('Etape 1'!B125),ISBLANK('Etape 1'!C125),ISBLANK('Etape 1'!D125),ISBLANK('Etape 1'!E125),ISBLANK('Etape 1'!F125),ISBLANK('Etape 1'!G125),ISBLANK('Etape 1'!H125)),999,9999),IF(VLOOKUP($C130,Matrix_Berechnungen1.Rang.Pumpendaten.Zwischenresultate,$C$9,0)&gt;0,VLOOKUP($C130,Matrix_Berechnungen1.Rang.Pumpendaten.Zwischenresultate,K$9,0),""))</f>
        <v>999</v>
      </c>
      <c r="L130" s="184">
        <f t="shared" ca="1" si="52"/>
        <v>118</v>
      </c>
      <c r="M130" s="184">
        <f t="shared" ca="1" si="52"/>
        <v>0</v>
      </c>
      <c r="N130" s="84"/>
      <c r="O130" s="84"/>
      <c r="P130" s="84"/>
      <c r="Q130" s="69" t="str">
        <f t="shared" si="46"/>
        <v/>
      </c>
      <c r="R130" s="84"/>
      <c r="S130" s="65" t="str">
        <f t="shared" si="47"/>
        <v/>
      </c>
      <c r="T130" s="69" t="str">
        <f t="shared" si="48"/>
        <v/>
      </c>
      <c r="U130" s="84"/>
      <c r="V130" s="65" t="str">
        <f t="shared" si="49"/>
        <v/>
      </c>
      <c r="W130" s="108"/>
      <c r="X130" s="108"/>
      <c r="Y130" s="108"/>
      <c r="Z130" s="110" t="str">
        <f t="shared" si="50"/>
        <v/>
      </c>
      <c r="AA130" s="199">
        <f>IF(ISERROR('Berechnungen 2'!AR333),"",'Berechnungen 2'!AR333)</f>
        <v>0</v>
      </c>
      <c r="AB130" s="200">
        <f>IF(ISERROR('Berechnungen 2'!AS333),"",'Berechnungen 2'!AS333)</f>
        <v>0</v>
      </c>
      <c r="AC130" s="200">
        <f>IF(ISERROR('Berechnungen 2'!AT333),"",'Berechnungen 2'!AT333)</f>
        <v>0</v>
      </c>
      <c r="AD130" s="199">
        <f>IF(ISERROR('Berechnungen 2'!BE333),"",'Berechnungen 2'!BE333)</f>
        <v>0</v>
      </c>
      <c r="AE130" s="200">
        <f>IF(ISERROR('Berechnungen 2'!BF333),"",'Berechnungen 2'!BF333)</f>
        <v>0</v>
      </c>
      <c r="AF130" s="200">
        <f>IF(ISERROR('Berechnungen 2'!BG333),"",'Berechnungen 2'!BG333)</f>
        <v>0</v>
      </c>
      <c r="AG130" s="199" t="str">
        <f>IF(ISNUMBER(A130),IF(ISERROR('Berechnungen 2'!BK333),"",'Berechnungen 2'!BK333),"")</f>
        <v/>
      </c>
      <c r="AH130" s="200">
        <f>IF(ISERROR('Berechnungen 2'!BL333),"",'Berechnungen 2'!BL333)</f>
        <v>0</v>
      </c>
      <c r="AI130" s="200">
        <f>IF(ISERROR('Berechnungen 2'!BM333),"",'Berechnungen 2'!BM333)</f>
        <v>0</v>
      </c>
    </row>
    <row r="131" spans="1:35" x14ac:dyDescent="0.2">
      <c r="A131" s="71" t="str">
        <f t="shared" si="27"/>
        <v/>
      </c>
      <c r="B131" s="193">
        <f t="shared" si="38"/>
        <v>119</v>
      </c>
      <c r="C131" s="192">
        <f ca="1">IF(ISERROR(LARGE('Berechnungen 1'!$A$12:$A$311,B131)),"",LARGE('Berechnungen 1'!$A$12:$A$311,B131))</f>
        <v>182</v>
      </c>
      <c r="D131" s="76" t="str">
        <f t="shared" si="51"/>
        <v/>
      </c>
      <c r="E131" s="76" t="str">
        <f t="shared" si="51"/>
        <v/>
      </c>
      <c r="F131" s="155" t="str">
        <f t="shared" si="41"/>
        <v/>
      </c>
      <c r="G131" s="204" t="str">
        <f t="shared" si="42"/>
        <v/>
      </c>
      <c r="H131" s="156" t="str">
        <f t="shared" si="43"/>
        <v/>
      </c>
      <c r="I131" s="155" t="str">
        <f t="shared" si="44"/>
        <v/>
      </c>
      <c r="J131" s="184">
        <f t="shared" ca="1" si="45"/>
        <v>999999</v>
      </c>
      <c r="K131" s="184">
        <f>IF(OR(ISBLANK('Etape 1'!E126),ISBLANK('Etape 1'!F126)),IF(AND(ISBLANK('Etape 1'!B126),ISBLANK('Etape 1'!C126),ISBLANK('Etape 1'!D126),ISBLANK('Etape 1'!E126),ISBLANK('Etape 1'!F126),ISBLANK('Etape 1'!G126),ISBLANK('Etape 1'!H126)),999,9999),IF(VLOOKUP($C131,Matrix_Berechnungen1.Rang.Pumpendaten.Zwischenresultate,$C$9,0)&gt;0,VLOOKUP($C131,Matrix_Berechnungen1.Rang.Pumpendaten.Zwischenresultate,K$9,0),""))</f>
        <v>999</v>
      </c>
      <c r="L131" s="184">
        <f t="shared" ca="1" si="52"/>
        <v>119</v>
      </c>
      <c r="M131" s="184">
        <f t="shared" ca="1" si="52"/>
        <v>0</v>
      </c>
      <c r="N131" s="84"/>
      <c r="O131" s="84"/>
      <c r="P131" s="84"/>
      <c r="Q131" s="69" t="str">
        <f t="shared" si="46"/>
        <v/>
      </c>
      <c r="R131" s="84"/>
      <c r="S131" s="65" t="str">
        <f t="shared" si="47"/>
        <v/>
      </c>
      <c r="T131" s="69" t="str">
        <f t="shared" si="48"/>
        <v/>
      </c>
      <c r="U131" s="84"/>
      <c r="V131" s="65" t="str">
        <f t="shared" si="49"/>
        <v/>
      </c>
      <c r="W131" s="108"/>
      <c r="X131" s="108"/>
      <c r="Y131" s="108"/>
      <c r="Z131" s="110" t="str">
        <f t="shared" si="50"/>
        <v/>
      </c>
      <c r="AA131" s="199">
        <f>IF(ISERROR('Berechnungen 2'!AR334),"",'Berechnungen 2'!AR334)</f>
        <v>0</v>
      </c>
      <c r="AB131" s="200">
        <f>IF(ISERROR('Berechnungen 2'!AS334),"",'Berechnungen 2'!AS334)</f>
        <v>0</v>
      </c>
      <c r="AC131" s="200">
        <f>IF(ISERROR('Berechnungen 2'!AT334),"",'Berechnungen 2'!AT334)</f>
        <v>0</v>
      </c>
      <c r="AD131" s="199">
        <f>IF(ISERROR('Berechnungen 2'!BE334),"",'Berechnungen 2'!BE334)</f>
        <v>0</v>
      </c>
      <c r="AE131" s="200">
        <f>IF(ISERROR('Berechnungen 2'!BF334),"",'Berechnungen 2'!BF334)</f>
        <v>0</v>
      </c>
      <c r="AF131" s="200">
        <f>IF(ISERROR('Berechnungen 2'!BG334),"",'Berechnungen 2'!BG334)</f>
        <v>0</v>
      </c>
      <c r="AG131" s="199" t="str">
        <f>IF(ISNUMBER(A131),IF(ISERROR('Berechnungen 2'!BK334),"",'Berechnungen 2'!BK334),"")</f>
        <v/>
      </c>
      <c r="AH131" s="200">
        <f>IF(ISERROR('Berechnungen 2'!BL334),"",'Berechnungen 2'!BL334)</f>
        <v>0</v>
      </c>
      <c r="AI131" s="200">
        <f>IF(ISERROR('Berechnungen 2'!BM334),"",'Berechnungen 2'!BM334)</f>
        <v>0</v>
      </c>
    </row>
    <row r="132" spans="1:35" x14ac:dyDescent="0.2">
      <c r="A132" s="71" t="str">
        <f t="shared" si="27"/>
        <v/>
      </c>
      <c r="B132" s="193">
        <f t="shared" si="38"/>
        <v>120</v>
      </c>
      <c r="C132" s="192">
        <f ca="1">IF(ISERROR(LARGE('Berechnungen 1'!$A$12:$A$311,B132)),"",LARGE('Berechnungen 1'!$A$12:$A$311,B132))</f>
        <v>181</v>
      </c>
      <c r="D132" s="76" t="str">
        <f t="shared" si="51"/>
        <v/>
      </c>
      <c r="E132" s="76" t="str">
        <f t="shared" si="51"/>
        <v/>
      </c>
      <c r="F132" s="155" t="str">
        <f t="shared" si="41"/>
        <v/>
      </c>
      <c r="G132" s="204" t="str">
        <f t="shared" si="42"/>
        <v/>
      </c>
      <c r="H132" s="156" t="str">
        <f t="shared" si="43"/>
        <v/>
      </c>
      <c r="I132" s="155" t="str">
        <f t="shared" si="44"/>
        <v/>
      </c>
      <c r="J132" s="184">
        <f t="shared" ca="1" si="45"/>
        <v>999999</v>
      </c>
      <c r="K132" s="184">
        <f>IF(OR(ISBLANK('Etape 1'!E127),ISBLANK('Etape 1'!F127)),IF(AND(ISBLANK('Etape 1'!B127),ISBLANK('Etape 1'!C127),ISBLANK('Etape 1'!D127),ISBLANK('Etape 1'!E127),ISBLANK('Etape 1'!F127),ISBLANK('Etape 1'!G127),ISBLANK('Etape 1'!H127)),999,9999),IF(VLOOKUP($C132,Matrix_Berechnungen1.Rang.Pumpendaten.Zwischenresultate,$C$9,0)&gt;0,VLOOKUP($C132,Matrix_Berechnungen1.Rang.Pumpendaten.Zwischenresultate,K$9,0),""))</f>
        <v>999</v>
      </c>
      <c r="L132" s="184">
        <f t="shared" ca="1" si="52"/>
        <v>120</v>
      </c>
      <c r="M132" s="184">
        <f t="shared" ca="1" si="52"/>
        <v>0</v>
      </c>
      <c r="N132" s="84"/>
      <c r="O132" s="84"/>
      <c r="P132" s="84"/>
      <c r="Q132" s="69" t="str">
        <f t="shared" si="46"/>
        <v/>
      </c>
      <c r="R132" s="84"/>
      <c r="S132" s="65" t="str">
        <f t="shared" si="47"/>
        <v/>
      </c>
      <c r="T132" s="69" t="str">
        <f t="shared" si="48"/>
        <v/>
      </c>
      <c r="U132" s="84"/>
      <c r="V132" s="65" t="str">
        <f t="shared" si="49"/>
        <v/>
      </c>
      <c r="W132" s="108"/>
      <c r="X132" s="108"/>
      <c r="Y132" s="108"/>
      <c r="Z132" s="110" t="str">
        <f t="shared" si="50"/>
        <v/>
      </c>
      <c r="AA132" s="199">
        <f>IF(ISERROR('Berechnungen 2'!AR335),"",'Berechnungen 2'!AR335)</f>
        <v>0</v>
      </c>
      <c r="AB132" s="200">
        <f>IF(ISERROR('Berechnungen 2'!AS335),"",'Berechnungen 2'!AS335)</f>
        <v>0</v>
      </c>
      <c r="AC132" s="200">
        <f>IF(ISERROR('Berechnungen 2'!AT335),"",'Berechnungen 2'!AT335)</f>
        <v>0</v>
      </c>
      <c r="AD132" s="199">
        <f>IF(ISERROR('Berechnungen 2'!BE335),"",'Berechnungen 2'!BE335)</f>
        <v>0</v>
      </c>
      <c r="AE132" s="200">
        <f>IF(ISERROR('Berechnungen 2'!BF335),"",'Berechnungen 2'!BF335)</f>
        <v>0</v>
      </c>
      <c r="AF132" s="200">
        <f>IF(ISERROR('Berechnungen 2'!BG335),"",'Berechnungen 2'!BG335)</f>
        <v>0</v>
      </c>
      <c r="AG132" s="199" t="str">
        <f>IF(ISNUMBER(A132),IF(ISERROR('Berechnungen 2'!BK335),"",'Berechnungen 2'!BK335),"")</f>
        <v/>
      </c>
      <c r="AH132" s="200">
        <f>IF(ISERROR('Berechnungen 2'!BL335),"",'Berechnungen 2'!BL335)</f>
        <v>0</v>
      </c>
      <c r="AI132" s="200">
        <f>IF(ISERROR('Berechnungen 2'!BM335),"",'Berechnungen 2'!BM335)</f>
        <v>0</v>
      </c>
    </row>
    <row r="133" spans="1:35" x14ac:dyDescent="0.2">
      <c r="A133" s="71" t="str">
        <f t="shared" si="27"/>
        <v/>
      </c>
      <c r="B133" s="193">
        <f t="shared" si="38"/>
        <v>121</v>
      </c>
      <c r="C133" s="192">
        <f ca="1">IF(ISERROR(LARGE('Berechnungen 1'!$A$12:$A$311,B133)),"",LARGE('Berechnungen 1'!$A$12:$A$311,B133))</f>
        <v>180</v>
      </c>
      <c r="D133" s="76" t="str">
        <f t="shared" ref="D133:E152" si="53">IF(ISNUMBER($A133),IF(VLOOKUP($C133,Matrix_Berechnungen1.Rang.Pumpendaten.Zwischenresultate,$C$9,0)&gt;0,IF(VLOOKUP($C133,Matrix_Berechnungen1.Rang.Pumpendaten.Zwischenresultate,D$9,0)=0,"",VLOOKUP($C133,Matrix_Berechnungen1.Rang.Pumpendaten.Zwischenresultate,D$9,0)),""),"")</f>
        <v/>
      </c>
      <c r="E133" s="76" t="str">
        <f t="shared" si="53"/>
        <v/>
      </c>
      <c r="F133" s="155" t="str">
        <f t="shared" si="41"/>
        <v/>
      </c>
      <c r="G133" s="204" t="str">
        <f t="shared" si="42"/>
        <v/>
      </c>
      <c r="H133" s="156" t="str">
        <f t="shared" si="43"/>
        <v/>
      </c>
      <c r="I133" s="155" t="str">
        <f t="shared" si="44"/>
        <v/>
      </c>
      <c r="J133" s="184">
        <f t="shared" ca="1" si="45"/>
        <v>999999</v>
      </c>
      <c r="K133" s="184">
        <f>IF(OR(ISBLANK('Etape 1'!E128),ISBLANK('Etape 1'!F128)),IF(AND(ISBLANK('Etape 1'!B128),ISBLANK('Etape 1'!C128),ISBLANK('Etape 1'!D128),ISBLANK('Etape 1'!E128),ISBLANK('Etape 1'!F128),ISBLANK('Etape 1'!G128),ISBLANK('Etape 1'!H128)),999,9999),IF(VLOOKUP($C133,Matrix_Berechnungen1.Rang.Pumpendaten.Zwischenresultate,$C$9,0)&gt;0,VLOOKUP($C133,Matrix_Berechnungen1.Rang.Pumpendaten.Zwischenresultate,K$9,0),""))</f>
        <v>999</v>
      </c>
      <c r="L133" s="184">
        <f t="shared" ref="L133:M152" ca="1" si="54">IF(VLOOKUP($C133,Matrix_Berechnungen1.Rang.Pumpendaten.Zwischenresultate,$C$9,0)&gt;0,VLOOKUP($C133,Matrix_Berechnungen1.Rang.Pumpendaten.Zwischenresultate,L$9,0),"")</f>
        <v>121</v>
      </c>
      <c r="M133" s="184">
        <f t="shared" ca="1" si="54"/>
        <v>0</v>
      </c>
      <c r="N133" s="84"/>
      <c r="O133" s="84"/>
      <c r="P133" s="84"/>
      <c r="Q133" s="69" t="str">
        <f t="shared" si="46"/>
        <v/>
      </c>
      <c r="R133" s="84"/>
      <c r="S133" s="65" t="str">
        <f t="shared" si="47"/>
        <v/>
      </c>
      <c r="T133" s="69" t="str">
        <f t="shared" si="48"/>
        <v/>
      </c>
      <c r="U133" s="84"/>
      <c r="V133" s="65" t="str">
        <f t="shared" si="49"/>
        <v/>
      </c>
      <c r="W133" s="108"/>
      <c r="X133" s="108"/>
      <c r="Y133" s="108"/>
      <c r="Z133" s="110" t="str">
        <f t="shared" si="50"/>
        <v/>
      </c>
      <c r="AA133" s="199">
        <f>IF(ISERROR('Berechnungen 2'!AR336),"",'Berechnungen 2'!AR336)</f>
        <v>0</v>
      </c>
      <c r="AB133" s="200">
        <f>IF(ISERROR('Berechnungen 2'!AS336),"",'Berechnungen 2'!AS336)</f>
        <v>0</v>
      </c>
      <c r="AC133" s="200">
        <f>IF(ISERROR('Berechnungen 2'!AT336),"",'Berechnungen 2'!AT336)</f>
        <v>0</v>
      </c>
      <c r="AD133" s="199">
        <f>IF(ISERROR('Berechnungen 2'!BE336),"",'Berechnungen 2'!BE336)</f>
        <v>0</v>
      </c>
      <c r="AE133" s="200">
        <f>IF(ISERROR('Berechnungen 2'!BF336),"",'Berechnungen 2'!BF336)</f>
        <v>0</v>
      </c>
      <c r="AF133" s="200">
        <f>IF(ISERROR('Berechnungen 2'!BG336),"",'Berechnungen 2'!BG336)</f>
        <v>0</v>
      </c>
      <c r="AG133" s="199" t="str">
        <f>IF(ISNUMBER(A133),IF(ISERROR('Berechnungen 2'!BK336),"",'Berechnungen 2'!BK336),"")</f>
        <v/>
      </c>
      <c r="AH133" s="200">
        <f>IF(ISERROR('Berechnungen 2'!BL336),"",'Berechnungen 2'!BL336)</f>
        <v>0</v>
      </c>
      <c r="AI133" s="200">
        <f>IF(ISERROR('Berechnungen 2'!BM336),"",'Berechnungen 2'!BM336)</f>
        <v>0</v>
      </c>
    </row>
    <row r="134" spans="1:35" x14ac:dyDescent="0.2">
      <c r="A134" s="71" t="str">
        <f t="shared" si="27"/>
        <v/>
      </c>
      <c r="B134" s="193">
        <f t="shared" si="38"/>
        <v>122</v>
      </c>
      <c r="C134" s="192">
        <f ca="1">IF(ISERROR(LARGE('Berechnungen 1'!$A$12:$A$311,B134)),"",LARGE('Berechnungen 1'!$A$12:$A$311,B134))</f>
        <v>179</v>
      </c>
      <c r="D134" s="76" t="str">
        <f t="shared" si="53"/>
        <v/>
      </c>
      <c r="E134" s="76" t="str">
        <f t="shared" si="53"/>
        <v/>
      </c>
      <c r="F134" s="155" t="str">
        <f t="shared" si="41"/>
        <v/>
      </c>
      <c r="G134" s="204" t="str">
        <f t="shared" si="42"/>
        <v/>
      </c>
      <c r="H134" s="156" t="str">
        <f t="shared" si="43"/>
        <v/>
      </c>
      <c r="I134" s="155" t="str">
        <f t="shared" si="44"/>
        <v/>
      </c>
      <c r="J134" s="184">
        <f t="shared" ca="1" si="45"/>
        <v>999999</v>
      </c>
      <c r="K134" s="184">
        <f>IF(OR(ISBLANK('Etape 1'!E129),ISBLANK('Etape 1'!F129)),IF(AND(ISBLANK('Etape 1'!B129),ISBLANK('Etape 1'!C129),ISBLANK('Etape 1'!D129),ISBLANK('Etape 1'!E129),ISBLANK('Etape 1'!F129),ISBLANK('Etape 1'!G129),ISBLANK('Etape 1'!H129)),999,9999),IF(VLOOKUP($C134,Matrix_Berechnungen1.Rang.Pumpendaten.Zwischenresultate,$C$9,0)&gt;0,VLOOKUP($C134,Matrix_Berechnungen1.Rang.Pumpendaten.Zwischenresultate,K$9,0),""))</f>
        <v>999</v>
      </c>
      <c r="L134" s="184">
        <f t="shared" ca="1" si="54"/>
        <v>122</v>
      </c>
      <c r="M134" s="184">
        <f t="shared" ca="1" si="54"/>
        <v>0</v>
      </c>
      <c r="N134" s="84"/>
      <c r="O134" s="84"/>
      <c r="P134" s="84"/>
      <c r="Q134" s="69" t="str">
        <f t="shared" si="46"/>
        <v/>
      </c>
      <c r="R134" s="84"/>
      <c r="S134" s="65" t="str">
        <f t="shared" si="47"/>
        <v/>
      </c>
      <c r="T134" s="69" t="str">
        <f t="shared" si="48"/>
        <v/>
      </c>
      <c r="U134" s="84"/>
      <c r="V134" s="65" t="str">
        <f t="shared" si="49"/>
        <v/>
      </c>
      <c r="W134" s="108"/>
      <c r="X134" s="108"/>
      <c r="Y134" s="108"/>
      <c r="Z134" s="110" t="str">
        <f t="shared" si="50"/>
        <v/>
      </c>
      <c r="AA134" s="199">
        <f>IF(ISERROR('Berechnungen 2'!AR337),"",'Berechnungen 2'!AR337)</f>
        <v>0</v>
      </c>
      <c r="AB134" s="200">
        <f>IF(ISERROR('Berechnungen 2'!AS337),"",'Berechnungen 2'!AS337)</f>
        <v>0</v>
      </c>
      <c r="AC134" s="200">
        <f>IF(ISERROR('Berechnungen 2'!AT337),"",'Berechnungen 2'!AT337)</f>
        <v>0</v>
      </c>
      <c r="AD134" s="199">
        <f>IF(ISERROR('Berechnungen 2'!BE337),"",'Berechnungen 2'!BE337)</f>
        <v>0</v>
      </c>
      <c r="AE134" s="200">
        <f>IF(ISERROR('Berechnungen 2'!BF337),"",'Berechnungen 2'!BF337)</f>
        <v>0</v>
      </c>
      <c r="AF134" s="200">
        <f>IF(ISERROR('Berechnungen 2'!BG337),"",'Berechnungen 2'!BG337)</f>
        <v>0</v>
      </c>
      <c r="AG134" s="199" t="str">
        <f>IF(ISNUMBER(A134),IF(ISERROR('Berechnungen 2'!BK337),"",'Berechnungen 2'!BK337),"")</f>
        <v/>
      </c>
      <c r="AH134" s="200">
        <f>IF(ISERROR('Berechnungen 2'!BL337),"",'Berechnungen 2'!BL337)</f>
        <v>0</v>
      </c>
      <c r="AI134" s="200">
        <f>IF(ISERROR('Berechnungen 2'!BM337),"",'Berechnungen 2'!BM337)</f>
        <v>0</v>
      </c>
    </row>
    <row r="135" spans="1:35" x14ac:dyDescent="0.2">
      <c r="A135" s="71" t="str">
        <f t="shared" si="27"/>
        <v/>
      </c>
      <c r="B135" s="193">
        <f t="shared" si="38"/>
        <v>123</v>
      </c>
      <c r="C135" s="192">
        <f ca="1">IF(ISERROR(LARGE('Berechnungen 1'!$A$12:$A$311,B135)),"",LARGE('Berechnungen 1'!$A$12:$A$311,B135))</f>
        <v>178</v>
      </c>
      <c r="D135" s="76" t="str">
        <f t="shared" si="53"/>
        <v/>
      </c>
      <c r="E135" s="76" t="str">
        <f t="shared" si="53"/>
        <v/>
      </c>
      <c r="F135" s="155" t="str">
        <f t="shared" si="41"/>
        <v/>
      </c>
      <c r="G135" s="204" t="str">
        <f t="shared" si="42"/>
        <v/>
      </c>
      <c r="H135" s="156" t="str">
        <f t="shared" si="43"/>
        <v/>
      </c>
      <c r="I135" s="155" t="str">
        <f t="shared" si="44"/>
        <v/>
      </c>
      <c r="J135" s="184">
        <f t="shared" ca="1" si="45"/>
        <v>999999</v>
      </c>
      <c r="K135" s="184">
        <f>IF(OR(ISBLANK('Etape 1'!E130),ISBLANK('Etape 1'!F130)),IF(AND(ISBLANK('Etape 1'!B130),ISBLANK('Etape 1'!C130),ISBLANK('Etape 1'!D130),ISBLANK('Etape 1'!E130),ISBLANK('Etape 1'!F130),ISBLANK('Etape 1'!G130),ISBLANK('Etape 1'!H130)),999,9999),IF(VLOOKUP($C135,Matrix_Berechnungen1.Rang.Pumpendaten.Zwischenresultate,$C$9,0)&gt;0,VLOOKUP($C135,Matrix_Berechnungen1.Rang.Pumpendaten.Zwischenresultate,K$9,0),""))</f>
        <v>999</v>
      </c>
      <c r="L135" s="184">
        <f t="shared" ca="1" si="54"/>
        <v>123</v>
      </c>
      <c r="M135" s="184">
        <f t="shared" ca="1" si="54"/>
        <v>0</v>
      </c>
      <c r="N135" s="84"/>
      <c r="O135" s="84"/>
      <c r="P135" s="84"/>
      <c r="Q135" s="69" t="str">
        <f t="shared" si="46"/>
        <v/>
      </c>
      <c r="R135" s="84"/>
      <c r="S135" s="65" t="str">
        <f t="shared" si="47"/>
        <v/>
      </c>
      <c r="T135" s="69" t="str">
        <f t="shared" si="48"/>
        <v/>
      </c>
      <c r="U135" s="84"/>
      <c r="V135" s="65" t="str">
        <f t="shared" si="49"/>
        <v/>
      </c>
      <c r="W135" s="108"/>
      <c r="X135" s="108"/>
      <c r="Y135" s="108"/>
      <c r="Z135" s="110" t="str">
        <f t="shared" si="50"/>
        <v/>
      </c>
      <c r="AA135" s="199">
        <f>IF(ISERROR('Berechnungen 2'!AR338),"",'Berechnungen 2'!AR338)</f>
        <v>0</v>
      </c>
      <c r="AB135" s="200">
        <f>IF(ISERROR('Berechnungen 2'!AS338),"",'Berechnungen 2'!AS338)</f>
        <v>0</v>
      </c>
      <c r="AC135" s="200">
        <f>IF(ISERROR('Berechnungen 2'!AT338),"",'Berechnungen 2'!AT338)</f>
        <v>0</v>
      </c>
      <c r="AD135" s="199">
        <f>IF(ISERROR('Berechnungen 2'!BE338),"",'Berechnungen 2'!BE338)</f>
        <v>0</v>
      </c>
      <c r="AE135" s="200">
        <f>IF(ISERROR('Berechnungen 2'!BF338),"",'Berechnungen 2'!BF338)</f>
        <v>0</v>
      </c>
      <c r="AF135" s="200">
        <f>IF(ISERROR('Berechnungen 2'!BG338),"",'Berechnungen 2'!BG338)</f>
        <v>0</v>
      </c>
      <c r="AG135" s="199" t="str">
        <f>IF(ISNUMBER(A135),IF(ISERROR('Berechnungen 2'!BK338),"",'Berechnungen 2'!BK338),"")</f>
        <v/>
      </c>
      <c r="AH135" s="200">
        <f>IF(ISERROR('Berechnungen 2'!BL338),"",'Berechnungen 2'!BL338)</f>
        <v>0</v>
      </c>
      <c r="AI135" s="200">
        <f>IF(ISERROR('Berechnungen 2'!BM338),"",'Berechnungen 2'!BM338)</f>
        <v>0</v>
      </c>
    </row>
    <row r="136" spans="1:35" x14ac:dyDescent="0.2">
      <c r="A136" s="71" t="str">
        <f t="shared" si="27"/>
        <v/>
      </c>
      <c r="B136" s="193">
        <f t="shared" si="38"/>
        <v>124</v>
      </c>
      <c r="C136" s="192">
        <f ca="1">IF(ISERROR(LARGE('Berechnungen 1'!$A$12:$A$311,B136)),"",LARGE('Berechnungen 1'!$A$12:$A$311,B136))</f>
        <v>177</v>
      </c>
      <c r="D136" s="76" t="str">
        <f t="shared" si="53"/>
        <v/>
      </c>
      <c r="E136" s="76" t="str">
        <f t="shared" si="53"/>
        <v/>
      </c>
      <c r="F136" s="155" t="str">
        <f t="shared" si="41"/>
        <v/>
      </c>
      <c r="G136" s="204" t="str">
        <f t="shared" si="42"/>
        <v/>
      </c>
      <c r="H136" s="156" t="str">
        <f t="shared" si="43"/>
        <v/>
      </c>
      <c r="I136" s="155" t="str">
        <f t="shared" si="44"/>
        <v/>
      </c>
      <c r="J136" s="184">
        <f t="shared" ca="1" si="45"/>
        <v>999999</v>
      </c>
      <c r="K136" s="184">
        <f>IF(OR(ISBLANK('Etape 1'!E131),ISBLANK('Etape 1'!F131)),IF(AND(ISBLANK('Etape 1'!B131),ISBLANK('Etape 1'!C131),ISBLANK('Etape 1'!D131),ISBLANK('Etape 1'!E131),ISBLANK('Etape 1'!F131),ISBLANK('Etape 1'!G131),ISBLANK('Etape 1'!H131)),999,9999),IF(VLOOKUP($C136,Matrix_Berechnungen1.Rang.Pumpendaten.Zwischenresultate,$C$9,0)&gt;0,VLOOKUP($C136,Matrix_Berechnungen1.Rang.Pumpendaten.Zwischenresultate,K$9,0),""))</f>
        <v>999</v>
      </c>
      <c r="L136" s="184">
        <f t="shared" ca="1" si="54"/>
        <v>124</v>
      </c>
      <c r="M136" s="184">
        <f t="shared" ca="1" si="54"/>
        <v>0</v>
      </c>
      <c r="N136" s="84"/>
      <c r="O136" s="84"/>
      <c r="P136" s="84"/>
      <c r="Q136" s="69" t="str">
        <f t="shared" si="46"/>
        <v/>
      </c>
      <c r="R136" s="84"/>
      <c r="S136" s="65" t="str">
        <f t="shared" si="47"/>
        <v/>
      </c>
      <c r="T136" s="69" t="str">
        <f t="shared" si="48"/>
        <v/>
      </c>
      <c r="U136" s="84"/>
      <c r="V136" s="65" t="str">
        <f t="shared" si="49"/>
        <v/>
      </c>
      <c r="W136" s="108"/>
      <c r="X136" s="108"/>
      <c r="Y136" s="108"/>
      <c r="Z136" s="110" t="str">
        <f t="shared" si="50"/>
        <v/>
      </c>
      <c r="AA136" s="199">
        <f>IF(ISERROR('Berechnungen 2'!AR339),"",'Berechnungen 2'!AR339)</f>
        <v>0</v>
      </c>
      <c r="AB136" s="200">
        <f>IF(ISERROR('Berechnungen 2'!AS339),"",'Berechnungen 2'!AS339)</f>
        <v>0</v>
      </c>
      <c r="AC136" s="200">
        <f>IF(ISERROR('Berechnungen 2'!AT339),"",'Berechnungen 2'!AT339)</f>
        <v>0</v>
      </c>
      <c r="AD136" s="199">
        <f>IF(ISERROR('Berechnungen 2'!BE339),"",'Berechnungen 2'!BE339)</f>
        <v>0</v>
      </c>
      <c r="AE136" s="200">
        <f>IF(ISERROR('Berechnungen 2'!BF339),"",'Berechnungen 2'!BF339)</f>
        <v>0</v>
      </c>
      <c r="AF136" s="200">
        <f>IF(ISERROR('Berechnungen 2'!BG339),"",'Berechnungen 2'!BG339)</f>
        <v>0</v>
      </c>
      <c r="AG136" s="199" t="str">
        <f>IF(ISNUMBER(A136),IF(ISERROR('Berechnungen 2'!BK339),"",'Berechnungen 2'!BK339),"")</f>
        <v/>
      </c>
      <c r="AH136" s="200">
        <f>IF(ISERROR('Berechnungen 2'!BL339),"",'Berechnungen 2'!BL339)</f>
        <v>0</v>
      </c>
      <c r="AI136" s="200">
        <f>IF(ISERROR('Berechnungen 2'!BM339),"",'Berechnungen 2'!BM339)</f>
        <v>0</v>
      </c>
    </row>
    <row r="137" spans="1:35" x14ac:dyDescent="0.2">
      <c r="A137" s="71" t="str">
        <f t="shared" si="27"/>
        <v/>
      </c>
      <c r="B137" s="193">
        <f t="shared" si="38"/>
        <v>125</v>
      </c>
      <c r="C137" s="192">
        <f ca="1">IF(ISERROR(LARGE('Berechnungen 1'!$A$12:$A$311,B137)),"",LARGE('Berechnungen 1'!$A$12:$A$311,B137))</f>
        <v>176</v>
      </c>
      <c r="D137" s="76" t="str">
        <f t="shared" si="53"/>
        <v/>
      </c>
      <c r="E137" s="76" t="str">
        <f t="shared" si="53"/>
        <v/>
      </c>
      <c r="F137" s="155" t="str">
        <f t="shared" si="41"/>
        <v/>
      </c>
      <c r="G137" s="204" t="str">
        <f t="shared" si="42"/>
        <v/>
      </c>
      <c r="H137" s="156" t="str">
        <f t="shared" si="43"/>
        <v/>
      </c>
      <c r="I137" s="155" t="str">
        <f t="shared" si="44"/>
        <v/>
      </c>
      <c r="J137" s="184">
        <f t="shared" ca="1" si="45"/>
        <v>999999</v>
      </c>
      <c r="K137" s="184">
        <f>IF(OR(ISBLANK('Etape 1'!E132),ISBLANK('Etape 1'!F132)),IF(AND(ISBLANK('Etape 1'!B132),ISBLANK('Etape 1'!C132),ISBLANK('Etape 1'!D132),ISBLANK('Etape 1'!E132),ISBLANK('Etape 1'!F132),ISBLANK('Etape 1'!G132),ISBLANK('Etape 1'!H132)),999,9999),IF(VLOOKUP($C137,Matrix_Berechnungen1.Rang.Pumpendaten.Zwischenresultate,$C$9,0)&gt;0,VLOOKUP($C137,Matrix_Berechnungen1.Rang.Pumpendaten.Zwischenresultate,K$9,0),""))</f>
        <v>999</v>
      </c>
      <c r="L137" s="184">
        <f t="shared" ca="1" si="54"/>
        <v>125</v>
      </c>
      <c r="M137" s="184">
        <f t="shared" ca="1" si="54"/>
        <v>0</v>
      </c>
      <c r="N137" s="84"/>
      <c r="O137" s="84"/>
      <c r="P137" s="84"/>
      <c r="Q137" s="69" t="str">
        <f t="shared" si="46"/>
        <v/>
      </c>
      <c r="R137" s="84"/>
      <c r="S137" s="65" t="str">
        <f t="shared" si="47"/>
        <v/>
      </c>
      <c r="T137" s="69" t="str">
        <f t="shared" si="48"/>
        <v/>
      </c>
      <c r="U137" s="84"/>
      <c r="V137" s="65" t="str">
        <f t="shared" si="49"/>
        <v/>
      </c>
      <c r="W137" s="108"/>
      <c r="X137" s="108"/>
      <c r="Y137" s="108"/>
      <c r="Z137" s="110" t="str">
        <f t="shared" si="50"/>
        <v/>
      </c>
      <c r="AA137" s="199">
        <f>IF(ISERROR('Berechnungen 2'!AR340),"",'Berechnungen 2'!AR340)</f>
        <v>0</v>
      </c>
      <c r="AB137" s="200">
        <f>IF(ISERROR('Berechnungen 2'!AS340),"",'Berechnungen 2'!AS340)</f>
        <v>0</v>
      </c>
      <c r="AC137" s="200">
        <f>IF(ISERROR('Berechnungen 2'!AT340),"",'Berechnungen 2'!AT340)</f>
        <v>0</v>
      </c>
      <c r="AD137" s="199">
        <f>IF(ISERROR('Berechnungen 2'!BE340),"",'Berechnungen 2'!BE340)</f>
        <v>0</v>
      </c>
      <c r="AE137" s="200">
        <f>IF(ISERROR('Berechnungen 2'!BF340),"",'Berechnungen 2'!BF340)</f>
        <v>0</v>
      </c>
      <c r="AF137" s="200">
        <f>IF(ISERROR('Berechnungen 2'!BG340),"",'Berechnungen 2'!BG340)</f>
        <v>0</v>
      </c>
      <c r="AG137" s="199" t="str">
        <f>IF(ISNUMBER(A137),IF(ISERROR('Berechnungen 2'!BK340),"",'Berechnungen 2'!BK340),"")</f>
        <v/>
      </c>
      <c r="AH137" s="200">
        <f>IF(ISERROR('Berechnungen 2'!BL340),"",'Berechnungen 2'!BL340)</f>
        <v>0</v>
      </c>
      <c r="AI137" s="200">
        <f>IF(ISERROR('Berechnungen 2'!BM340),"",'Berechnungen 2'!BM340)</f>
        <v>0</v>
      </c>
    </row>
    <row r="138" spans="1:35" x14ac:dyDescent="0.2">
      <c r="A138" s="71" t="str">
        <f t="shared" si="27"/>
        <v/>
      </c>
      <c r="B138" s="193">
        <f t="shared" si="38"/>
        <v>126</v>
      </c>
      <c r="C138" s="192">
        <f ca="1">IF(ISERROR(LARGE('Berechnungen 1'!$A$12:$A$311,B138)),"",LARGE('Berechnungen 1'!$A$12:$A$311,B138))</f>
        <v>175</v>
      </c>
      <c r="D138" s="76" t="str">
        <f t="shared" si="53"/>
        <v/>
      </c>
      <c r="E138" s="76" t="str">
        <f t="shared" si="53"/>
        <v/>
      </c>
      <c r="F138" s="155" t="str">
        <f t="shared" si="41"/>
        <v/>
      </c>
      <c r="G138" s="204" t="str">
        <f t="shared" si="42"/>
        <v/>
      </c>
      <c r="H138" s="156" t="str">
        <f t="shared" si="43"/>
        <v/>
      </c>
      <c r="I138" s="155" t="str">
        <f t="shared" si="44"/>
        <v/>
      </c>
      <c r="J138" s="184">
        <f t="shared" ca="1" si="45"/>
        <v>999999</v>
      </c>
      <c r="K138" s="184">
        <f>IF(OR(ISBLANK('Etape 1'!E133),ISBLANK('Etape 1'!F133)),IF(AND(ISBLANK('Etape 1'!B133),ISBLANK('Etape 1'!C133),ISBLANK('Etape 1'!D133),ISBLANK('Etape 1'!E133),ISBLANK('Etape 1'!F133),ISBLANK('Etape 1'!G133),ISBLANK('Etape 1'!H133)),999,9999),IF(VLOOKUP($C138,Matrix_Berechnungen1.Rang.Pumpendaten.Zwischenresultate,$C$9,0)&gt;0,VLOOKUP($C138,Matrix_Berechnungen1.Rang.Pumpendaten.Zwischenresultate,K$9,0),""))</f>
        <v>999</v>
      </c>
      <c r="L138" s="184">
        <f t="shared" ca="1" si="54"/>
        <v>126</v>
      </c>
      <c r="M138" s="184">
        <f t="shared" ca="1" si="54"/>
        <v>0</v>
      </c>
      <c r="N138" s="84"/>
      <c r="O138" s="84"/>
      <c r="P138" s="84"/>
      <c r="Q138" s="69" t="str">
        <f t="shared" si="46"/>
        <v/>
      </c>
      <c r="R138" s="84"/>
      <c r="S138" s="65" t="str">
        <f t="shared" si="47"/>
        <v/>
      </c>
      <c r="T138" s="69" t="str">
        <f t="shared" si="48"/>
        <v/>
      </c>
      <c r="U138" s="84"/>
      <c r="V138" s="65" t="str">
        <f t="shared" si="49"/>
        <v/>
      </c>
      <c r="W138" s="108"/>
      <c r="X138" s="108"/>
      <c r="Y138" s="108"/>
      <c r="Z138" s="110" t="str">
        <f t="shared" si="50"/>
        <v/>
      </c>
      <c r="AA138" s="199">
        <f>IF(ISERROR('Berechnungen 2'!AR341),"",'Berechnungen 2'!AR341)</f>
        <v>0</v>
      </c>
      <c r="AB138" s="200">
        <f>IF(ISERROR('Berechnungen 2'!AS341),"",'Berechnungen 2'!AS341)</f>
        <v>0</v>
      </c>
      <c r="AC138" s="200">
        <f>IF(ISERROR('Berechnungen 2'!AT341),"",'Berechnungen 2'!AT341)</f>
        <v>0</v>
      </c>
      <c r="AD138" s="199">
        <f>IF(ISERROR('Berechnungen 2'!BE341),"",'Berechnungen 2'!BE341)</f>
        <v>0</v>
      </c>
      <c r="AE138" s="200">
        <f>IF(ISERROR('Berechnungen 2'!BF341),"",'Berechnungen 2'!BF341)</f>
        <v>0</v>
      </c>
      <c r="AF138" s="200">
        <f>IF(ISERROR('Berechnungen 2'!BG341),"",'Berechnungen 2'!BG341)</f>
        <v>0</v>
      </c>
      <c r="AG138" s="199" t="str">
        <f>IF(ISNUMBER(A138),IF(ISERROR('Berechnungen 2'!BK341),"",'Berechnungen 2'!BK341),"")</f>
        <v/>
      </c>
      <c r="AH138" s="200">
        <f>IF(ISERROR('Berechnungen 2'!BL341),"",'Berechnungen 2'!BL341)</f>
        <v>0</v>
      </c>
      <c r="AI138" s="200">
        <f>IF(ISERROR('Berechnungen 2'!BM341),"",'Berechnungen 2'!BM341)</f>
        <v>0</v>
      </c>
    </row>
    <row r="139" spans="1:35" x14ac:dyDescent="0.2">
      <c r="A139" s="71" t="str">
        <f t="shared" si="27"/>
        <v/>
      </c>
      <c r="B139" s="193">
        <f t="shared" si="38"/>
        <v>127</v>
      </c>
      <c r="C139" s="192">
        <f ca="1">IF(ISERROR(LARGE('Berechnungen 1'!$A$12:$A$311,B139)),"",LARGE('Berechnungen 1'!$A$12:$A$311,B139))</f>
        <v>174</v>
      </c>
      <c r="D139" s="76" t="str">
        <f t="shared" si="53"/>
        <v/>
      </c>
      <c r="E139" s="76" t="str">
        <f t="shared" si="53"/>
        <v/>
      </c>
      <c r="F139" s="155" t="str">
        <f t="shared" si="41"/>
        <v/>
      </c>
      <c r="G139" s="204" t="str">
        <f t="shared" si="42"/>
        <v/>
      </c>
      <c r="H139" s="156" t="str">
        <f t="shared" si="43"/>
        <v/>
      </c>
      <c r="I139" s="155" t="str">
        <f t="shared" si="44"/>
        <v/>
      </c>
      <c r="J139" s="184">
        <f t="shared" ca="1" si="45"/>
        <v>999999</v>
      </c>
      <c r="K139" s="184">
        <f>IF(OR(ISBLANK('Etape 1'!E134),ISBLANK('Etape 1'!F134)),IF(AND(ISBLANK('Etape 1'!B134),ISBLANK('Etape 1'!C134),ISBLANK('Etape 1'!D134),ISBLANK('Etape 1'!E134),ISBLANK('Etape 1'!F134),ISBLANK('Etape 1'!G134),ISBLANK('Etape 1'!H134)),999,9999),IF(VLOOKUP($C139,Matrix_Berechnungen1.Rang.Pumpendaten.Zwischenresultate,$C$9,0)&gt;0,VLOOKUP($C139,Matrix_Berechnungen1.Rang.Pumpendaten.Zwischenresultate,K$9,0),""))</f>
        <v>999</v>
      </c>
      <c r="L139" s="184">
        <f t="shared" ca="1" si="54"/>
        <v>127</v>
      </c>
      <c r="M139" s="184">
        <f t="shared" ca="1" si="54"/>
        <v>0</v>
      </c>
      <c r="N139" s="84"/>
      <c r="O139" s="84"/>
      <c r="P139" s="84"/>
      <c r="Q139" s="69" t="str">
        <f t="shared" si="46"/>
        <v/>
      </c>
      <c r="R139" s="84"/>
      <c r="S139" s="65" t="str">
        <f t="shared" si="47"/>
        <v/>
      </c>
      <c r="T139" s="69" t="str">
        <f t="shared" si="48"/>
        <v/>
      </c>
      <c r="U139" s="84"/>
      <c r="V139" s="65" t="str">
        <f t="shared" si="49"/>
        <v/>
      </c>
      <c r="W139" s="108"/>
      <c r="X139" s="108"/>
      <c r="Y139" s="108"/>
      <c r="Z139" s="110" t="str">
        <f t="shared" si="50"/>
        <v/>
      </c>
      <c r="AA139" s="199">
        <f>IF(ISERROR('Berechnungen 2'!AR342),"",'Berechnungen 2'!AR342)</f>
        <v>0</v>
      </c>
      <c r="AB139" s="200">
        <f>IF(ISERROR('Berechnungen 2'!AS342),"",'Berechnungen 2'!AS342)</f>
        <v>0</v>
      </c>
      <c r="AC139" s="200">
        <f>IF(ISERROR('Berechnungen 2'!AT342),"",'Berechnungen 2'!AT342)</f>
        <v>0</v>
      </c>
      <c r="AD139" s="199">
        <f>IF(ISERROR('Berechnungen 2'!BE342),"",'Berechnungen 2'!BE342)</f>
        <v>0</v>
      </c>
      <c r="AE139" s="200">
        <f>IF(ISERROR('Berechnungen 2'!BF342),"",'Berechnungen 2'!BF342)</f>
        <v>0</v>
      </c>
      <c r="AF139" s="200">
        <f>IF(ISERROR('Berechnungen 2'!BG342),"",'Berechnungen 2'!BG342)</f>
        <v>0</v>
      </c>
      <c r="AG139" s="199" t="str">
        <f>IF(ISNUMBER(A139),IF(ISERROR('Berechnungen 2'!BK342),"",'Berechnungen 2'!BK342),"")</f>
        <v/>
      </c>
      <c r="AH139" s="200">
        <f>IF(ISERROR('Berechnungen 2'!BL342),"",'Berechnungen 2'!BL342)</f>
        <v>0</v>
      </c>
      <c r="AI139" s="200">
        <f>IF(ISERROR('Berechnungen 2'!BM342),"",'Berechnungen 2'!BM342)</f>
        <v>0</v>
      </c>
    </row>
    <row r="140" spans="1:35" x14ac:dyDescent="0.2">
      <c r="A140" s="71" t="str">
        <f t="shared" si="27"/>
        <v/>
      </c>
      <c r="B140" s="193">
        <f t="shared" si="38"/>
        <v>128</v>
      </c>
      <c r="C140" s="192">
        <f ca="1">IF(ISERROR(LARGE('Berechnungen 1'!$A$12:$A$311,B140)),"",LARGE('Berechnungen 1'!$A$12:$A$311,B140))</f>
        <v>173</v>
      </c>
      <c r="D140" s="76" t="str">
        <f t="shared" si="53"/>
        <v/>
      </c>
      <c r="E140" s="76" t="str">
        <f t="shared" si="53"/>
        <v/>
      </c>
      <c r="F140" s="155" t="str">
        <f t="shared" si="41"/>
        <v/>
      </c>
      <c r="G140" s="204" t="str">
        <f t="shared" si="42"/>
        <v/>
      </c>
      <c r="H140" s="156" t="str">
        <f t="shared" si="43"/>
        <v/>
      </c>
      <c r="I140" s="155" t="str">
        <f t="shared" si="44"/>
        <v/>
      </c>
      <c r="J140" s="184">
        <f t="shared" ca="1" si="45"/>
        <v>999999</v>
      </c>
      <c r="K140" s="184">
        <f>IF(OR(ISBLANK('Etape 1'!E135),ISBLANK('Etape 1'!F135)),IF(AND(ISBLANK('Etape 1'!B135),ISBLANK('Etape 1'!C135),ISBLANK('Etape 1'!D135),ISBLANK('Etape 1'!E135),ISBLANK('Etape 1'!F135),ISBLANK('Etape 1'!G135),ISBLANK('Etape 1'!H135)),999,9999),IF(VLOOKUP($C140,Matrix_Berechnungen1.Rang.Pumpendaten.Zwischenresultate,$C$9,0)&gt;0,VLOOKUP($C140,Matrix_Berechnungen1.Rang.Pumpendaten.Zwischenresultate,K$9,0),""))</f>
        <v>999</v>
      </c>
      <c r="L140" s="184">
        <f t="shared" ca="1" si="54"/>
        <v>128</v>
      </c>
      <c r="M140" s="184">
        <f t="shared" ca="1" si="54"/>
        <v>0</v>
      </c>
      <c r="N140" s="84"/>
      <c r="O140" s="84"/>
      <c r="P140" s="84"/>
      <c r="Q140" s="69" t="str">
        <f t="shared" si="46"/>
        <v/>
      </c>
      <c r="R140" s="84"/>
      <c r="S140" s="65" t="str">
        <f t="shared" si="47"/>
        <v/>
      </c>
      <c r="T140" s="69" t="str">
        <f t="shared" si="48"/>
        <v/>
      </c>
      <c r="U140" s="84"/>
      <c r="V140" s="65" t="str">
        <f t="shared" si="49"/>
        <v/>
      </c>
      <c r="W140" s="108"/>
      <c r="X140" s="108"/>
      <c r="Y140" s="108"/>
      <c r="Z140" s="110" t="str">
        <f t="shared" si="50"/>
        <v/>
      </c>
      <c r="AA140" s="199">
        <f>IF(ISERROR('Berechnungen 2'!AR343),"",'Berechnungen 2'!AR343)</f>
        <v>0</v>
      </c>
      <c r="AB140" s="200">
        <f>IF(ISERROR('Berechnungen 2'!AS343),"",'Berechnungen 2'!AS343)</f>
        <v>0</v>
      </c>
      <c r="AC140" s="200">
        <f>IF(ISERROR('Berechnungen 2'!AT343),"",'Berechnungen 2'!AT343)</f>
        <v>0</v>
      </c>
      <c r="AD140" s="199">
        <f>IF(ISERROR('Berechnungen 2'!BE343),"",'Berechnungen 2'!BE343)</f>
        <v>0</v>
      </c>
      <c r="AE140" s="200">
        <f>IF(ISERROR('Berechnungen 2'!BF343),"",'Berechnungen 2'!BF343)</f>
        <v>0</v>
      </c>
      <c r="AF140" s="200">
        <f>IF(ISERROR('Berechnungen 2'!BG343),"",'Berechnungen 2'!BG343)</f>
        <v>0</v>
      </c>
      <c r="AG140" s="199" t="str">
        <f>IF(ISNUMBER(A140),IF(ISERROR('Berechnungen 2'!BK343),"",'Berechnungen 2'!BK343),"")</f>
        <v/>
      </c>
      <c r="AH140" s="200">
        <f>IF(ISERROR('Berechnungen 2'!BL343),"",'Berechnungen 2'!BL343)</f>
        <v>0</v>
      </c>
      <c r="AI140" s="200">
        <f>IF(ISERROR('Berechnungen 2'!BM343),"",'Berechnungen 2'!BM343)</f>
        <v>0</v>
      </c>
    </row>
    <row r="141" spans="1:35" x14ac:dyDescent="0.2">
      <c r="A141" s="71" t="str">
        <f t="shared" ref="A141:A204" si="55">IF(OR(K141=0,K141=1,K141=2,K141=9999),VLOOKUP($C141,Matrix_Berechnungen1.Rang.Pumpendaten.Zwischenresultate,A$9,0),"")</f>
        <v/>
      </c>
      <c r="B141" s="193">
        <f t="shared" si="38"/>
        <v>129</v>
      </c>
      <c r="C141" s="192">
        <f ca="1">IF(ISERROR(LARGE('Berechnungen 1'!$A$12:$A$311,B141)),"",LARGE('Berechnungen 1'!$A$12:$A$311,B141))</f>
        <v>172</v>
      </c>
      <c r="D141" s="76" t="str">
        <f t="shared" si="53"/>
        <v/>
      </c>
      <c r="E141" s="76" t="str">
        <f t="shared" si="53"/>
        <v/>
      </c>
      <c r="F141" s="155" t="str">
        <f t="shared" si="41"/>
        <v/>
      </c>
      <c r="G141" s="204" t="str">
        <f t="shared" si="42"/>
        <v/>
      </c>
      <c r="H141" s="156" t="str">
        <f t="shared" si="43"/>
        <v/>
      </c>
      <c r="I141" s="155" t="str">
        <f t="shared" si="44"/>
        <v/>
      </c>
      <c r="J141" s="184">
        <f t="shared" ca="1" si="45"/>
        <v>999999</v>
      </c>
      <c r="K141" s="184">
        <f>IF(OR(ISBLANK('Etape 1'!E136),ISBLANK('Etape 1'!F136)),IF(AND(ISBLANK('Etape 1'!B136),ISBLANK('Etape 1'!C136),ISBLANK('Etape 1'!D136),ISBLANK('Etape 1'!E136),ISBLANK('Etape 1'!F136),ISBLANK('Etape 1'!G136),ISBLANK('Etape 1'!H136)),999,9999),IF(VLOOKUP($C141,Matrix_Berechnungen1.Rang.Pumpendaten.Zwischenresultate,$C$9,0)&gt;0,VLOOKUP($C141,Matrix_Berechnungen1.Rang.Pumpendaten.Zwischenresultate,K$9,0),""))</f>
        <v>999</v>
      </c>
      <c r="L141" s="184">
        <f t="shared" ca="1" si="54"/>
        <v>129</v>
      </c>
      <c r="M141" s="184">
        <f t="shared" ca="1" si="54"/>
        <v>0</v>
      </c>
      <c r="N141" s="84"/>
      <c r="O141" s="84"/>
      <c r="P141" s="84"/>
      <c r="Q141" s="69" t="str">
        <f t="shared" si="46"/>
        <v/>
      </c>
      <c r="R141" s="84"/>
      <c r="S141" s="65" t="str">
        <f t="shared" si="47"/>
        <v/>
      </c>
      <c r="T141" s="69" t="str">
        <f t="shared" si="48"/>
        <v/>
      </c>
      <c r="U141" s="84"/>
      <c r="V141" s="65" t="str">
        <f t="shared" si="49"/>
        <v/>
      </c>
      <c r="W141" s="108"/>
      <c r="X141" s="108"/>
      <c r="Y141" s="108"/>
      <c r="Z141" s="110" t="str">
        <f t="shared" si="50"/>
        <v/>
      </c>
      <c r="AA141" s="199">
        <f>IF(ISERROR('Berechnungen 2'!AR344),"",'Berechnungen 2'!AR344)</f>
        <v>0</v>
      </c>
      <c r="AB141" s="200">
        <f>IF(ISERROR('Berechnungen 2'!AS344),"",'Berechnungen 2'!AS344)</f>
        <v>0</v>
      </c>
      <c r="AC141" s="200">
        <f>IF(ISERROR('Berechnungen 2'!AT344),"",'Berechnungen 2'!AT344)</f>
        <v>0</v>
      </c>
      <c r="AD141" s="199">
        <f>IF(ISERROR('Berechnungen 2'!BE344),"",'Berechnungen 2'!BE344)</f>
        <v>0</v>
      </c>
      <c r="AE141" s="200">
        <f>IF(ISERROR('Berechnungen 2'!BF344),"",'Berechnungen 2'!BF344)</f>
        <v>0</v>
      </c>
      <c r="AF141" s="200">
        <f>IF(ISERROR('Berechnungen 2'!BG344),"",'Berechnungen 2'!BG344)</f>
        <v>0</v>
      </c>
      <c r="AG141" s="199" t="str">
        <f>IF(ISNUMBER(A141),IF(ISERROR('Berechnungen 2'!BK344),"",'Berechnungen 2'!BK344),"")</f>
        <v/>
      </c>
      <c r="AH141" s="200">
        <f>IF(ISERROR('Berechnungen 2'!BL344),"",'Berechnungen 2'!BL344)</f>
        <v>0</v>
      </c>
      <c r="AI141" s="200">
        <f>IF(ISERROR('Berechnungen 2'!BM344),"",'Berechnungen 2'!BM344)</f>
        <v>0</v>
      </c>
    </row>
    <row r="142" spans="1:35" x14ac:dyDescent="0.2">
      <c r="A142" s="71" t="str">
        <f t="shared" si="55"/>
        <v/>
      </c>
      <c r="B142" s="193">
        <f t="shared" si="38"/>
        <v>130</v>
      </c>
      <c r="C142" s="192">
        <f ca="1">IF(ISERROR(LARGE('Berechnungen 1'!$A$12:$A$311,B142)),"",LARGE('Berechnungen 1'!$A$12:$A$311,B142))</f>
        <v>171</v>
      </c>
      <c r="D142" s="76" t="str">
        <f t="shared" si="53"/>
        <v/>
      </c>
      <c r="E142" s="76" t="str">
        <f t="shared" si="53"/>
        <v/>
      </c>
      <c r="F142" s="155" t="str">
        <f t="shared" si="41"/>
        <v/>
      </c>
      <c r="G142" s="204" t="str">
        <f t="shared" si="42"/>
        <v/>
      </c>
      <c r="H142" s="156" t="str">
        <f t="shared" si="43"/>
        <v/>
      </c>
      <c r="I142" s="155" t="str">
        <f t="shared" si="44"/>
        <v/>
      </c>
      <c r="J142" s="184">
        <f t="shared" ca="1" si="45"/>
        <v>999999</v>
      </c>
      <c r="K142" s="184">
        <f>IF(OR(ISBLANK('Etape 1'!E137),ISBLANK('Etape 1'!F137)),IF(AND(ISBLANK('Etape 1'!B137),ISBLANK('Etape 1'!C137),ISBLANK('Etape 1'!D137),ISBLANK('Etape 1'!E137),ISBLANK('Etape 1'!F137),ISBLANK('Etape 1'!G137),ISBLANK('Etape 1'!H137)),999,9999),IF(VLOOKUP($C142,Matrix_Berechnungen1.Rang.Pumpendaten.Zwischenresultate,$C$9,0)&gt;0,VLOOKUP($C142,Matrix_Berechnungen1.Rang.Pumpendaten.Zwischenresultate,K$9,0),""))</f>
        <v>999</v>
      </c>
      <c r="L142" s="184">
        <f t="shared" ca="1" si="54"/>
        <v>130</v>
      </c>
      <c r="M142" s="184">
        <f t="shared" ca="1" si="54"/>
        <v>0</v>
      </c>
      <c r="N142" s="84"/>
      <c r="O142" s="84"/>
      <c r="P142" s="84"/>
      <c r="Q142" s="69" t="str">
        <f t="shared" si="46"/>
        <v/>
      </c>
      <c r="R142" s="84"/>
      <c r="S142" s="65" t="str">
        <f t="shared" si="47"/>
        <v/>
      </c>
      <c r="T142" s="69" t="str">
        <f t="shared" si="48"/>
        <v/>
      </c>
      <c r="U142" s="84"/>
      <c r="V142" s="65" t="str">
        <f t="shared" si="49"/>
        <v/>
      </c>
      <c r="W142" s="108"/>
      <c r="X142" s="108"/>
      <c r="Y142" s="108"/>
      <c r="Z142" s="110" t="str">
        <f t="shared" si="50"/>
        <v/>
      </c>
      <c r="AA142" s="199">
        <f>IF(ISERROR('Berechnungen 2'!AR345),"",'Berechnungen 2'!AR345)</f>
        <v>0</v>
      </c>
      <c r="AB142" s="200">
        <f>IF(ISERROR('Berechnungen 2'!AS345),"",'Berechnungen 2'!AS345)</f>
        <v>0</v>
      </c>
      <c r="AC142" s="200">
        <f>IF(ISERROR('Berechnungen 2'!AT345),"",'Berechnungen 2'!AT345)</f>
        <v>0</v>
      </c>
      <c r="AD142" s="199">
        <f>IF(ISERROR('Berechnungen 2'!BE345),"",'Berechnungen 2'!BE345)</f>
        <v>0</v>
      </c>
      <c r="AE142" s="200">
        <f>IF(ISERROR('Berechnungen 2'!BF345),"",'Berechnungen 2'!BF345)</f>
        <v>0</v>
      </c>
      <c r="AF142" s="200">
        <f>IF(ISERROR('Berechnungen 2'!BG345),"",'Berechnungen 2'!BG345)</f>
        <v>0</v>
      </c>
      <c r="AG142" s="199" t="str">
        <f>IF(ISNUMBER(A142),IF(ISERROR('Berechnungen 2'!BK345),"",'Berechnungen 2'!BK345),"")</f>
        <v/>
      </c>
      <c r="AH142" s="200">
        <f>IF(ISERROR('Berechnungen 2'!BL345),"",'Berechnungen 2'!BL345)</f>
        <v>0</v>
      </c>
      <c r="AI142" s="200">
        <f>IF(ISERROR('Berechnungen 2'!BM345),"",'Berechnungen 2'!BM345)</f>
        <v>0</v>
      </c>
    </row>
    <row r="143" spans="1:35" x14ac:dyDescent="0.2">
      <c r="A143" s="71" t="str">
        <f t="shared" si="55"/>
        <v/>
      </c>
      <c r="B143" s="193">
        <f t="shared" ref="B143:B206" si="56">B142+1</f>
        <v>131</v>
      </c>
      <c r="C143" s="192">
        <f ca="1">IF(ISERROR(LARGE('Berechnungen 1'!$A$12:$A$311,B143)),"",LARGE('Berechnungen 1'!$A$12:$A$311,B143))</f>
        <v>170</v>
      </c>
      <c r="D143" s="76" t="str">
        <f t="shared" si="53"/>
        <v/>
      </c>
      <c r="E143" s="76" t="str">
        <f t="shared" si="53"/>
        <v/>
      </c>
      <c r="F143" s="155" t="str">
        <f t="shared" si="41"/>
        <v/>
      </c>
      <c r="G143" s="204" t="str">
        <f t="shared" si="42"/>
        <v/>
      </c>
      <c r="H143" s="156" t="str">
        <f t="shared" si="43"/>
        <v/>
      </c>
      <c r="I143" s="155" t="str">
        <f t="shared" si="44"/>
        <v/>
      </c>
      <c r="J143" s="184">
        <f t="shared" ca="1" si="45"/>
        <v>999999</v>
      </c>
      <c r="K143" s="184">
        <f>IF(OR(ISBLANK('Etape 1'!E138),ISBLANK('Etape 1'!F138)),IF(AND(ISBLANK('Etape 1'!B138),ISBLANK('Etape 1'!C138),ISBLANK('Etape 1'!D138),ISBLANK('Etape 1'!E138),ISBLANK('Etape 1'!F138),ISBLANK('Etape 1'!G138),ISBLANK('Etape 1'!H138)),999,9999),IF(VLOOKUP($C143,Matrix_Berechnungen1.Rang.Pumpendaten.Zwischenresultate,$C$9,0)&gt;0,VLOOKUP($C143,Matrix_Berechnungen1.Rang.Pumpendaten.Zwischenresultate,K$9,0),""))</f>
        <v>999</v>
      </c>
      <c r="L143" s="184">
        <f t="shared" ca="1" si="54"/>
        <v>131</v>
      </c>
      <c r="M143" s="184">
        <f t="shared" ca="1" si="54"/>
        <v>0</v>
      </c>
      <c r="N143" s="84"/>
      <c r="O143" s="84"/>
      <c r="P143" s="84"/>
      <c r="Q143" s="69" t="str">
        <f t="shared" si="46"/>
        <v/>
      </c>
      <c r="R143" s="84"/>
      <c r="S143" s="65" t="str">
        <f t="shared" si="47"/>
        <v/>
      </c>
      <c r="T143" s="69" t="str">
        <f t="shared" si="48"/>
        <v/>
      </c>
      <c r="U143" s="84"/>
      <c r="V143" s="65" t="str">
        <f t="shared" si="49"/>
        <v/>
      </c>
      <c r="W143" s="108"/>
      <c r="X143" s="108"/>
      <c r="Y143" s="108"/>
      <c r="Z143" s="110" t="str">
        <f t="shared" si="50"/>
        <v/>
      </c>
      <c r="AA143" s="199">
        <f>IF(ISERROR('Berechnungen 2'!AR346),"",'Berechnungen 2'!AR346)</f>
        <v>0</v>
      </c>
      <c r="AB143" s="200">
        <f>IF(ISERROR('Berechnungen 2'!AS346),"",'Berechnungen 2'!AS346)</f>
        <v>0</v>
      </c>
      <c r="AC143" s="200">
        <f>IF(ISERROR('Berechnungen 2'!AT346),"",'Berechnungen 2'!AT346)</f>
        <v>0</v>
      </c>
      <c r="AD143" s="199">
        <f>IF(ISERROR('Berechnungen 2'!BE346),"",'Berechnungen 2'!BE346)</f>
        <v>0</v>
      </c>
      <c r="AE143" s="200">
        <f>IF(ISERROR('Berechnungen 2'!BF346),"",'Berechnungen 2'!BF346)</f>
        <v>0</v>
      </c>
      <c r="AF143" s="200">
        <f>IF(ISERROR('Berechnungen 2'!BG346),"",'Berechnungen 2'!BG346)</f>
        <v>0</v>
      </c>
      <c r="AG143" s="199" t="str">
        <f>IF(ISNUMBER(A143),IF(ISERROR('Berechnungen 2'!BK346),"",'Berechnungen 2'!BK346),"")</f>
        <v/>
      </c>
      <c r="AH143" s="200">
        <f>IF(ISERROR('Berechnungen 2'!BL346),"",'Berechnungen 2'!BL346)</f>
        <v>0</v>
      </c>
      <c r="AI143" s="200">
        <f>IF(ISERROR('Berechnungen 2'!BM346),"",'Berechnungen 2'!BM346)</f>
        <v>0</v>
      </c>
    </row>
    <row r="144" spans="1:35" x14ac:dyDescent="0.2">
      <c r="A144" s="71" t="str">
        <f t="shared" si="55"/>
        <v/>
      </c>
      <c r="B144" s="193">
        <f t="shared" si="56"/>
        <v>132</v>
      </c>
      <c r="C144" s="192">
        <f ca="1">IF(ISERROR(LARGE('Berechnungen 1'!$A$12:$A$311,B144)),"",LARGE('Berechnungen 1'!$A$12:$A$311,B144))</f>
        <v>169</v>
      </c>
      <c r="D144" s="76" t="str">
        <f t="shared" si="53"/>
        <v/>
      </c>
      <c r="E144" s="76" t="str">
        <f t="shared" si="53"/>
        <v/>
      </c>
      <c r="F144" s="155" t="str">
        <f t="shared" si="41"/>
        <v/>
      </c>
      <c r="G144" s="204" t="str">
        <f t="shared" si="42"/>
        <v/>
      </c>
      <c r="H144" s="156" t="str">
        <f t="shared" si="43"/>
        <v/>
      </c>
      <c r="I144" s="155" t="str">
        <f t="shared" si="44"/>
        <v/>
      </c>
      <c r="J144" s="184">
        <f t="shared" ca="1" si="45"/>
        <v>999999</v>
      </c>
      <c r="K144" s="184">
        <f>IF(OR(ISBLANK('Etape 1'!E139),ISBLANK('Etape 1'!F139)),IF(AND(ISBLANK('Etape 1'!B139),ISBLANK('Etape 1'!C139),ISBLANK('Etape 1'!D139),ISBLANK('Etape 1'!E139),ISBLANK('Etape 1'!F139),ISBLANK('Etape 1'!G139),ISBLANK('Etape 1'!H139)),999,9999),IF(VLOOKUP($C144,Matrix_Berechnungen1.Rang.Pumpendaten.Zwischenresultate,$C$9,0)&gt;0,VLOOKUP($C144,Matrix_Berechnungen1.Rang.Pumpendaten.Zwischenresultate,K$9,0),""))</f>
        <v>999</v>
      </c>
      <c r="L144" s="184">
        <f t="shared" ca="1" si="54"/>
        <v>132</v>
      </c>
      <c r="M144" s="184">
        <f t="shared" ca="1" si="54"/>
        <v>0</v>
      </c>
      <c r="N144" s="84"/>
      <c r="O144" s="84"/>
      <c r="P144" s="84"/>
      <c r="Q144" s="69" t="str">
        <f t="shared" si="46"/>
        <v/>
      </c>
      <c r="R144" s="84"/>
      <c r="S144" s="65" t="str">
        <f t="shared" si="47"/>
        <v/>
      </c>
      <c r="T144" s="69" t="str">
        <f t="shared" si="48"/>
        <v/>
      </c>
      <c r="U144" s="84"/>
      <c r="V144" s="65" t="str">
        <f t="shared" si="49"/>
        <v/>
      </c>
      <c r="W144" s="108"/>
      <c r="X144" s="108"/>
      <c r="Y144" s="108"/>
      <c r="Z144" s="110" t="str">
        <f t="shared" si="50"/>
        <v/>
      </c>
      <c r="AA144" s="199">
        <f>IF(ISERROR('Berechnungen 2'!AR347),"",'Berechnungen 2'!AR347)</f>
        <v>0</v>
      </c>
      <c r="AB144" s="200">
        <f>IF(ISERROR('Berechnungen 2'!AS347),"",'Berechnungen 2'!AS347)</f>
        <v>0</v>
      </c>
      <c r="AC144" s="200">
        <f>IF(ISERROR('Berechnungen 2'!AT347),"",'Berechnungen 2'!AT347)</f>
        <v>0</v>
      </c>
      <c r="AD144" s="199">
        <f>IF(ISERROR('Berechnungen 2'!BE347),"",'Berechnungen 2'!BE347)</f>
        <v>0</v>
      </c>
      <c r="AE144" s="200">
        <f>IF(ISERROR('Berechnungen 2'!BF347),"",'Berechnungen 2'!BF347)</f>
        <v>0</v>
      </c>
      <c r="AF144" s="200">
        <f>IF(ISERROR('Berechnungen 2'!BG347),"",'Berechnungen 2'!BG347)</f>
        <v>0</v>
      </c>
      <c r="AG144" s="199" t="str">
        <f>IF(ISNUMBER(A144),IF(ISERROR('Berechnungen 2'!BK347),"",'Berechnungen 2'!BK347),"")</f>
        <v/>
      </c>
      <c r="AH144" s="200">
        <f>IF(ISERROR('Berechnungen 2'!BL347),"",'Berechnungen 2'!BL347)</f>
        <v>0</v>
      </c>
      <c r="AI144" s="200">
        <f>IF(ISERROR('Berechnungen 2'!BM347),"",'Berechnungen 2'!BM347)</f>
        <v>0</v>
      </c>
    </row>
    <row r="145" spans="1:35" x14ac:dyDescent="0.2">
      <c r="A145" s="71" t="str">
        <f t="shared" si="55"/>
        <v/>
      </c>
      <c r="B145" s="193">
        <f t="shared" si="56"/>
        <v>133</v>
      </c>
      <c r="C145" s="192">
        <f ca="1">IF(ISERROR(LARGE('Berechnungen 1'!$A$12:$A$311,B145)),"",LARGE('Berechnungen 1'!$A$12:$A$311,B145))</f>
        <v>168</v>
      </c>
      <c r="D145" s="76" t="str">
        <f t="shared" si="53"/>
        <v/>
      </c>
      <c r="E145" s="76" t="str">
        <f t="shared" si="53"/>
        <v/>
      </c>
      <c r="F145" s="155" t="str">
        <f t="shared" si="41"/>
        <v/>
      </c>
      <c r="G145" s="204" t="str">
        <f t="shared" si="42"/>
        <v/>
      </c>
      <c r="H145" s="156" t="str">
        <f t="shared" si="43"/>
        <v/>
      </c>
      <c r="I145" s="155" t="str">
        <f t="shared" si="44"/>
        <v/>
      </c>
      <c r="J145" s="184">
        <f t="shared" ca="1" si="45"/>
        <v>999999</v>
      </c>
      <c r="K145" s="184">
        <f>IF(OR(ISBLANK('Etape 1'!E140),ISBLANK('Etape 1'!F140)),IF(AND(ISBLANK('Etape 1'!B140),ISBLANK('Etape 1'!C140),ISBLANK('Etape 1'!D140),ISBLANK('Etape 1'!E140),ISBLANK('Etape 1'!F140),ISBLANK('Etape 1'!G140),ISBLANK('Etape 1'!H140)),999,9999),IF(VLOOKUP($C145,Matrix_Berechnungen1.Rang.Pumpendaten.Zwischenresultate,$C$9,0)&gt;0,VLOOKUP($C145,Matrix_Berechnungen1.Rang.Pumpendaten.Zwischenresultate,K$9,0),""))</f>
        <v>999</v>
      </c>
      <c r="L145" s="184">
        <f t="shared" ca="1" si="54"/>
        <v>133</v>
      </c>
      <c r="M145" s="184">
        <f t="shared" ca="1" si="54"/>
        <v>0</v>
      </c>
      <c r="N145" s="84"/>
      <c r="O145" s="84"/>
      <c r="P145" s="84"/>
      <c r="Q145" s="69" t="str">
        <f t="shared" si="46"/>
        <v/>
      </c>
      <c r="R145" s="84"/>
      <c r="S145" s="65" t="str">
        <f t="shared" si="47"/>
        <v/>
      </c>
      <c r="T145" s="69" t="str">
        <f t="shared" si="48"/>
        <v/>
      </c>
      <c r="U145" s="84"/>
      <c r="V145" s="65" t="str">
        <f t="shared" si="49"/>
        <v/>
      </c>
      <c r="W145" s="108"/>
      <c r="X145" s="108"/>
      <c r="Y145" s="108"/>
      <c r="Z145" s="110" t="str">
        <f t="shared" si="50"/>
        <v/>
      </c>
      <c r="AA145" s="199">
        <f>IF(ISERROR('Berechnungen 2'!AR348),"",'Berechnungen 2'!AR348)</f>
        <v>0</v>
      </c>
      <c r="AB145" s="200">
        <f>IF(ISERROR('Berechnungen 2'!AS348),"",'Berechnungen 2'!AS348)</f>
        <v>0</v>
      </c>
      <c r="AC145" s="200">
        <f>IF(ISERROR('Berechnungen 2'!AT348),"",'Berechnungen 2'!AT348)</f>
        <v>0</v>
      </c>
      <c r="AD145" s="199">
        <f>IF(ISERROR('Berechnungen 2'!BE348),"",'Berechnungen 2'!BE348)</f>
        <v>0</v>
      </c>
      <c r="AE145" s="200">
        <f>IF(ISERROR('Berechnungen 2'!BF348),"",'Berechnungen 2'!BF348)</f>
        <v>0</v>
      </c>
      <c r="AF145" s="200">
        <f>IF(ISERROR('Berechnungen 2'!BG348),"",'Berechnungen 2'!BG348)</f>
        <v>0</v>
      </c>
      <c r="AG145" s="199" t="str">
        <f>IF(ISNUMBER(A145),IF(ISERROR('Berechnungen 2'!BK348),"",'Berechnungen 2'!BK348),"")</f>
        <v/>
      </c>
      <c r="AH145" s="200">
        <f>IF(ISERROR('Berechnungen 2'!BL348),"",'Berechnungen 2'!BL348)</f>
        <v>0</v>
      </c>
      <c r="AI145" s="200">
        <f>IF(ISERROR('Berechnungen 2'!BM348),"",'Berechnungen 2'!BM348)</f>
        <v>0</v>
      </c>
    </row>
    <row r="146" spans="1:35" x14ac:dyDescent="0.2">
      <c r="A146" s="71" t="str">
        <f t="shared" si="55"/>
        <v/>
      </c>
      <c r="B146" s="193">
        <f t="shared" si="56"/>
        <v>134</v>
      </c>
      <c r="C146" s="192">
        <f ca="1">IF(ISERROR(LARGE('Berechnungen 1'!$A$12:$A$311,B146)),"",LARGE('Berechnungen 1'!$A$12:$A$311,B146))</f>
        <v>167</v>
      </c>
      <c r="D146" s="76" t="str">
        <f t="shared" si="53"/>
        <v/>
      </c>
      <c r="E146" s="76" t="str">
        <f t="shared" si="53"/>
        <v/>
      </c>
      <c r="F146" s="155" t="str">
        <f t="shared" si="41"/>
        <v/>
      </c>
      <c r="G146" s="204" t="str">
        <f t="shared" si="42"/>
        <v/>
      </c>
      <c r="H146" s="156" t="str">
        <f t="shared" si="43"/>
        <v/>
      </c>
      <c r="I146" s="155" t="str">
        <f t="shared" si="44"/>
        <v/>
      </c>
      <c r="J146" s="184">
        <f t="shared" ca="1" si="45"/>
        <v>999999</v>
      </c>
      <c r="K146" s="184">
        <f>IF(OR(ISBLANK('Etape 1'!E141),ISBLANK('Etape 1'!F141)),IF(AND(ISBLANK('Etape 1'!B141),ISBLANK('Etape 1'!C141),ISBLANK('Etape 1'!D141),ISBLANK('Etape 1'!E141),ISBLANK('Etape 1'!F141),ISBLANK('Etape 1'!G141),ISBLANK('Etape 1'!H141)),999,9999),IF(VLOOKUP($C146,Matrix_Berechnungen1.Rang.Pumpendaten.Zwischenresultate,$C$9,0)&gt;0,VLOOKUP($C146,Matrix_Berechnungen1.Rang.Pumpendaten.Zwischenresultate,K$9,0),""))</f>
        <v>999</v>
      </c>
      <c r="L146" s="184">
        <f t="shared" ca="1" si="54"/>
        <v>134</v>
      </c>
      <c r="M146" s="184">
        <f t="shared" ca="1" si="54"/>
        <v>0</v>
      </c>
      <c r="N146" s="84"/>
      <c r="O146" s="84"/>
      <c r="P146" s="84"/>
      <c r="Q146" s="69" t="str">
        <f t="shared" si="46"/>
        <v/>
      </c>
      <c r="R146" s="84"/>
      <c r="S146" s="65" t="str">
        <f t="shared" si="47"/>
        <v/>
      </c>
      <c r="T146" s="69" t="str">
        <f t="shared" si="48"/>
        <v/>
      </c>
      <c r="U146" s="84"/>
      <c r="V146" s="65" t="str">
        <f t="shared" si="49"/>
        <v/>
      </c>
      <c r="W146" s="108"/>
      <c r="X146" s="108"/>
      <c r="Y146" s="108"/>
      <c r="Z146" s="110" t="str">
        <f t="shared" si="50"/>
        <v/>
      </c>
      <c r="AA146" s="199">
        <f>IF(ISERROR('Berechnungen 2'!AR349),"",'Berechnungen 2'!AR349)</f>
        <v>0</v>
      </c>
      <c r="AB146" s="200">
        <f>IF(ISERROR('Berechnungen 2'!AS349),"",'Berechnungen 2'!AS349)</f>
        <v>0</v>
      </c>
      <c r="AC146" s="200">
        <f>IF(ISERROR('Berechnungen 2'!AT349),"",'Berechnungen 2'!AT349)</f>
        <v>0</v>
      </c>
      <c r="AD146" s="199">
        <f>IF(ISERROR('Berechnungen 2'!BE349),"",'Berechnungen 2'!BE349)</f>
        <v>0</v>
      </c>
      <c r="AE146" s="200">
        <f>IF(ISERROR('Berechnungen 2'!BF349),"",'Berechnungen 2'!BF349)</f>
        <v>0</v>
      </c>
      <c r="AF146" s="200">
        <f>IF(ISERROR('Berechnungen 2'!BG349),"",'Berechnungen 2'!BG349)</f>
        <v>0</v>
      </c>
      <c r="AG146" s="199" t="str">
        <f>IF(ISNUMBER(A146),IF(ISERROR('Berechnungen 2'!BK349),"",'Berechnungen 2'!BK349),"")</f>
        <v/>
      </c>
      <c r="AH146" s="200">
        <f>IF(ISERROR('Berechnungen 2'!BL349),"",'Berechnungen 2'!BL349)</f>
        <v>0</v>
      </c>
      <c r="AI146" s="200">
        <f>IF(ISERROR('Berechnungen 2'!BM349),"",'Berechnungen 2'!BM349)</f>
        <v>0</v>
      </c>
    </row>
    <row r="147" spans="1:35" x14ac:dyDescent="0.2">
      <c r="A147" s="71" t="str">
        <f t="shared" si="55"/>
        <v/>
      </c>
      <c r="B147" s="193">
        <f t="shared" si="56"/>
        <v>135</v>
      </c>
      <c r="C147" s="192">
        <f ca="1">IF(ISERROR(LARGE('Berechnungen 1'!$A$12:$A$311,B147)),"",LARGE('Berechnungen 1'!$A$12:$A$311,B147))</f>
        <v>166</v>
      </c>
      <c r="D147" s="76" t="str">
        <f t="shared" si="53"/>
        <v/>
      </c>
      <c r="E147" s="76" t="str">
        <f t="shared" si="53"/>
        <v/>
      </c>
      <c r="F147" s="155" t="str">
        <f t="shared" si="41"/>
        <v/>
      </c>
      <c r="G147" s="204" t="str">
        <f t="shared" si="42"/>
        <v/>
      </c>
      <c r="H147" s="156" t="str">
        <f t="shared" si="43"/>
        <v/>
      </c>
      <c r="I147" s="155" t="str">
        <f t="shared" si="44"/>
        <v/>
      </c>
      <c r="J147" s="184">
        <f t="shared" ca="1" si="45"/>
        <v>999999</v>
      </c>
      <c r="K147" s="184">
        <f>IF(OR(ISBLANK('Etape 1'!E142),ISBLANK('Etape 1'!F142)),IF(AND(ISBLANK('Etape 1'!B142),ISBLANK('Etape 1'!C142),ISBLANK('Etape 1'!D142),ISBLANK('Etape 1'!E142),ISBLANK('Etape 1'!F142),ISBLANK('Etape 1'!G142),ISBLANK('Etape 1'!H142)),999,9999),IF(VLOOKUP($C147,Matrix_Berechnungen1.Rang.Pumpendaten.Zwischenresultate,$C$9,0)&gt;0,VLOOKUP($C147,Matrix_Berechnungen1.Rang.Pumpendaten.Zwischenresultate,K$9,0),""))</f>
        <v>999</v>
      </c>
      <c r="L147" s="184">
        <f t="shared" ca="1" si="54"/>
        <v>135</v>
      </c>
      <c r="M147" s="184">
        <f t="shared" ca="1" si="54"/>
        <v>0</v>
      </c>
      <c r="N147" s="84"/>
      <c r="O147" s="84"/>
      <c r="P147" s="84"/>
      <c r="Q147" s="69" t="str">
        <f t="shared" si="46"/>
        <v/>
      </c>
      <c r="R147" s="84"/>
      <c r="S147" s="65" t="str">
        <f t="shared" si="47"/>
        <v/>
      </c>
      <c r="T147" s="69" t="str">
        <f t="shared" si="48"/>
        <v/>
      </c>
      <c r="U147" s="84"/>
      <c r="V147" s="65" t="str">
        <f t="shared" si="49"/>
        <v/>
      </c>
      <c r="W147" s="108"/>
      <c r="X147" s="108"/>
      <c r="Y147" s="108"/>
      <c r="Z147" s="110" t="str">
        <f t="shared" si="50"/>
        <v/>
      </c>
      <c r="AA147" s="199">
        <f>IF(ISERROR('Berechnungen 2'!AR350),"",'Berechnungen 2'!AR350)</f>
        <v>0</v>
      </c>
      <c r="AB147" s="200">
        <f>IF(ISERROR('Berechnungen 2'!AS350),"",'Berechnungen 2'!AS350)</f>
        <v>0</v>
      </c>
      <c r="AC147" s="200">
        <f>IF(ISERROR('Berechnungen 2'!AT350),"",'Berechnungen 2'!AT350)</f>
        <v>0</v>
      </c>
      <c r="AD147" s="199">
        <f>IF(ISERROR('Berechnungen 2'!BE350),"",'Berechnungen 2'!BE350)</f>
        <v>0</v>
      </c>
      <c r="AE147" s="200">
        <f>IF(ISERROR('Berechnungen 2'!BF350),"",'Berechnungen 2'!BF350)</f>
        <v>0</v>
      </c>
      <c r="AF147" s="200">
        <f>IF(ISERROR('Berechnungen 2'!BG350),"",'Berechnungen 2'!BG350)</f>
        <v>0</v>
      </c>
      <c r="AG147" s="199" t="str">
        <f>IF(ISNUMBER(A147),IF(ISERROR('Berechnungen 2'!BK350),"",'Berechnungen 2'!BK350),"")</f>
        <v/>
      </c>
      <c r="AH147" s="200">
        <f>IF(ISERROR('Berechnungen 2'!BL350),"",'Berechnungen 2'!BL350)</f>
        <v>0</v>
      </c>
      <c r="AI147" s="200">
        <f>IF(ISERROR('Berechnungen 2'!BM350),"",'Berechnungen 2'!BM350)</f>
        <v>0</v>
      </c>
    </row>
    <row r="148" spans="1:35" x14ac:dyDescent="0.2">
      <c r="A148" s="71" t="str">
        <f t="shared" si="55"/>
        <v/>
      </c>
      <c r="B148" s="193">
        <f t="shared" si="56"/>
        <v>136</v>
      </c>
      <c r="C148" s="192">
        <f ca="1">IF(ISERROR(LARGE('Berechnungen 1'!$A$12:$A$311,B148)),"",LARGE('Berechnungen 1'!$A$12:$A$311,B148))</f>
        <v>165</v>
      </c>
      <c r="D148" s="76" t="str">
        <f t="shared" si="53"/>
        <v/>
      </c>
      <c r="E148" s="76" t="str">
        <f t="shared" si="53"/>
        <v/>
      </c>
      <c r="F148" s="155" t="str">
        <f t="shared" si="41"/>
        <v/>
      </c>
      <c r="G148" s="204" t="str">
        <f t="shared" si="42"/>
        <v/>
      </c>
      <c r="H148" s="156" t="str">
        <f t="shared" si="43"/>
        <v/>
      </c>
      <c r="I148" s="155" t="str">
        <f t="shared" si="44"/>
        <v/>
      </c>
      <c r="J148" s="184">
        <f t="shared" ca="1" si="45"/>
        <v>999999</v>
      </c>
      <c r="K148" s="184">
        <f>IF(OR(ISBLANK('Etape 1'!E143),ISBLANK('Etape 1'!F143)),IF(AND(ISBLANK('Etape 1'!B143),ISBLANK('Etape 1'!C143),ISBLANK('Etape 1'!D143),ISBLANK('Etape 1'!E143),ISBLANK('Etape 1'!F143),ISBLANK('Etape 1'!G143),ISBLANK('Etape 1'!H143)),999,9999),IF(VLOOKUP($C148,Matrix_Berechnungen1.Rang.Pumpendaten.Zwischenresultate,$C$9,0)&gt;0,VLOOKUP($C148,Matrix_Berechnungen1.Rang.Pumpendaten.Zwischenresultate,K$9,0),""))</f>
        <v>999</v>
      </c>
      <c r="L148" s="184">
        <f t="shared" ca="1" si="54"/>
        <v>136</v>
      </c>
      <c r="M148" s="184">
        <f t="shared" ca="1" si="54"/>
        <v>0</v>
      </c>
      <c r="N148" s="84"/>
      <c r="O148" s="84"/>
      <c r="P148" s="84"/>
      <c r="Q148" s="69" t="str">
        <f t="shared" si="46"/>
        <v/>
      </c>
      <c r="R148" s="84"/>
      <c r="S148" s="65" t="str">
        <f t="shared" si="47"/>
        <v/>
      </c>
      <c r="T148" s="69" t="str">
        <f t="shared" si="48"/>
        <v/>
      </c>
      <c r="U148" s="84"/>
      <c r="V148" s="65" t="str">
        <f t="shared" si="49"/>
        <v/>
      </c>
      <c r="W148" s="108"/>
      <c r="X148" s="108"/>
      <c r="Y148" s="108"/>
      <c r="Z148" s="110" t="str">
        <f t="shared" si="50"/>
        <v/>
      </c>
      <c r="AA148" s="199">
        <f>IF(ISERROR('Berechnungen 2'!AR351),"",'Berechnungen 2'!AR351)</f>
        <v>0</v>
      </c>
      <c r="AB148" s="200">
        <f>IF(ISERROR('Berechnungen 2'!AS351),"",'Berechnungen 2'!AS351)</f>
        <v>0</v>
      </c>
      <c r="AC148" s="200">
        <f>IF(ISERROR('Berechnungen 2'!AT351),"",'Berechnungen 2'!AT351)</f>
        <v>0</v>
      </c>
      <c r="AD148" s="199">
        <f>IF(ISERROR('Berechnungen 2'!BE351),"",'Berechnungen 2'!BE351)</f>
        <v>0</v>
      </c>
      <c r="AE148" s="200">
        <f>IF(ISERROR('Berechnungen 2'!BF351),"",'Berechnungen 2'!BF351)</f>
        <v>0</v>
      </c>
      <c r="AF148" s="200">
        <f>IF(ISERROR('Berechnungen 2'!BG351),"",'Berechnungen 2'!BG351)</f>
        <v>0</v>
      </c>
      <c r="AG148" s="199" t="str">
        <f>IF(ISNUMBER(A148),IF(ISERROR('Berechnungen 2'!BK351),"",'Berechnungen 2'!BK351),"")</f>
        <v/>
      </c>
      <c r="AH148" s="200">
        <f>IF(ISERROR('Berechnungen 2'!BL351),"",'Berechnungen 2'!BL351)</f>
        <v>0</v>
      </c>
      <c r="AI148" s="200">
        <f>IF(ISERROR('Berechnungen 2'!BM351),"",'Berechnungen 2'!BM351)</f>
        <v>0</v>
      </c>
    </row>
    <row r="149" spans="1:35" x14ac:dyDescent="0.2">
      <c r="A149" s="71" t="str">
        <f t="shared" si="55"/>
        <v/>
      </c>
      <c r="B149" s="193">
        <f t="shared" si="56"/>
        <v>137</v>
      </c>
      <c r="C149" s="192">
        <f ca="1">IF(ISERROR(LARGE('Berechnungen 1'!$A$12:$A$311,B149)),"",LARGE('Berechnungen 1'!$A$12:$A$311,B149))</f>
        <v>164</v>
      </c>
      <c r="D149" s="76" t="str">
        <f t="shared" si="53"/>
        <v/>
      </c>
      <c r="E149" s="76" t="str">
        <f t="shared" si="53"/>
        <v/>
      </c>
      <c r="F149" s="155" t="str">
        <f t="shared" si="41"/>
        <v/>
      </c>
      <c r="G149" s="204" t="str">
        <f t="shared" si="42"/>
        <v/>
      </c>
      <c r="H149" s="156" t="str">
        <f t="shared" si="43"/>
        <v/>
      </c>
      <c r="I149" s="155" t="str">
        <f t="shared" si="44"/>
        <v/>
      </c>
      <c r="J149" s="184">
        <f t="shared" ca="1" si="45"/>
        <v>999999</v>
      </c>
      <c r="K149" s="184">
        <f>IF(OR(ISBLANK('Etape 1'!E144),ISBLANK('Etape 1'!F144)),IF(AND(ISBLANK('Etape 1'!B144),ISBLANK('Etape 1'!C144),ISBLANK('Etape 1'!D144),ISBLANK('Etape 1'!E144),ISBLANK('Etape 1'!F144),ISBLANK('Etape 1'!G144),ISBLANK('Etape 1'!H144)),999,9999),IF(VLOOKUP($C149,Matrix_Berechnungen1.Rang.Pumpendaten.Zwischenresultate,$C$9,0)&gt;0,VLOOKUP($C149,Matrix_Berechnungen1.Rang.Pumpendaten.Zwischenresultate,K$9,0),""))</f>
        <v>999</v>
      </c>
      <c r="L149" s="184">
        <f t="shared" ca="1" si="54"/>
        <v>137</v>
      </c>
      <c r="M149" s="184">
        <f t="shared" ca="1" si="54"/>
        <v>0</v>
      </c>
      <c r="N149" s="84"/>
      <c r="O149" s="84"/>
      <c r="P149" s="84"/>
      <c r="Q149" s="69" t="str">
        <f t="shared" si="46"/>
        <v/>
      </c>
      <c r="R149" s="84"/>
      <c r="S149" s="65" t="str">
        <f t="shared" si="47"/>
        <v/>
      </c>
      <c r="T149" s="69" t="str">
        <f t="shared" si="48"/>
        <v/>
      </c>
      <c r="U149" s="84"/>
      <c r="V149" s="65" t="str">
        <f t="shared" si="49"/>
        <v/>
      </c>
      <c r="W149" s="108"/>
      <c r="X149" s="108"/>
      <c r="Y149" s="108"/>
      <c r="Z149" s="110" t="str">
        <f t="shared" si="50"/>
        <v/>
      </c>
      <c r="AA149" s="199">
        <f>IF(ISERROR('Berechnungen 2'!AR352),"",'Berechnungen 2'!AR352)</f>
        <v>0</v>
      </c>
      <c r="AB149" s="200">
        <f>IF(ISERROR('Berechnungen 2'!AS352),"",'Berechnungen 2'!AS352)</f>
        <v>0</v>
      </c>
      <c r="AC149" s="200">
        <f>IF(ISERROR('Berechnungen 2'!AT352),"",'Berechnungen 2'!AT352)</f>
        <v>0</v>
      </c>
      <c r="AD149" s="199">
        <f>IF(ISERROR('Berechnungen 2'!BE352),"",'Berechnungen 2'!BE352)</f>
        <v>0</v>
      </c>
      <c r="AE149" s="200">
        <f>IF(ISERROR('Berechnungen 2'!BF352),"",'Berechnungen 2'!BF352)</f>
        <v>0</v>
      </c>
      <c r="AF149" s="200">
        <f>IF(ISERROR('Berechnungen 2'!BG352),"",'Berechnungen 2'!BG352)</f>
        <v>0</v>
      </c>
      <c r="AG149" s="199" t="str">
        <f>IF(ISNUMBER(A149),IF(ISERROR('Berechnungen 2'!BK352),"",'Berechnungen 2'!BK352),"")</f>
        <v/>
      </c>
      <c r="AH149" s="200">
        <f>IF(ISERROR('Berechnungen 2'!BL352),"",'Berechnungen 2'!BL352)</f>
        <v>0</v>
      </c>
      <c r="AI149" s="200">
        <f>IF(ISERROR('Berechnungen 2'!BM352),"",'Berechnungen 2'!BM352)</f>
        <v>0</v>
      </c>
    </row>
    <row r="150" spans="1:35" x14ac:dyDescent="0.2">
      <c r="A150" s="71" t="str">
        <f t="shared" si="55"/>
        <v/>
      </c>
      <c r="B150" s="193">
        <f t="shared" si="56"/>
        <v>138</v>
      </c>
      <c r="C150" s="192">
        <f ca="1">IF(ISERROR(LARGE('Berechnungen 1'!$A$12:$A$311,B150)),"",LARGE('Berechnungen 1'!$A$12:$A$311,B150))</f>
        <v>163</v>
      </c>
      <c r="D150" s="76" t="str">
        <f t="shared" si="53"/>
        <v/>
      </c>
      <c r="E150" s="76" t="str">
        <f t="shared" si="53"/>
        <v/>
      </c>
      <c r="F150" s="155" t="str">
        <f t="shared" si="41"/>
        <v/>
      </c>
      <c r="G150" s="204" t="str">
        <f t="shared" si="42"/>
        <v/>
      </c>
      <c r="H150" s="156" t="str">
        <f t="shared" si="43"/>
        <v/>
      </c>
      <c r="I150" s="155" t="str">
        <f t="shared" si="44"/>
        <v/>
      </c>
      <c r="J150" s="184">
        <f t="shared" ca="1" si="45"/>
        <v>999999</v>
      </c>
      <c r="K150" s="184">
        <f>IF(OR(ISBLANK('Etape 1'!E145),ISBLANK('Etape 1'!F145)),IF(AND(ISBLANK('Etape 1'!B145),ISBLANK('Etape 1'!C145),ISBLANK('Etape 1'!D145),ISBLANK('Etape 1'!E145),ISBLANK('Etape 1'!F145),ISBLANK('Etape 1'!G145),ISBLANK('Etape 1'!H145)),999,9999),IF(VLOOKUP($C150,Matrix_Berechnungen1.Rang.Pumpendaten.Zwischenresultate,$C$9,0)&gt;0,VLOOKUP($C150,Matrix_Berechnungen1.Rang.Pumpendaten.Zwischenresultate,K$9,0),""))</f>
        <v>999</v>
      </c>
      <c r="L150" s="184">
        <f t="shared" ca="1" si="54"/>
        <v>138</v>
      </c>
      <c r="M150" s="184">
        <f t="shared" ca="1" si="54"/>
        <v>0</v>
      </c>
      <c r="N150" s="84"/>
      <c r="O150" s="84"/>
      <c r="P150" s="84"/>
      <c r="Q150" s="69" t="str">
        <f t="shared" si="46"/>
        <v/>
      </c>
      <c r="R150" s="84"/>
      <c r="S150" s="65" t="str">
        <f t="shared" si="47"/>
        <v/>
      </c>
      <c r="T150" s="69" t="str">
        <f t="shared" si="48"/>
        <v/>
      </c>
      <c r="U150" s="84"/>
      <c r="V150" s="65" t="str">
        <f t="shared" si="49"/>
        <v/>
      </c>
      <c r="W150" s="108"/>
      <c r="X150" s="108"/>
      <c r="Y150" s="108"/>
      <c r="Z150" s="110" t="str">
        <f t="shared" si="50"/>
        <v/>
      </c>
      <c r="AA150" s="199">
        <f>IF(ISERROR('Berechnungen 2'!AR353),"",'Berechnungen 2'!AR353)</f>
        <v>0</v>
      </c>
      <c r="AB150" s="200">
        <f>IF(ISERROR('Berechnungen 2'!AS353),"",'Berechnungen 2'!AS353)</f>
        <v>0</v>
      </c>
      <c r="AC150" s="200">
        <f>IF(ISERROR('Berechnungen 2'!AT353),"",'Berechnungen 2'!AT353)</f>
        <v>0</v>
      </c>
      <c r="AD150" s="199">
        <f>IF(ISERROR('Berechnungen 2'!BE353),"",'Berechnungen 2'!BE353)</f>
        <v>0</v>
      </c>
      <c r="AE150" s="200">
        <f>IF(ISERROR('Berechnungen 2'!BF353),"",'Berechnungen 2'!BF353)</f>
        <v>0</v>
      </c>
      <c r="AF150" s="200">
        <f>IF(ISERROR('Berechnungen 2'!BG353),"",'Berechnungen 2'!BG353)</f>
        <v>0</v>
      </c>
      <c r="AG150" s="199" t="str">
        <f>IF(ISNUMBER(A150),IF(ISERROR('Berechnungen 2'!BK353),"",'Berechnungen 2'!BK353),"")</f>
        <v/>
      </c>
      <c r="AH150" s="200">
        <f>IF(ISERROR('Berechnungen 2'!BL353),"",'Berechnungen 2'!BL353)</f>
        <v>0</v>
      </c>
      <c r="AI150" s="200">
        <f>IF(ISERROR('Berechnungen 2'!BM353),"",'Berechnungen 2'!BM353)</f>
        <v>0</v>
      </c>
    </row>
    <row r="151" spans="1:35" x14ac:dyDescent="0.2">
      <c r="A151" s="71" t="str">
        <f t="shared" si="55"/>
        <v/>
      </c>
      <c r="B151" s="193">
        <f t="shared" si="56"/>
        <v>139</v>
      </c>
      <c r="C151" s="192">
        <f ca="1">IF(ISERROR(LARGE('Berechnungen 1'!$A$12:$A$311,B151)),"",LARGE('Berechnungen 1'!$A$12:$A$311,B151))</f>
        <v>162</v>
      </c>
      <c r="D151" s="76" t="str">
        <f t="shared" si="53"/>
        <v/>
      </c>
      <c r="E151" s="76" t="str">
        <f t="shared" si="53"/>
        <v/>
      </c>
      <c r="F151" s="155" t="str">
        <f t="shared" si="41"/>
        <v/>
      </c>
      <c r="G151" s="204" t="str">
        <f t="shared" si="42"/>
        <v/>
      </c>
      <c r="H151" s="156" t="str">
        <f t="shared" si="43"/>
        <v/>
      </c>
      <c r="I151" s="155" t="str">
        <f t="shared" si="44"/>
        <v/>
      </c>
      <c r="J151" s="184">
        <f t="shared" ca="1" si="45"/>
        <v>999999</v>
      </c>
      <c r="K151" s="184">
        <f>IF(OR(ISBLANK('Etape 1'!E146),ISBLANK('Etape 1'!F146)),IF(AND(ISBLANK('Etape 1'!B146),ISBLANK('Etape 1'!C146),ISBLANK('Etape 1'!D146),ISBLANK('Etape 1'!E146),ISBLANK('Etape 1'!F146),ISBLANK('Etape 1'!G146),ISBLANK('Etape 1'!H146)),999,9999),IF(VLOOKUP($C151,Matrix_Berechnungen1.Rang.Pumpendaten.Zwischenresultate,$C$9,0)&gt;0,VLOOKUP($C151,Matrix_Berechnungen1.Rang.Pumpendaten.Zwischenresultate,K$9,0),""))</f>
        <v>999</v>
      </c>
      <c r="L151" s="184">
        <f t="shared" ca="1" si="54"/>
        <v>139</v>
      </c>
      <c r="M151" s="184">
        <f t="shared" ca="1" si="54"/>
        <v>0</v>
      </c>
      <c r="N151" s="84"/>
      <c r="O151" s="84"/>
      <c r="P151" s="84"/>
      <c r="Q151" s="69" t="str">
        <f t="shared" si="46"/>
        <v/>
      </c>
      <c r="R151" s="84"/>
      <c r="S151" s="65" t="str">
        <f t="shared" si="47"/>
        <v/>
      </c>
      <c r="T151" s="69" t="str">
        <f t="shared" si="48"/>
        <v/>
      </c>
      <c r="U151" s="84"/>
      <c r="V151" s="65" t="str">
        <f t="shared" si="49"/>
        <v/>
      </c>
      <c r="W151" s="108"/>
      <c r="X151" s="108"/>
      <c r="Y151" s="108"/>
      <c r="Z151" s="110" t="str">
        <f t="shared" si="50"/>
        <v/>
      </c>
      <c r="AA151" s="199">
        <f>IF(ISERROR('Berechnungen 2'!AR354),"",'Berechnungen 2'!AR354)</f>
        <v>0</v>
      </c>
      <c r="AB151" s="200">
        <f>IF(ISERROR('Berechnungen 2'!AS354),"",'Berechnungen 2'!AS354)</f>
        <v>0</v>
      </c>
      <c r="AC151" s="200">
        <f>IF(ISERROR('Berechnungen 2'!AT354),"",'Berechnungen 2'!AT354)</f>
        <v>0</v>
      </c>
      <c r="AD151" s="199">
        <f>IF(ISERROR('Berechnungen 2'!BE354),"",'Berechnungen 2'!BE354)</f>
        <v>0</v>
      </c>
      <c r="AE151" s="200">
        <f>IF(ISERROR('Berechnungen 2'!BF354),"",'Berechnungen 2'!BF354)</f>
        <v>0</v>
      </c>
      <c r="AF151" s="200">
        <f>IF(ISERROR('Berechnungen 2'!BG354),"",'Berechnungen 2'!BG354)</f>
        <v>0</v>
      </c>
      <c r="AG151" s="199" t="str">
        <f>IF(ISNUMBER(A151),IF(ISERROR('Berechnungen 2'!BK354),"",'Berechnungen 2'!BK354),"")</f>
        <v/>
      </c>
      <c r="AH151" s="200">
        <f>IF(ISERROR('Berechnungen 2'!BL354),"",'Berechnungen 2'!BL354)</f>
        <v>0</v>
      </c>
      <c r="AI151" s="200">
        <f>IF(ISERROR('Berechnungen 2'!BM354),"",'Berechnungen 2'!BM354)</f>
        <v>0</v>
      </c>
    </row>
    <row r="152" spans="1:35" x14ac:dyDescent="0.2">
      <c r="A152" s="71" t="str">
        <f t="shared" si="55"/>
        <v/>
      </c>
      <c r="B152" s="193">
        <f t="shared" si="56"/>
        <v>140</v>
      </c>
      <c r="C152" s="192">
        <f ca="1">IF(ISERROR(LARGE('Berechnungen 1'!$A$12:$A$311,B152)),"",LARGE('Berechnungen 1'!$A$12:$A$311,B152))</f>
        <v>161</v>
      </c>
      <c r="D152" s="76" t="str">
        <f t="shared" si="53"/>
        <v/>
      </c>
      <c r="E152" s="76" t="str">
        <f t="shared" si="53"/>
        <v/>
      </c>
      <c r="F152" s="155" t="str">
        <f t="shared" si="41"/>
        <v/>
      </c>
      <c r="G152" s="204" t="str">
        <f t="shared" si="42"/>
        <v/>
      </c>
      <c r="H152" s="156" t="str">
        <f t="shared" si="43"/>
        <v/>
      </c>
      <c r="I152" s="155" t="str">
        <f t="shared" si="44"/>
        <v/>
      </c>
      <c r="J152" s="184">
        <f t="shared" ca="1" si="45"/>
        <v>999999</v>
      </c>
      <c r="K152" s="184">
        <f>IF(OR(ISBLANK('Etape 1'!E147),ISBLANK('Etape 1'!F147)),IF(AND(ISBLANK('Etape 1'!B147),ISBLANK('Etape 1'!C147),ISBLANK('Etape 1'!D147),ISBLANK('Etape 1'!E147),ISBLANK('Etape 1'!F147),ISBLANK('Etape 1'!G147),ISBLANK('Etape 1'!H147)),999,9999),IF(VLOOKUP($C152,Matrix_Berechnungen1.Rang.Pumpendaten.Zwischenresultate,$C$9,0)&gt;0,VLOOKUP($C152,Matrix_Berechnungen1.Rang.Pumpendaten.Zwischenresultate,K$9,0),""))</f>
        <v>999</v>
      </c>
      <c r="L152" s="184">
        <f t="shared" ca="1" si="54"/>
        <v>140</v>
      </c>
      <c r="M152" s="184">
        <f t="shared" ca="1" si="54"/>
        <v>0</v>
      </c>
      <c r="N152" s="84"/>
      <c r="O152" s="84"/>
      <c r="P152" s="84"/>
      <c r="Q152" s="69" t="str">
        <f t="shared" si="46"/>
        <v/>
      </c>
      <c r="R152" s="84"/>
      <c r="S152" s="65" t="str">
        <f t="shared" si="47"/>
        <v/>
      </c>
      <c r="T152" s="69" t="str">
        <f t="shared" si="48"/>
        <v/>
      </c>
      <c r="U152" s="84"/>
      <c r="V152" s="65" t="str">
        <f t="shared" si="49"/>
        <v/>
      </c>
      <c r="W152" s="108"/>
      <c r="X152" s="108"/>
      <c r="Y152" s="108"/>
      <c r="Z152" s="110" t="str">
        <f t="shared" si="50"/>
        <v/>
      </c>
      <c r="AA152" s="199">
        <f>IF(ISERROR('Berechnungen 2'!AR355),"",'Berechnungen 2'!AR355)</f>
        <v>0</v>
      </c>
      <c r="AB152" s="200">
        <f>IF(ISERROR('Berechnungen 2'!AS355),"",'Berechnungen 2'!AS355)</f>
        <v>0</v>
      </c>
      <c r="AC152" s="200">
        <f>IF(ISERROR('Berechnungen 2'!AT355),"",'Berechnungen 2'!AT355)</f>
        <v>0</v>
      </c>
      <c r="AD152" s="199">
        <f>IF(ISERROR('Berechnungen 2'!BE355),"",'Berechnungen 2'!BE355)</f>
        <v>0</v>
      </c>
      <c r="AE152" s="200">
        <f>IF(ISERROR('Berechnungen 2'!BF355),"",'Berechnungen 2'!BF355)</f>
        <v>0</v>
      </c>
      <c r="AF152" s="200">
        <f>IF(ISERROR('Berechnungen 2'!BG355),"",'Berechnungen 2'!BG355)</f>
        <v>0</v>
      </c>
      <c r="AG152" s="199" t="str">
        <f>IF(ISNUMBER(A152),IF(ISERROR('Berechnungen 2'!BK355),"",'Berechnungen 2'!BK355),"")</f>
        <v/>
      </c>
      <c r="AH152" s="200">
        <f>IF(ISERROR('Berechnungen 2'!BL355),"",'Berechnungen 2'!BL355)</f>
        <v>0</v>
      </c>
      <c r="AI152" s="200">
        <f>IF(ISERROR('Berechnungen 2'!BM355),"",'Berechnungen 2'!BM355)</f>
        <v>0</v>
      </c>
    </row>
    <row r="153" spans="1:35" x14ac:dyDescent="0.2">
      <c r="A153" s="71" t="str">
        <f t="shared" si="55"/>
        <v/>
      </c>
      <c r="B153" s="193">
        <f t="shared" si="56"/>
        <v>141</v>
      </c>
      <c r="C153" s="192">
        <f ca="1">IF(ISERROR(LARGE('Berechnungen 1'!$A$12:$A$311,B153)),"",LARGE('Berechnungen 1'!$A$12:$A$311,B153))</f>
        <v>160</v>
      </c>
      <c r="D153" s="76" t="str">
        <f t="shared" ref="D153:E172" si="57">IF(ISNUMBER($A153),IF(VLOOKUP($C153,Matrix_Berechnungen1.Rang.Pumpendaten.Zwischenresultate,$C$9,0)&gt;0,IF(VLOOKUP($C153,Matrix_Berechnungen1.Rang.Pumpendaten.Zwischenresultate,D$9,0)=0,"",VLOOKUP($C153,Matrix_Berechnungen1.Rang.Pumpendaten.Zwischenresultate,D$9,0)),""),"")</f>
        <v/>
      </c>
      <c r="E153" s="76" t="str">
        <f t="shared" si="57"/>
        <v/>
      </c>
      <c r="F153" s="155" t="str">
        <f t="shared" si="41"/>
        <v/>
      </c>
      <c r="G153" s="204" t="str">
        <f t="shared" si="42"/>
        <v/>
      </c>
      <c r="H153" s="156" t="str">
        <f t="shared" si="43"/>
        <v/>
      </c>
      <c r="I153" s="155" t="str">
        <f t="shared" si="44"/>
        <v/>
      </c>
      <c r="J153" s="184">
        <f t="shared" ca="1" si="45"/>
        <v>999999</v>
      </c>
      <c r="K153" s="184">
        <f>IF(OR(ISBLANK('Etape 1'!E148),ISBLANK('Etape 1'!F148)),IF(AND(ISBLANK('Etape 1'!B148),ISBLANK('Etape 1'!C148),ISBLANK('Etape 1'!D148),ISBLANK('Etape 1'!E148),ISBLANK('Etape 1'!F148),ISBLANK('Etape 1'!G148),ISBLANK('Etape 1'!H148)),999,9999),IF(VLOOKUP($C153,Matrix_Berechnungen1.Rang.Pumpendaten.Zwischenresultate,$C$9,0)&gt;0,VLOOKUP($C153,Matrix_Berechnungen1.Rang.Pumpendaten.Zwischenresultate,K$9,0),""))</f>
        <v>999</v>
      </c>
      <c r="L153" s="184">
        <f t="shared" ref="L153:M172" ca="1" si="58">IF(VLOOKUP($C153,Matrix_Berechnungen1.Rang.Pumpendaten.Zwischenresultate,$C$9,0)&gt;0,VLOOKUP($C153,Matrix_Berechnungen1.Rang.Pumpendaten.Zwischenresultate,L$9,0),"")</f>
        <v>141</v>
      </c>
      <c r="M153" s="184">
        <f t="shared" ca="1" si="58"/>
        <v>0</v>
      </c>
      <c r="N153" s="84"/>
      <c r="O153" s="84"/>
      <c r="P153" s="84"/>
      <c r="Q153" s="69" t="str">
        <f t="shared" si="46"/>
        <v/>
      </c>
      <c r="R153" s="84"/>
      <c r="S153" s="65" t="str">
        <f t="shared" si="47"/>
        <v/>
      </c>
      <c r="T153" s="69" t="str">
        <f t="shared" si="48"/>
        <v/>
      </c>
      <c r="U153" s="84"/>
      <c r="V153" s="65" t="str">
        <f t="shared" si="49"/>
        <v/>
      </c>
      <c r="W153" s="108"/>
      <c r="X153" s="108"/>
      <c r="Y153" s="108"/>
      <c r="Z153" s="110" t="str">
        <f t="shared" si="50"/>
        <v/>
      </c>
      <c r="AA153" s="199">
        <f>IF(ISERROR('Berechnungen 2'!AR356),"",'Berechnungen 2'!AR356)</f>
        <v>0</v>
      </c>
      <c r="AB153" s="200">
        <f>IF(ISERROR('Berechnungen 2'!AS356),"",'Berechnungen 2'!AS356)</f>
        <v>0</v>
      </c>
      <c r="AC153" s="200">
        <f>IF(ISERROR('Berechnungen 2'!AT356),"",'Berechnungen 2'!AT356)</f>
        <v>0</v>
      </c>
      <c r="AD153" s="199">
        <f>IF(ISERROR('Berechnungen 2'!BE356),"",'Berechnungen 2'!BE356)</f>
        <v>0</v>
      </c>
      <c r="AE153" s="200">
        <f>IF(ISERROR('Berechnungen 2'!BF356),"",'Berechnungen 2'!BF356)</f>
        <v>0</v>
      </c>
      <c r="AF153" s="200">
        <f>IF(ISERROR('Berechnungen 2'!BG356),"",'Berechnungen 2'!BG356)</f>
        <v>0</v>
      </c>
      <c r="AG153" s="199" t="str">
        <f>IF(ISNUMBER(A153),IF(ISERROR('Berechnungen 2'!BK356),"",'Berechnungen 2'!BK356),"")</f>
        <v/>
      </c>
      <c r="AH153" s="200">
        <f>IF(ISERROR('Berechnungen 2'!BL356),"",'Berechnungen 2'!BL356)</f>
        <v>0</v>
      </c>
      <c r="AI153" s="200">
        <f>IF(ISERROR('Berechnungen 2'!BM356),"",'Berechnungen 2'!BM356)</f>
        <v>0</v>
      </c>
    </row>
    <row r="154" spans="1:35" x14ac:dyDescent="0.2">
      <c r="A154" s="71" t="str">
        <f t="shared" si="55"/>
        <v/>
      </c>
      <c r="B154" s="193">
        <f t="shared" si="56"/>
        <v>142</v>
      </c>
      <c r="C154" s="192">
        <f ca="1">IF(ISERROR(LARGE('Berechnungen 1'!$A$12:$A$311,B154)),"",LARGE('Berechnungen 1'!$A$12:$A$311,B154))</f>
        <v>159</v>
      </c>
      <c r="D154" s="76" t="str">
        <f t="shared" si="57"/>
        <v/>
      </c>
      <c r="E154" s="76" t="str">
        <f t="shared" si="57"/>
        <v/>
      </c>
      <c r="F154" s="155" t="str">
        <f t="shared" si="41"/>
        <v/>
      </c>
      <c r="G154" s="204" t="str">
        <f t="shared" si="42"/>
        <v/>
      </c>
      <c r="H154" s="156" t="str">
        <f t="shared" si="43"/>
        <v/>
      </c>
      <c r="I154" s="155" t="str">
        <f t="shared" si="44"/>
        <v/>
      </c>
      <c r="J154" s="184">
        <f t="shared" ca="1" si="45"/>
        <v>999999</v>
      </c>
      <c r="K154" s="184">
        <f>IF(OR(ISBLANK('Etape 1'!E149),ISBLANK('Etape 1'!F149)),IF(AND(ISBLANK('Etape 1'!B149),ISBLANK('Etape 1'!C149),ISBLANK('Etape 1'!D149),ISBLANK('Etape 1'!E149),ISBLANK('Etape 1'!F149),ISBLANK('Etape 1'!G149),ISBLANK('Etape 1'!H149)),999,9999),IF(VLOOKUP($C154,Matrix_Berechnungen1.Rang.Pumpendaten.Zwischenresultate,$C$9,0)&gt;0,VLOOKUP($C154,Matrix_Berechnungen1.Rang.Pumpendaten.Zwischenresultate,K$9,0),""))</f>
        <v>999</v>
      </c>
      <c r="L154" s="184">
        <f t="shared" ca="1" si="58"/>
        <v>142</v>
      </c>
      <c r="M154" s="184">
        <f t="shared" ca="1" si="58"/>
        <v>0</v>
      </c>
      <c r="N154" s="84"/>
      <c r="O154" s="84"/>
      <c r="P154" s="84"/>
      <c r="Q154" s="69" t="str">
        <f t="shared" si="46"/>
        <v/>
      </c>
      <c r="R154" s="84"/>
      <c r="S154" s="65" t="str">
        <f t="shared" si="47"/>
        <v/>
      </c>
      <c r="T154" s="69" t="str">
        <f t="shared" si="48"/>
        <v/>
      </c>
      <c r="U154" s="84"/>
      <c r="V154" s="65" t="str">
        <f t="shared" si="49"/>
        <v/>
      </c>
      <c r="W154" s="108"/>
      <c r="X154" s="108"/>
      <c r="Y154" s="108"/>
      <c r="Z154" s="110" t="str">
        <f t="shared" si="50"/>
        <v/>
      </c>
      <c r="AA154" s="199">
        <f>IF(ISERROR('Berechnungen 2'!AR357),"",'Berechnungen 2'!AR357)</f>
        <v>0</v>
      </c>
      <c r="AB154" s="200">
        <f>IF(ISERROR('Berechnungen 2'!AS357),"",'Berechnungen 2'!AS357)</f>
        <v>0</v>
      </c>
      <c r="AC154" s="200">
        <f>IF(ISERROR('Berechnungen 2'!AT357),"",'Berechnungen 2'!AT357)</f>
        <v>0</v>
      </c>
      <c r="AD154" s="199">
        <f>IF(ISERROR('Berechnungen 2'!BE357),"",'Berechnungen 2'!BE357)</f>
        <v>0</v>
      </c>
      <c r="AE154" s="200">
        <f>IF(ISERROR('Berechnungen 2'!BF357),"",'Berechnungen 2'!BF357)</f>
        <v>0</v>
      </c>
      <c r="AF154" s="200">
        <f>IF(ISERROR('Berechnungen 2'!BG357),"",'Berechnungen 2'!BG357)</f>
        <v>0</v>
      </c>
      <c r="AG154" s="199" t="str">
        <f>IF(ISNUMBER(A154),IF(ISERROR('Berechnungen 2'!BK357),"",'Berechnungen 2'!BK357),"")</f>
        <v/>
      </c>
      <c r="AH154" s="200">
        <f>IF(ISERROR('Berechnungen 2'!BL357),"",'Berechnungen 2'!BL357)</f>
        <v>0</v>
      </c>
      <c r="AI154" s="200">
        <f>IF(ISERROR('Berechnungen 2'!BM357),"",'Berechnungen 2'!BM357)</f>
        <v>0</v>
      </c>
    </row>
    <row r="155" spans="1:35" x14ac:dyDescent="0.2">
      <c r="A155" s="71" t="str">
        <f t="shared" si="55"/>
        <v/>
      </c>
      <c r="B155" s="193">
        <f t="shared" si="56"/>
        <v>143</v>
      </c>
      <c r="C155" s="192">
        <f ca="1">IF(ISERROR(LARGE('Berechnungen 1'!$A$12:$A$311,B155)),"",LARGE('Berechnungen 1'!$A$12:$A$311,B155))</f>
        <v>158</v>
      </c>
      <c r="D155" s="76" t="str">
        <f t="shared" si="57"/>
        <v/>
      </c>
      <c r="E155" s="76" t="str">
        <f t="shared" si="57"/>
        <v/>
      </c>
      <c r="F155" s="155" t="str">
        <f t="shared" si="41"/>
        <v/>
      </c>
      <c r="G155" s="204" t="str">
        <f t="shared" si="42"/>
        <v/>
      </c>
      <c r="H155" s="156" t="str">
        <f t="shared" si="43"/>
        <v/>
      </c>
      <c r="I155" s="155" t="str">
        <f t="shared" si="44"/>
        <v/>
      </c>
      <c r="J155" s="184">
        <f t="shared" ca="1" si="45"/>
        <v>999999</v>
      </c>
      <c r="K155" s="184">
        <f>IF(OR(ISBLANK('Etape 1'!E150),ISBLANK('Etape 1'!F150)),IF(AND(ISBLANK('Etape 1'!B150),ISBLANK('Etape 1'!C150),ISBLANK('Etape 1'!D150),ISBLANK('Etape 1'!E150),ISBLANK('Etape 1'!F150),ISBLANK('Etape 1'!G150),ISBLANK('Etape 1'!H150)),999,9999),IF(VLOOKUP($C155,Matrix_Berechnungen1.Rang.Pumpendaten.Zwischenresultate,$C$9,0)&gt;0,VLOOKUP($C155,Matrix_Berechnungen1.Rang.Pumpendaten.Zwischenresultate,K$9,0),""))</f>
        <v>999</v>
      </c>
      <c r="L155" s="184">
        <f t="shared" ca="1" si="58"/>
        <v>143</v>
      </c>
      <c r="M155" s="184">
        <f t="shared" ca="1" si="58"/>
        <v>0</v>
      </c>
      <c r="N155" s="84"/>
      <c r="O155" s="84"/>
      <c r="P155" s="84"/>
      <c r="Q155" s="69" t="str">
        <f t="shared" si="46"/>
        <v/>
      </c>
      <c r="R155" s="84"/>
      <c r="S155" s="65" t="str">
        <f t="shared" si="47"/>
        <v/>
      </c>
      <c r="T155" s="69" t="str">
        <f t="shared" si="48"/>
        <v/>
      </c>
      <c r="U155" s="84"/>
      <c r="V155" s="65" t="str">
        <f t="shared" si="49"/>
        <v/>
      </c>
      <c r="W155" s="108"/>
      <c r="X155" s="108"/>
      <c r="Y155" s="108"/>
      <c r="Z155" s="110" t="str">
        <f t="shared" si="50"/>
        <v/>
      </c>
      <c r="AA155" s="199">
        <f>IF(ISERROR('Berechnungen 2'!AR358),"",'Berechnungen 2'!AR358)</f>
        <v>0</v>
      </c>
      <c r="AB155" s="200">
        <f>IF(ISERROR('Berechnungen 2'!AS358),"",'Berechnungen 2'!AS358)</f>
        <v>0</v>
      </c>
      <c r="AC155" s="200">
        <f>IF(ISERROR('Berechnungen 2'!AT358),"",'Berechnungen 2'!AT358)</f>
        <v>0</v>
      </c>
      <c r="AD155" s="199">
        <f>IF(ISERROR('Berechnungen 2'!BE358),"",'Berechnungen 2'!BE358)</f>
        <v>0</v>
      </c>
      <c r="AE155" s="200">
        <f>IF(ISERROR('Berechnungen 2'!BF358),"",'Berechnungen 2'!BF358)</f>
        <v>0</v>
      </c>
      <c r="AF155" s="200">
        <f>IF(ISERROR('Berechnungen 2'!BG358),"",'Berechnungen 2'!BG358)</f>
        <v>0</v>
      </c>
      <c r="AG155" s="199" t="str">
        <f>IF(ISNUMBER(A155),IF(ISERROR('Berechnungen 2'!BK358),"",'Berechnungen 2'!BK358),"")</f>
        <v/>
      </c>
      <c r="AH155" s="200">
        <f>IF(ISERROR('Berechnungen 2'!BL358),"",'Berechnungen 2'!BL358)</f>
        <v>0</v>
      </c>
      <c r="AI155" s="200">
        <f>IF(ISERROR('Berechnungen 2'!BM358),"",'Berechnungen 2'!BM358)</f>
        <v>0</v>
      </c>
    </row>
    <row r="156" spans="1:35" x14ac:dyDescent="0.2">
      <c r="A156" s="71" t="str">
        <f t="shared" si="55"/>
        <v/>
      </c>
      <c r="B156" s="193">
        <f t="shared" si="56"/>
        <v>144</v>
      </c>
      <c r="C156" s="192">
        <f ca="1">IF(ISERROR(LARGE('Berechnungen 1'!$A$12:$A$311,B156)),"",LARGE('Berechnungen 1'!$A$12:$A$311,B156))</f>
        <v>157</v>
      </c>
      <c r="D156" s="76" t="str">
        <f t="shared" si="57"/>
        <v/>
      </c>
      <c r="E156" s="76" t="str">
        <f t="shared" si="57"/>
        <v/>
      </c>
      <c r="F156" s="155" t="str">
        <f t="shared" si="41"/>
        <v/>
      </c>
      <c r="G156" s="204" t="str">
        <f t="shared" si="42"/>
        <v/>
      </c>
      <c r="H156" s="156" t="str">
        <f t="shared" si="43"/>
        <v/>
      </c>
      <c r="I156" s="155" t="str">
        <f t="shared" si="44"/>
        <v/>
      </c>
      <c r="J156" s="184">
        <f t="shared" ca="1" si="45"/>
        <v>999999</v>
      </c>
      <c r="K156" s="184">
        <f>IF(OR(ISBLANK('Etape 1'!E151),ISBLANK('Etape 1'!F151)),IF(AND(ISBLANK('Etape 1'!B151),ISBLANK('Etape 1'!C151),ISBLANK('Etape 1'!D151),ISBLANK('Etape 1'!E151),ISBLANK('Etape 1'!F151),ISBLANK('Etape 1'!G151),ISBLANK('Etape 1'!H151)),999,9999),IF(VLOOKUP($C156,Matrix_Berechnungen1.Rang.Pumpendaten.Zwischenresultate,$C$9,0)&gt;0,VLOOKUP($C156,Matrix_Berechnungen1.Rang.Pumpendaten.Zwischenresultate,K$9,0),""))</f>
        <v>999</v>
      </c>
      <c r="L156" s="184">
        <f t="shared" ca="1" si="58"/>
        <v>144</v>
      </c>
      <c r="M156" s="184">
        <f t="shared" ca="1" si="58"/>
        <v>0</v>
      </c>
      <c r="N156" s="84"/>
      <c r="O156" s="84"/>
      <c r="P156" s="84"/>
      <c r="Q156" s="69" t="str">
        <f t="shared" si="46"/>
        <v/>
      </c>
      <c r="R156" s="84"/>
      <c r="S156" s="65" t="str">
        <f t="shared" si="47"/>
        <v/>
      </c>
      <c r="T156" s="69" t="str">
        <f t="shared" si="48"/>
        <v/>
      </c>
      <c r="U156" s="84"/>
      <c r="V156" s="65" t="str">
        <f t="shared" si="49"/>
        <v/>
      </c>
      <c r="W156" s="108"/>
      <c r="X156" s="108"/>
      <c r="Y156" s="108"/>
      <c r="Z156" s="110" t="str">
        <f t="shared" si="50"/>
        <v/>
      </c>
      <c r="AA156" s="199">
        <f>IF(ISERROR('Berechnungen 2'!AR359),"",'Berechnungen 2'!AR359)</f>
        <v>0</v>
      </c>
      <c r="AB156" s="200">
        <f>IF(ISERROR('Berechnungen 2'!AS359),"",'Berechnungen 2'!AS359)</f>
        <v>0</v>
      </c>
      <c r="AC156" s="200">
        <f>IF(ISERROR('Berechnungen 2'!AT359),"",'Berechnungen 2'!AT359)</f>
        <v>0</v>
      </c>
      <c r="AD156" s="199">
        <f>IF(ISERROR('Berechnungen 2'!BE359),"",'Berechnungen 2'!BE359)</f>
        <v>0</v>
      </c>
      <c r="AE156" s="200">
        <f>IF(ISERROR('Berechnungen 2'!BF359),"",'Berechnungen 2'!BF359)</f>
        <v>0</v>
      </c>
      <c r="AF156" s="200">
        <f>IF(ISERROR('Berechnungen 2'!BG359),"",'Berechnungen 2'!BG359)</f>
        <v>0</v>
      </c>
      <c r="AG156" s="199" t="str">
        <f>IF(ISNUMBER(A156),IF(ISERROR('Berechnungen 2'!BK359),"",'Berechnungen 2'!BK359),"")</f>
        <v/>
      </c>
      <c r="AH156" s="200">
        <f>IF(ISERROR('Berechnungen 2'!BL359),"",'Berechnungen 2'!BL359)</f>
        <v>0</v>
      </c>
      <c r="AI156" s="200">
        <f>IF(ISERROR('Berechnungen 2'!BM359),"",'Berechnungen 2'!BM359)</f>
        <v>0</v>
      </c>
    </row>
    <row r="157" spans="1:35" x14ac:dyDescent="0.2">
      <c r="A157" s="71" t="str">
        <f t="shared" si="55"/>
        <v/>
      </c>
      <c r="B157" s="193">
        <f t="shared" si="56"/>
        <v>145</v>
      </c>
      <c r="C157" s="192">
        <f ca="1">IF(ISERROR(LARGE('Berechnungen 1'!$A$12:$A$311,B157)),"",LARGE('Berechnungen 1'!$A$12:$A$311,B157))</f>
        <v>156</v>
      </c>
      <c r="D157" s="76" t="str">
        <f t="shared" si="57"/>
        <v/>
      </c>
      <c r="E157" s="76" t="str">
        <f t="shared" si="57"/>
        <v/>
      </c>
      <c r="F157" s="155" t="str">
        <f t="shared" si="41"/>
        <v/>
      </c>
      <c r="G157" s="204" t="str">
        <f t="shared" si="42"/>
        <v/>
      </c>
      <c r="H157" s="156" t="str">
        <f t="shared" si="43"/>
        <v/>
      </c>
      <c r="I157" s="155" t="str">
        <f t="shared" si="44"/>
        <v/>
      </c>
      <c r="J157" s="184">
        <f t="shared" ca="1" si="45"/>
        <v>999999</v>
      </c>
      <c r="K157" s="184">
        <f>IF(OR(ISBLANK('Etape 1'!E152),ISBLANK('Etape 1'!F152)),IF(AND(ISBLANK('Etape 1'!B152),ISBLANK('Etape 1'!C152),ISBLANK('Etape 1'!D152),ISBLANK('Etape 1'!E152),ISBLANK('Etape 1'!F152),ISBLANK('Etape 1'!G152),ISBLANK('Etape 1'!H152)),999,9999),IF(VLOOKUP($C157,Matrix_Berechnungen1.Rang.Pumpendaten.Zwischenresultate,$C$9,0)&gt;0,VLOOKUP($C157,Matrix_Berechnungen1.Rang.Pumpendaten.Zwischenresultate,K$9,0),""))</f>
        <v>999</v>
      </c>
      <c r="L157" s="184">
        <f t="shared" ca="1" si="58"/>
        <v>145</v>
      </c>
      <c r="M157" s="184">
        <f t="shared" ca="1" si="58"/>
        <v>0</v>
      </c>
      <c r="N157" s="84"/>
      <c r="O157" s="84"/>
      <c r="P157" s="84"/>
      <c r="Q157" s="69" t="str">
        <f t="shared" si="46"/>
        <v/>
      </c>
      <c r="R157" s="84"/>
      <c r="S157" s="65" t="str">
        <f t="shared" si="47"/>
        <v/>
      </c>
      <c r="T157" s="69" t="str">
        <f t="shared" si="48"/>
        <v/>
      </c>
      <c r="U157" s="84"/>
      <c r="V157" s="65" t="str">
        <f t="shared" si="49"/>
        <v/>
      </c>
      <c r="W157" s="108"/>
      <c r="X157" s="108"/>
      <c r="Y157" s="108"/>
      <c r="Z157" s="110" t="str">
        <f t="shared" si="50"/>
        <v/>
      </c>
      <c r="AA157" s="199">
        <f>IF(ISERROR('Berechnungen 2'!AR360),"",'Berechnungen 2'!AR360)</f>
        <v>0</v>
      </c>
      <c r="AB157" s="200">
        <f>IF(ISERROR('Berechnungen 2'!AS360),"",'Berechnungen 2'!AS360)</f>
        <v>0</v>
      </c>
      <c r="AC157" s="200">
        <f>IF(ISERROR('Berechnungen 2'!AT360),"",'Berechnungen 2'!AT360)</f>
        <v>0</v>
      </c>
      <c r="AD157" s="199">
        <f>IF(ISERROR('Berechnungen 2'!BE360),"",'Berechnungen 2'!BE360)</f>
        <v>0</v>
      </c>
      <c r="AE157" s="200">
        <f>IF(ISERROR('Berechnungen 2'!BF360),"",'Berechnungen 2'!BF360)</f>
        <v>0</v>
      </c>
      <c r="AF157" s="200">
        <f>IF(ISERROR('Berechnungen 2'!BG360),"",'Berechnungen 2'!BG360)</f>
        <v>0</v>
      </c>
      <c r="AG157" s="199" t="str">
        <f>IF(ISNUMBER(A157),IF(ISERROR('Berechnungen 2'!BK360),"",'Berechnungen 2'!BK360),"")</f>
        <v/>
      </c>
      <c r="AH157" s="200">
        <f>IF(ISERROR('Berechnungen 2'!BL360),"",'Berechnungen 2'!BL360)</f>
        <v>0</v>
      </c>
      <c r="AI157" s="200">
        <f>IF(ISERROR('Berechnungen 2'!BM360),"",'Berechnungen 2'!BM360)</f>
        <v>0</v>
      </c>
    </row>
    <row r="158" spans="1:35" x14ac:dyDescent="0.2">
      <c r="A158" s="71" t="str">
        <f t="shared" si="55"/>
        <v/>
      </c>
      <c r="B158" s="193">
        <f t="shared" si="56"/>
        <v>146</v>
      </c>
      <c r="C158" s="192">
        <f ca="1">IF(ISERROR(LARGE('Berechnungen 1'!$A$12:$A$311,B158)),"",LARGE('Berechnungen 1'!$A$12:$A$311,B158))</f>
        <v>155</v>
      </c>
      <c r="D158" s="76" t="str">
        <f t="shared" si="57"/>
        <v/>
      </c>
      <c r="E158" s="76" t="str">
        <f t="shared" si="57"/>
        <v/>
      </c>
      <c r="F158" s="155" t="str">
        <f t="shared" si="41"/>
        <v/>
      </c>
      <c r="G158" s="204" t="str">
        <f t="shared" si="42"/>
        <v/>
      </c>
      <c r="H158" s="156" t="str">
        <f t="shared" si="43"/>
        <v/>
      </c>
      <c r="I158" s="155" t="str">
        <f t="shared" si="44"/>
        <v/>
      </c>
      <c r="J158" s="184">
        <f t="shared" ca="1" si="45"/>
        <v>999999</v>
      </c>
      <c r="K158" s="184">
        <f>IF(OR(ISBLANK('Etape 1'!E153),ISBLANK('Etape 1'!F153)),IF(AND(ISBLANK('Etape 1'!B153),ISBLANK('Etape 1'!C153),ISBLANK('Etape 1'!D153),ISBLANK('Etape 1'!E153),ISBLANK('Etape 1'!F153),ISBLANK('Etape 1'!G153),ISBLANK('Etape 1'!H153)),999,9999),IF(VLOOKUP($C158,Matrix_Berechnungen1.Rang.Pumpendaten.Zwischenresultate,$C$9,0)&gt;0,VLOOKUP($C158,Matrix_Berechnungen1.Rang.Pumpendaten.Zwischenresultate,K$9,0),""))</f>
        <v>999</v>
      </c>
      <c r="L158" s="184">
        <f t="shared" ca="1" si="58"/>
        <v>146</v>
      </c>
      <c r="M158" s="184">
        <f t="shared" ca="1" si="58"/>
        <v>0</v>
      </c>
      <c r="N158" s="84"/>
      <c r="O158" s="84"/>
      <c r="P158" s="84"/>
      <c r="Q158" s="69" t="str">
        <f t="shared" si="46"/>
        <v/>
      </c>
      <c r="R158" s="84"/>
      <c r="S158" s="65" t="str">
        <f t="shared" si="47"/>
        <v/>
      </c>
      <c r="T158" s="69" t="str">
        <f t="shared" si="48"/>
        <v/>
      </c>
      <c r="U158" s="84"/>
      <c r="V158" s="65" t="str">
        <f t="shared" si="49"/>
        <v/>
      </c>
      <c r="W158" s="108"/>
      <c r="X158" s="108"/>
      <c r="Y158" s="108"/>
      <c r="Z158" s="110" t="str">
        <f t="shared" si="50"/>
        <v/>
      </c>
      <c r="AA158" s="199">
        <f>IF(ISERROR('Berechnungen 2'!AR361),"",'Berechnungen 2'!AR361)</f>
        <v>0</v>
      </c>
      <c r="AB158" s="200">
        <f>IF(ISERROR('Berechnungen 2'!AS361),"",'Berechnungen 2'!AS361)</f>
        <v>0</v>
      </c>
      <c r="AC158" s="200">
        <f>IF(ISERROR('Berechnungen 2'!AT361),"",'Berechnungen 2'!AT361)</f>
        <v>0</v>
      </c>
      <c r="AD158" s="199">
        <f>IF(ISERROR('Berechnungen 2'!BE361),"",'Berechnungen 2'!BE361)</f>
        <v>0</v>
      </c>
      <c r="AE158" s="200">
        <f>IF(ISERROR('Berechnungen 2'!BF361),"",'Berechnungen 2'!BF361)</f>
        <v>0</v>
      </c>
      <c r="AF158" s="200">
        <f>IF(ISERROR('Berechnungen 2'!BG361),"",'Berechnungen 2'!BG361)</f>
        <v>0</v>
      </c>
      <c r="AG158" s="199" t="str">
        <f>IF(ISNUMBER(A158),IF(ISERROR('Berechnungen 2'!BK361),"",'Berechnungen 2'!BK361),"")</f>
        <v/>
      </c>
      <c r="AH158" s="200">
        <f>IF(ISERROR('Berechnungen 2'!BL361),"",'Berechnungen 2'!BL361)</f>
        <v>0</v>
      </c>
      <c r="AI158" s="200">
        <f>IF(ISERROR('Berechnungen 2'!BM361),"",'Berechnungen 2'!BM361)</f>
        <v>0</v>
      </c>
    </row>
    <row r="159" spans="1:35" x14ac:dyDescent="0.2">
      <c r="A159" s="71" t="str">
        <f t="shared" si="55"/>
        <v/>
      </c>
      <c r="B159" s="193">
        <f t="shared" si="56"/>
        <v>147</v>
      </c>
      <c r="C159" s="192">
        <f ca="1">IF(ISERROR(LARGE('Berechnungen 1'!$A$12:$A$311,B159)),"",LARGE('Berechnungen 1'!$A$12:$A$311,B159))</f>
        <v>154</v>
      </c>
      <c r="D159" s="76" t="str">
        <f t="shared" si="57"/>
        <v/>
      </c>
      <c r="E159" s="76" t="str">
        <f t="shared" si="57"/>
        <v/>
      </c>
      <c r="F159" s="155" t="str">
        <f t="shared" si="41"/>
        <v/>
      </c>
      <c r="G159" s="204" t="str">
        <f t="shared" si="42"/>
        <v/>
      </c>
      <c r="H159" s="156" t="str">
        <f t="shared" si="43"/>
        <v/>
      </c>
      <c r="I159" s="155" t="str">
        <f t="shared" si="44"/>
        <v/>
      </c>
      <c r="J159" s="184">
        <f t="shared" ca="1" si="45"/>
        <v>999999</v>
      </c>
      <c r="K159" s="184">
        <f>IF(OR(ISBLANK('Etape 1'!E154),ISBLANK('Etape 1'!F154)),IF(AND(ISBLANK('Etape 1'!B154),ISBLANK('Etape 1'!C154),ISBLANK('Etape 1'!D154),ISBLANK('Etape 1'!E154),ISBLANK('Etape 1'!F154),ISBLANK('Etape 1'!G154),ISBLANK('Etape 1'!H154)),999,9999),IF(VLOOKUP($C159,Matrix_Berechnungen1.Rang.Pumpendaten.Zwischenresultate,$C$9,0)&gt;0,VLOOKUP($C159,Matrix_Berechnungen1.Rang.Pumpendaten.Zwischenresultate,K$9,0),""))</f>
        <v>999</v>
      </c>
      <c r="L159" s="184">
        <f t="shared" ca="1" si="58"/>
        <v>147</v>
      </c>
      <c r="M159" s="184">
        <f t="shared" ca="1" si="58"/>
        <v>0</v>
      </c>
      <c r="N159" s="84"/>
      <c r="O159" s="84"/>
      <c r="P159" s="84"/>
      <c r="Q159" s="69" t="str">
        <f t="shared" si="46"/>
        <v/>
      </c>
      <c r="R159" s="84"/>
      <c r="S159" s="65" t="str">
        <f t="shared" si="47"/>
        <v/>
      </c>
      <c r="T159" s="69" t="str">
        <f t="shared" si="48"/>
        <v/>
      </c>
      <c r="U159" s="84"/>
      <c r="V159" s="65" t="str">
        <f t="shared" si="49"/>
        <v/>
      </c>
      <c r="W159" s="108"/>
      <c r="X159" s="108"/>
      <c r="Y159" s="108"/>
      <c r="Z159" s="110" t="str">
        <f t="shared" si="50"/>
        <v/>
      </c>
      <c r="AA159" s="199">
        <f>IF(ISERROR('Berechnungen 2'!AR362),"",'Berechnungen 2'!AR362)</f>
        <v>0</v>
      </c>
      <c r="AB159" s="200">
        <f>IF(ISERROR('Berechnungen 2'!AS362),"",'Berechnungen 2'!AS362)</f>
        <v>0</v>
      </c>
      <c r="AC159" s="200">
        <f>IF(ISERROR('Berechnungen 2'!AT362),"",'Berechnungen 2'!AT362)</f>
        <v>0</v>
      </c>
      <c r="AD159" s="199">
        <f>IF(ISERROR('Berechnungen 2'!BE362),"",'Berechnungen 2'!BE362)</f>
        <v>0</v>
      </c>
      <c r="AE159" s="200">
        <f>IF(ISERROR('Berechnungen 2'!BF362),"",'Berechnungen 2'!BF362)</f>
        <v>0</v>
      </c>
      <c r="AF159" s="200">
        <f>IF(ISERROR('Berechnungen 2'!BG362),"",'Berechnungen 2'!BG362)</f>
        <v>0</v>
      </c>
      <c r="AG159" s="199" t="str">
        <f>IF(ISNUMBER(A159),IF(ISERROR('Berechnungen 2'!BK362),"",'Berechnungen 2'!BK362),"")</f>
        <v/>
      </c>
      <c r="AH159" s="200">
        <f>IF(ISERROR('Berechnungen 2'!BL362),"",'Berechnungen 2'!BL362)</f>
        <v>0</v>
      </c>
      <c r="AI159" s="200">
        <f>IF(ISERROR('Berechnungen 2'!BM362),"",'Berechnungen 2'!BM362)</f>
        <v>0</v>
      </c>
    </row>
    <row r="160" spans="1:35" x14ac:dyDescent="0.2">
      <c r="A160" s="71" t="str">
        <f t="shared" si="55"/>
        <v/>
      </c>
      <c r="B160" s="193">
        <f t="shared" si="56"/>
        <v>148</v>
      </c>
      <c r="C160" s="192">
        <f ca="1">IF(ISERROR(LARGE('Berechnungen 1'!$A$12:$A$311,B160)),"",LARGE('Berechnungen 1'!$A$12:$A$311,B160))</f>
        <v>153</v>
      </c>
      <c r="D160" s="76" t="str">
        <f t="shared" si="57"/>
        <v/>
      </c>
      <c r="E160" s="76" t="str">
        <f t="shared" si="57"/>
        <v/>
      </c>
      <c r="F160" s="155" t="str">
        <f t="shared" si="41"/>
        <v/>
      </c>
      <c r="G160" s="204" t="str">
        <f t="shared" si="42"/>
        <v/>
      </c>
      <c r="H160" s="156" t="str">
        <f t="shared" si="43"/>
        <v/>
      </c>
      <c r="I160" s="155" t="str">
        <f t="shared" si="44"/>
        <v/>
      </c>
      <c r="J160" s="184">
        <f t="shared" ca="1" si="45"/>
        <v>999999</v>
      </c>
      <c r="K160" s="184">
        <f>IF(OR(ISBLANK('Etape 1'!E155),ISBLANK('Etape 1'!F155)),IF(AND(ISBLANK('Etape 1'!B155),ISBLANK('Etape 1'!C155),ISBLANK('Etape 1'!D155),ISBLANK('Etape 1'!E155),ISBLANK('Etape 1'!F155),ISBLANK('Etape 1'!G155),ISBLANK('Etape 1'!H155)),999,9999),IF(VLOOKUP($C160,Matrix_Berechnungen1.Rang.Pumpendaten.Zwischenresultate,$C$9,0)&gt;0,VLOOKUP($C160,Matrix_Berechnungen1.Rang.Pumpendaten.Zwischenresultate,K$9,0),""))</f>
        <v>999</v>
      </c>
      <c r="L160" s="184">
        <f t="shared" ca="1" si="58"/>
        <v>148</v>
      </c>
      <c r="M160" s="184">
        <f t="shared" ca="1" si="58"/>
        <v>0</v>
      </c>
      <c r="N160" s="84"/>
      <c r="O160" s="84"/>
      <c r="P160" s="84"/>
      <c r="Q160" s="69" t="str">
        <f t="shared" si="46"/>
        <v/>
      </c>
      <c r="R160" s="84"/>
      <c r="S160" s="65" t="str">
        <f t="shared" si="47"/>
        <v/>
      </c>
      <c r="T160" s="69" t="str">
        <f t="shared" si="48"/>
        <v/>
      </c>
      <c r="U160" s="84"/>
      <c r="V160" s="65" t="str">
        <f t="shared" si="49"/>
        <v/>
      </c>
      <c r="W160" s="108"/>
      <c r="X160" s="108"/>
      <c r="Y160" s="108"/>
      <c r="Z160" s="110" t="str">
        <f t="shared" si="50"/>
        <v/>
      </c>
      <c r="AA160" s="199">
        <f>IF(ISERROR('Berechnungen 2'!AR363),"",'Berechnungen 2'!AR363)</f>
        <v>0</v>
      </c>
      <c r="AB160" s="200">
        <f>IF(ISERROR('Berechnungen 2'!AS363),"",'Berechnungen 2'!AS363)</f>
        <v>0</v>
      </c>
      <c r="AC160" s="200">
        <f>IF(ISERROR('Berechnungen 2'!AT363),"",'Berechnungen 2'!AT363)</f>
        <v>0</v>
      </c>
      <c r="AD160" s="199">
        <f>IF(ISERROR('Berechnungen 2'!BE363),"",'Berechnungen 2'!BE363)</f>
        <v>0</v>
      </c>
      <c r="AE160" s="200">
        <f>IF(ISERROR('Berechnungen 2'!BF363),"",'Berechnungen 2'!BF363)</f>
        <v>0</v>
      </c>
      <c r="AF160" s="200">
        <f>IF(ISERROR('Berechnungen 2'!BG363),"",'Berechnungen 2'!BG363)</f>
        <v>0</v>
      </c>
      <c r="AG160" s="199" t="str">
        <f>IF(ISNUMBER(A160),IF(ISERROR('Berechnungen 2'!BK363),"",'Berechnungen 2'!BK363),"")</f>
        <v/>
      </c>
      <c r="AH160" s="200">
        <f>IF(ISERROR('Berechnungen 2'!BL363),"",'Berechnungen 2'!BL363)</f>
        <v>0</v>
      </c>
      <c r="AI160" s="200">
        <f>IF(ISERROR('Berechnungen 2'!BM363),"",'Berechnungen 2'!BM363)</f>
        <v>0</v>
      </c>
    </row>
    <row r="161" spans="1:35" x14ac:dyDescent="0.2">
      <c r="A161" s="71" t="str">
        <f t="shared" si="55"/>
        <v/>
      </c>
      <c r="B161" s="193">
        <f t="shared" si="56"/>
        <v>149</v>
      </c>
      <c r="C161" s="192">
        <f ca="1">IF(ISERROR(LARGE('Berechnungen 1'!$A$12:$A$311,B161)),"",LARGE('Berechnungen 1'!$A$12:$A$311,B161))</f>
        <v>152</v>
      </c>
      <c r="D161" s="76" t="str">
        <f t="shared" si="57"/>
        <v/>
      </c>
      <c r="E161" s="76" t="str">
        <f t="shared" si="57"/>
        <v/>
      </c>
      <c r="F161" s="155" t="str">
        <f t="shared" si="41"/>
        <v/>
      </c>
      <c r="G161" s="204" t="str">
        <f t="shared" si="42"/>
        <v/>
      </c>
      <c r="H161" s="156" t="str">
        <f t="shared" si="43"/>
        <v/>
      </c>
      <c r="I161" s="155" t="str">
        <f t="shared" si="44"/>
        <v/>
      </c>
      <c r="J161" s="184">
        <f t="shared" ca="1" si="45"/>
        <v>999999</v>
      </c>
      <c r="K161" s="184">
        <f>IF(OR(ISBLANK('Etape 1'!E156),ISBLANK('Etape 1'!F156)),IF(AND(ISBLANK('Etape 1'!B156),ISBLANK('Etape 1'!C156),ISBLANK('Etape 1'!D156),ISBLANK('Etape 1'!E156),ISBLANK('Etape 1'!F156),ISBLANK('Etape 1'!G156),ISBLANK('Etape 1'!H156)),999,9999),IF(VLOOKUP($C161,Matrix_Berechnungen1.Rang.Pumpendaten.Zwischenresultate,$C$9,0)&gt;0,VLOOKUP($C161,Matrix_Berechnungen1.Rang.Pumpendaten.Zwischenresultate,K$9,0),""))</f>
        <v>999</v>
      </c>
      <c r="L161" s="184">
        <f t="shared" ca="1" si="58"/>
        <v>149</v>
      </c>
      <c r="M161" s="184">
        <f t="shared" ca="1" si="58"/>
        <v>0</v>
      </c>
      <c r="N161" s="84"/>
      <c r="O161" s="84"/>
      <c r="P161" s="84"/>
      <c r="Q161" s="69" t="str">
        <f t="shared" si="46"/>
        <v/>
      </c>
      <c r="R161" s="84"/>
      <c r="S161" s="65" t="str">
        <f t="shared" si="47"/>
        <v/>
      </c>
      <c r="T161" s="69" t="str">
        <f t="shared" si="48"/>
        <v/>
      </c>
      <c r="U161" s="84"/>
      <c r="V161" s="65" t="str">
        <f t="shared" si="49"/>
        <v/>
      </c>
      <c r="W161" s="108"/>
      <c r="X161" s="108"/>
      <c r="Y161" s="108"/>
      <c r="Z161" s="110" t="str">
        <f t="shared" si="50"/>
        <v/>
      </c>
      <c r="AA161" s="199">
        <f>IF(ISERROR('Berechnungen 2'!AR364),"",'Berechnungen 2'!AR364)</f>
        <v>0</v>
      </c>
      <c r="AB161" s="200">
        <f>IF(ISERROR('Berechnungen 2'!AS364),"",'Berechnungen 2'!AS364)</f>
        <v>0</v>
      </c>
      <c r="AC161" s="200">
        <f>IF(ISERROR('Berechnungen 2'!AT364),"",'Berechnungen 2'!AT364)</f>
        <v>0</v>
      </c>
      <c r="AD161" s="199">
        <f>IF(ISERROR('Berechnungen 2'!BE364),"",'Berechnungen 2'!BE364)</f>
        <v>0</v>
      </c>
      <c r="AE161" s="200">
        <f>IF(ISERROR('Berechnungen 2'!BF364),"",'Berechnungen 2'!BF364)</f>
        <v>0</v>
      </c>
      <c r="AF161" s="200">
        <f>IF(ISERROR('Berechnungen 2'!BG364),"",'Berechnungen 2'!BG364)</f>
        <v>0</v>
      </c>
      <c r="AG161" s="199" t="str">
        <f>IF(ISNUMBER(A161),IF(ISERROR('Berechnungen 2'!BK364),"",'Berechnungen 2'!BK364),"")</f>
        <v/>
      </c>
      <c r="AH161" s="200">
        <f>IF(ISERROR('Berechnungen 2'!BL364),"",'Berechnungen 2'!BL364)</f>
        <v>0</v>
      </c>
      <c r="AI161" s="200">
        <f>IF(ISERROR('Berechnungen 2'!BM364),"",'Berechnungen 2'!BM364)</f>
        <v>0</v>
      </c>
    </row>
    <row r="162" spans="1:35" x14ac:dyDescent="0.2">
      <c r="A162" s="71" t="str">
        <f t="shared" si="55"/>
        <v/>
      </c>
      <c r="B162" s="193">
        <f t="shared" si="56"/>
        <v>150</v>
      </c>
      <c r="C162" s="192">
        <f ca="1">IF(ISERROR(LARGE('Berechnungen 1'!$A$12:$A$311,B162)),"",LARGE('Berechnungen 1'!$A$12:$A$311,B162))</f>
        <v>151</v>
      </c>
      <c r="D162" s="76" t="str">
        <f t="shared" si="57"/>
        <v/>
      </c>
      <c r="E162" s="76" t="str">
        <f t="shared" si="57"/>
        <v/>
      </c>
      <c r="F162" s="155" t="str">
        <f t="shared" si="41"/>
        <v/>
      </c>
      <c r="G162" s="204" t="str">
        <f t="shared" si="42"/>
        <v/>
      </c>
      <c r="H162" s="156" t="str">
        <f t="shared" si="43"/>
        <v/>
      </c>
      <c r="I162" s="155" t="str">
        <f t="shared" si="44"/>
        <v/>
      </c>
      <c r="J162" s="184">
        <f t="shared" ca="1" si="45"/>
        <v>999999</v>
      </c>
      <c r="K162" s="184">
        <f>IF(OR(ISBLANK('Etape 1'!E157),ISBLANK('Etape 1'!F157)),IF(AND(ISBLANK('Etape 1'!B157),ISBLANK('Etape 1'!C157),ISBLANK('Etape 1'!D157),ISBLANK('Etape 1'!E157),ISBLANK('Etape 1'!F157),ISBLANK('Etape 1'!G157),ISBLANK('Etape 1'!H157)),999,9999),IF(VLOOKUP($C162,Matrix_Berechnungen1.Rang.Pumpendaten.Zwischenresultate,$C$9,0)&gt;0,VLOOKUP($C162,Matrix_Berechnungen1.Rang.Pumpendaten.Zwischenresultate,K$9,0),""))</f>
        <v>999</v>
      </c>
      <c r="L162" s="184">
        <f t="shared" ca="1" si="58"/>
        <v>150</v>
      </c>
      <c r="M162" s="184">
        <f t="shared" ca="1" si="58"/>
        <v>0</v>
      </c>
      <c r="N162" s="84"/>
      <c r="O162" s="84"/>
      <c r="P162" s="84"/>
      <c r="Q162" s="69" t="str">
        <f t="shared" si="46"/>
        <v/>
      </c>
      <c r="R162" s="84"/>
      <c r="S162" s="65" t="str">
        <f t="shared" si="47"/>
        <v/>
      </c>
      <c r="T162" s="69" t="str">
        <f t="shared" si="48"/>
        <v/>
      </c>
      <c r="U162" s="84"/>
      <c r="V162" s="65" t="str">
        <f t="shared" si="49"/>
        <v/>
      </c>
      <c r="W162" s="108"/>
      <c r="X162" s="108"/>
      <c r="Y162" s="108"/>
      <c r="Z162" s="110" t="str">
        <f t="shared" si="50"/>
        <v/>
      </c>
      <c r="AA162" s="199">
        <f>IF(ISERROR('Berechnungen 2'!AR365),"",'Berechnungen 2'!AR365)</f>
        <v>0</v>
      </c>
      <c r="AB162" s="200">
        <f>IF(ISERROR('Berechnungen 2'!AS365),"",'Berechnungen 2'!AS365)</f>
        <v>0</v>
      </c>
      <c r="AC162" s="200">
        <f>IF(ISERROR('Berechnungen 2'!AT365),"",'Berechnungen 2'!AT365)</f>
        <v>0</v>
      </c>
      <c r="AD162" s="199">
        <f>IF(ISERROR('Berechnungen 2'!BE365),"",'Berechnungen 2'!BE365)</f>
        <v>0</v>
      </c>
      <c r="AE162" s="200">
        <f>IF(ISERROR('Berechnungen 2'!BF365),"",'Berechnungen 2'!BF365)</f>
        <v>0</v>
      </c>
      <c r="AF162" s="200">
        <f>IF(ISERROR('Berechnungen 2'!BG365),"",'Berechnungen 2'!BG365)</f>
        <v>0</v>
      </c>
      <c r="AG162" s="199" t="str">
        <f>IF(ISNUMBER(A162),IF(ISERROR('Berechnungen 2'!BK365),"",'Berechnungen 2'!BK365),"")</f>
        <v/>
      </c>
      <c r="AH162" s="200">
        <f>IF(ISERROR('Berechnungen 2'!BL365),"",'Berechnungen 2'!BL365)</f>
        <v>0</v>
      </c>
      <c r="AI162" s="200">
        <f>IF(ISERROR('Berechnungen 2'!BM365),"",'Berechnungen 2'!BM365)</f>
        <v>0</v>
      </c>
    </row>
    <row r="163" spans="1:35" x14ac:dyDescent="0.2">
      <c r="A163" s="71" t="str">
        <f t="shared" si="55"/>
        <v/>
      </c>
      <c r="B163" s="193">
        <f t="shared" si="56"/>
        <v>151</v>
      </c>
      <c r="C163" s="192">
        <f ca="1">IF(ISERROR(LARGE('Berechnungen 1'!$A$12:$A$311,B163)),"",LARGE('Berechnungen 1'!$A$12:$A$311,B163))</f>
        <v>150</v>
      </c>
      <c r="D163" s="76" t="str">
        <f t="shared" si="57"/>
        <v/>
      </c>
      <c r="E163" s="76" t="str">
        <f t="shared" si="57"/>
        <v/>
      </c>
      <c r="F163" s="155" t="str">
        <f t="shared" si="41"/>
        <v/>
      </c>
      <c r="G163" s="204" t="str">
        <f t="shared" si="42"/>
        <v/>
      </c>
      <c r="H163" s="156" t="str">
        <f t="shared" si="43"/>
        <v/>
      </c>
      <c r="I163" s="155" t="str">
        <f t="shared" si="44"/>
        <v/>
      </c>
      <c r="J163" s="184">
        <f t="shared" ca="1" si="45"/>
        <v>999999</v>
      </c>
      <c r="K163" s="184">
        <f>IF(OR(ISBLANK('Etape 1'!E158),ISBLANK('Etape 1'!F158)),IF(AND(ISBLANK('Etape 1'!B158),ISBLANK('Etape 1'!C158),ISBLANK('Etape 1'!D158),ISBLANK('Etape 1'!E158),ISBLANK('Etape 1'!F158),ISBLANK('Etape 1'!G158),ISBLANK('Etape 1'!H158)),999,9999),IF(VLOOKUP($C163,Matrix_Berechnungen1.Rang.Pumpendaten.Zwischenresultate,$C$9,0)&gt;0,VLOOKUP($C163,Matrix_Berechnungen1.Rang.Pumpendaten.Zwischenresultate,K$9,0),""))</f>
        <v>999</v>
      </c>
      <c r="L163" s="184">
        <f t="shared" ca="1" si="58"/>
        <v>151</v>
      </c>
      <c r="M163" s="184">
        <f t="shared" ca="1" si="58"/>
        <v>0</v>
      </c>
      <c r="N163" s="84"/>
      <c r="O163" s="84"/>
      <c r="P163" s="84"/>
      <c r="Q163" s="69" t="str">
        <f t="shared" si="46"/>
        <v/>
      </c>
      <c r="R163" s="84"/>
      <c r="S163" s="65" t="str">
        <f t="shared" si="47"/>
        <v/>
      </c>
      <c r="T163" s="69" t="str">
        <f t="shared" si="48"/>
        <v/>
      </c>
      <c r="U163" s="84"/>
      <c r="V163" s="65" t="str">
        <f t="shared" si="49"/>
        <v/>
      </c>
      <c r="W163" s="108"/>
      <c r="X163" s="108"/>
      <c r="Y163" s="108"/>
      <c r="Z163" s="110" t="str">
        <f t="shared" si="50"/>
        <v/>
      </c>
      <c r="AA163" s="199">
        <f>IF(ISERROR('Berechnungen 2'!AR366),"",'Berechnungen 2'!AR366)</f>
        <v>0</v>
      </c>
      <c r="AB163" s="200">
        <f>IF(ISERROR('Berechnungen 2'!AS366),"",'Berechnungen 2'!AS366)</f>
        <v>0</v>
      </c>
      <c r="AC163" s="200">
        <f>IF(ISERROR('Berechnungen 2'!AT366),"",'Berechnungen 2'!AT366)</f>
        <v>0</v>
      </c>
      <c r="AD163" s="199">
        <f>IF(ISERROR('Berechnungen 2'!BE366),"",'Berechnungen 2'!BE366)</f>
        <v>0</v>
      </c>
      <c r="AE163" s="200">
        <f>IF(ISERROR('Berechnungen 2'!BF366),"",'Berechnungen 2'!BF366)</f>
        <v>0</v>
      </c>
      <c r="AF163" s="200">
        <f>IF(ISERROR('Berechnungen 2'!BG366),"",'Berechnungen 2'!BG366)</f>
        <v>0</v>
      </c>
      <c r="AG163" s="199" t="str">
        <f>IF(ISNUMBER(A163),IF(ISERROR('Berechnungen 2'!BK366),"",'Berechnungen 2'!BK366),"")</f>
        <v/>
      </c>
      <c r="AH163" s="200">
        <f>IF(ISERROR('Berechnungen 2'!BL366),"",'Berechnungen 2'!BL366)</f>
        <v>0</v>
      </c>
      <c r="AI163" s="200">
        <f>IF(ISERROR('Berechnungen 2'!BM366),"",'Berechnungen 2'!BM366)</f>
        <v>0</v>
      </c>
    </row>
    <row r="164" spans="1:35" x14ac:dyDescent="0.2">
      <c r="A164" s="71" t="str">
        <f t="shared" si="55"/>
        <v/>
      </c>
      <c r="B164" s="193">
        <f t="shared" si="56"/>
        <v>152</v>
      </c>
      <c r="C164" s="192">
        <f ca="1">IF(ISERROR(LARGE('Berechnungen 1'!$A$12:$A$311,B164)),"",LARGE('Berechnungen 1'!$A$12:$A$311,B164))</f>
        <v>149</v>
      </c>
      <c r="D164" s="76" t="str">
        <f t="shared" si="57"/>
        <v/>
      </c>
      <c r="E164" s="76" t="str">
        <f t="shared" si="57"/>
        <v/>
      </c>
      <c r="F164" s="155" t="str">
        <f t="shared" si="41"/>
        <v/>
      </c>
      <c r="G164" s="204" t="str">
        <f t="shared" si="42"/>
        <v/>
      </c>
      <c r="H164" s="156" t="str">
        <f t="shared" si="43"/>
        <v/>
      </c>
      <c r="I164" s="155" t="str">
        <f t="shared" si="44"/>
        <v/>
      </c>
      <c r="J164" s="184">
        <f t="shared" ca="1" si="45"/>
        <v>999999</v>
      </c>
      <c r="K164" s="184">
        <f>IF(OR(ISBLANK('Etape 1'!E159),ISBLANK('Etape 1'!F159)),IF(AND(ISBLANK('Etape 1'!B159),ISBLANK('Etape 1'!C159),ISBLANK('Etape 1'!D159),ISBLANK('Etape 1'!E159),ISBLANK('Etape 1'!F159),ISBLANK('Etape 1'!G159),ISBLANK('Etape 1'!H159)),999,9999),IF(VLOOKUP($C164,Matrix_Berechnungen1.Rang.Pumpendaten.Zwischenresultate,$C$9,0)&gt;0,VLOOKUP($C164,Matrix_Berechnungen1.Rang.Pumpendaten.Zwischenresultate,K$9,0),""))</f>
        <v>999</v>
      </c>
      <c r="L164" s="184">
        <f t="shared" ca="1" si="58"/>
        <v>152</v>
      </c>
      <c r="M164" s="184">
        <f t="shared" ca="1" si="58"/>
        <v>0</v>
      </c>
      <c r="N164" s="84"/>
      <c r="O164" s="84"/>
      <c r="P164" s="84"/>
      <c r="Q164" s="69" t="str">
        <f t="shared" si="46"/>
        <v/>
      </c>
      <c r="R164" s="84"/>
      <c r="S164" s="65" t="str">
        <f t="shared" si="47"/>
        <v/>
      </c>
      <c r="T164" s="69" t="str">
        <f t="shared" si="48"/>
        <v/>
      </c>
      <c r="U164" s="84"/>
      <c r="V164" s="65" t="str">
        <f t="shared" si="49"/>
        <v/>
      </c>
      <c r="W164" s="108"/>
      <c r="X164" s="108"/>
      <c r="Y164" s="108"/>
      <c r="Z164" s="110" t="str">
        <f t="shared" si="50"/>
        <v/>
      </c>
      <c r="AA164" s="199">
        <f>IF(ISERROR('Berechnungen 2'!AR367),"",'Berechnungen 2'!AR367)</f>
        <v>0</v>
      </c>
      <c r="AB164" s="200">
        <f>IF(ISERROR('Berechnungen 2'!AS367),"",'Berechnungen 2'!AS367)</f>
        <v>0</v>
      </c>
      <c r="AC164" s="200">
        <f>IF(ISERROR('Berechnungen 2'!AT367),"",'Berechnungen 2'!AT367)</f>
        <v>0</v>
      </c>
      <c r="AD164" s="199">
        <f>IF(ISERROR('Berechnungen 2'!BE367),"",'Berechnungen 2'!BE367)</f>
        <v>0</v>
      </c>
      <c r="AE164" s="200">
        <f>IF(ISERROR('Berechnungen 2'!BF367),"",'Berechnungen 2'!BF367)</f>
        <v>0</v>
      </c>
      <c r="AF164" s="200">
        <f>IF(ISERROR('Berechnungen 2'!BG367),"",'Berechnungen 2'!BG367)</f>
        <v>0</v>
      </c>
      <c r="AG164" s="199" t="str">
        <f>IF(ISNUMBER(A164),IF(ISERROR('Berechnungen 2'!BK367),"",'Berechnungen 2'!BK367),"")</f>
        <v/>
      </c>
      <c r="AH164" s="200">
        <f>IF(ISERROR('Berechnungen 2'!BL367),"",'Berechnungen 2'!BL367)</f>
        <v>0</v>
      </c>
      <c r="AI164" s="200">
        <f>IF(ISERROR('Berechnungen 2'!BM367),"",'Berechnungen 2'!BM367)</f>
        <v>0</v>
      </c>
    </row>
    <row r="165" spans="1:35" x14ac:dyDescent="0.2">
      <c r="A165" s="71" t="str">
        <f t="shared" si="55"/>
        <v/>
      </c>
      <c r="B165" s="193">
        <f t="shared" si="56"/>
        <v>153</v>
      </c>
      <c r="C165" s="192">
        <f ca="1">IF(ISERROR(LARGE('Berechnungen 1'!$A$12:$A$311,B165)),"",LARGE('Berechnungen 1'!$A$12:$A$311,B165))</f>
        <v>148</v>
      </c>
      <c r="D165" s="76" t="str">
        <f t="shared" si="57"/>
        <v/>
      </c>
      <c r="E165" s="76" t="str">
        <f t="shared" si="57"/>
        <v/>
      </c>
      <c r="F165" s="155" t="str">
        <f t="shared" si="41"/>
        <v/>
      </c>
      <c r="G165" s="204" t="str">
        <f t="shared" si="42"/>
        <v/>
      </c>
      <c r="H165" s="156" t="str">
        <f t="shared" si="43"/>
        <v/>
      </c>
      <c r="I165" s="155" t="str">
        <f t="shared" si="44"/>
        <v/>
      </c>
      <c r="J165" s="184">
        <f t="shared" ca="1" si="45"/>
        <v>999999</v>
      </c>
      <c r="K165" s="184">
        <f>IF(OR(ISBLANK('Etape 1'!E160),ISBLANK('Etape 1'!F160)),IF(AND(ISBLANK('Etape 1'!B160),ISBLANK('Etape 1'!C160),ISBLANK('Etape 1'!D160),ISBLANK('Etape 1'!E160),ISBLANK('Etape 1'!F160),ISBLANK('Etape 1'!G160),ISBLANK('Etape 1'!H160)),999,9999),IF(VLOOKUP($C165,Matrix_Berechnungen1.Rang.Pumpendaten.Zwischenresultate,$C$9,0)&gt;0,VLOOKUP($C165,Matrix_Berechnungen1.Rang.Pumpendaten.Zwischenresultate,K$9,0),""))</f>
        <v>999</v>
      </c>
      <c r="L165" s="184">
        <f t="shared" ca="1" si="58"/>
        <v>153</v>
      </c>
      <c r="M165" s="184">
        <f t="shared" ca="1" si="58"/>
        <v>0</v>
      </c>
      <c r="N165" s="84"/>
      <c r="O165" s="84"/>
      <c r="P165" s="84"/>
      <c r="Q165" s="69" t="str">
        <f t="shared" si="46"/>
        <v/>
      </c>
      <c r="R165" s="84"/>
      <c r="S165" s="65" t="str">
        <f t="shared" si="47"/>
        <v/>
      </c>
      <c r="T165" s="69" t="str">
        <f t="shared" si="48"/>
        <v/>
      </c>
      <c r="U165" s="84"/>
      <c r="V165" s="65" t="str">
        <f t="shared" si="49"/>
        <v/>
      </c>
      <c r="W165" s="108"/>
      <c r="X165" s="108"/>
      <c r="Y165" s="108"/>
      <c r="Z165" s="110" t="str">
        <f t="shared" si="50"/>
        <v/>
      </c>
      <c r="AA165" s="199">
        <f>IF(ISERROR('Berechnungen 2'!AR368),"",'Berechnungen 2'!AR368)</f>
        <v>0</v>
      </c>
      <c r="AB165" s="200">
        <f>IF(ISERROR('Berechnungen 2'!AS368),"",'Berechnungen 2'!AS368)</f>
        <v>0</v>
      </c>
      <c r="AC165" s="200">
        <f>IF(ISERROR('Berechnungen 2'!AT368),"",'Berechnungen 2'!AT368)</f>
        <v>0</v>
      </c>
      <c r="AD165" s="199">
        <f>IF(ISERROR('Berechnungen 2'!BE368),"",'Berechnungen 2'!BE368)</f>
        <v>0</v>
      </c>
      <c r="AE165" s="200">
        <f>IF(ISERROR('Berechnungen 2'!BF368),"",'Berechnungen 2'!BF368)</f>
        <v>0</v>
      </c>
      <c r="AF165" s="200">
        <f>IF(ISERROR('Berechnungen 2'!BG368),"",'Berechnungen 2'!BG368)</f>
        <v>0</v>
      </c>
      <c r="AG165" s="199" t="str">
        <f>IF(ISNUMBER(A165),IF(ISERROR('Berechnungen 2'!BK368),"",'Berechnungen 2'!BK368),"")</f>
        <v/>
      </c>
      <c r="AH165" s="200">
        <f>IF(ISERROR('Berechnungen 2'!BL368),"",'Berechnungen 2'!BL368)</f>
        <v>0</v>
      </c>
      <c r="AI165" s="200">
        <f>IF(ISERROR('Berechnungen 2'!BM368),"",'Berechnungen 2'!BM368)</f>
        <v>0</v>
      </c>
    </row>
    <row r="166" spans="1:35" x14ac:dyDescent="0.2">
      <c r="A166" s="71" t="str">
        <f t="shared" si="55"/>
        <v/>
      </c>
      <c r="B166" s="193">
        <f t="shared" si="56"/>
        <v>154</v>
      </c>
      <c r="C166" s="192">
        <f ca="1">IF(ISERROR(LARGE('Berechnungen 1'!$A$12:$A$311,B166)),"",LARGE('Berechnungen 1'!$A$12:$A$311,B166))</f>
        <v>147</v>
      </c>
      <c r="D166" s="76" t="str">
        <f t="shared" si="57"/>
        <v/>
      </c>
      <c r="E166" s="76" t="str">
        <f t="shared" si="57"/>
        <v/>
      </c>
      <c r="F166" s="155" t="str">
        <f t="shared" si="41"/>
        <v/>
      </c>
      <c r="G166" s="204" t="str">
        <f t="shared" si="42"/>
        <v/>
      </c>
      <c r="H166" s="156" t="str">
        <f t="shared" si="43"/>
        <v/>
      </c>
      <c r="I166" s="155" t="str">
        <f t="shared" si="44"/>
        <v/>
      </c>
      <c r="J166" s="184">
        <f t="shared" ca="1" si="45"/>
        <v>999999</v>
      </c>
      <c r="K166" s="184">
        <f>IF(OR(ISBLANK('Etape 1'!E161),ISBLANK('Etape 1'!F161)),IF(AND(ISBLANK('Etape 1'!B161),ISBLANK('Etape 1'!C161),ISBLANK('Etape 1'!D161),ISBLANK('Etape 1'!E161),ISBLANK('Etape 1'!F161),ISBLANK('Etape 1'!G161),ISBLANK('Etape 1'!H161)),999,9999),IF(VLOOKUP($C166,Matrix_Berechnungen1.Rang.Pumpendaten.Zwischenresultate,$C$9,0)&gt;0,VLOOKUP($C166,Matrix_Berechnungen1.Rang.Pumpendaten.Zwischenresultate,K$9,0),""))</f>
        <v>999</v>
      </c>
      <c r="L166" s="184">
        <f t="shared" ca="1" si="58"/>
        <v>154</v>
      </c>
      <c r="M166" s="184">
        <f t="shared" ca="1" si="58"/>
        <v>0</v>
      </c>
      <c r="N166" s="84"/>
      <c r="O166" s="84"/>
      <c r="P166" s="84"/>
      <c r="Q166" s="69" t="str">
        <f t="shared" si="46"/>
        <v/>
      </c>
      <c r="R166" s="84"/>
      <c r="S166" s="65" t="str">
        <f t="shared" si="47"/>
        <v/>
      </c>
      <c r="T166" s="69" t="str">
        <f t="shared" si="48"/>
        <v/>
      </c>
      <c r="U166" s="84"/>
      <c r="V166" s="65" t="str">
        <f t="shared" si="49"/>
        <v/>
      </c>
      <c r="W166" s="108"/>
      <c r="X166" s="108"/>
      <c r="Y166" s="108"/>
      <c r="Z166" s="110" t="str">
        <f t="shared" si="50"/>
        <v/>
      </c>
      <c r="AA166" s="199">
        <f>IF(ISERROR('Berechnungen 2'!AR369),"",'Berechnungen 2'!AR369)</f>
        <v>0</v>
      </c>
      <c r="AB166" s="200">
        <f>IF(ISERROR('Berechnungen 2'!AS369),"",'Berechnungen 2'!AS369)</f>
        <v>0</v>
      </c>
      <c r="AC166" s="200">
        <f>IF(ISERROR('Berechnungen 2'!AT369),"",'Berechnungen 2'!AT369)</f>
        <v>0</v>
      </c>
      <c r="AD166" s="199">
        <f>IF(ISERROR('Berechnungen 2'!BE369),"",'Berechnungen 2'!BE369)</f>
        <v>0</v>
      </c>
      <c r="AE166" s="200">
        <f>IF(ISERROR('Berechnungen 2'!BF369),"",'Berechnungen 2'!BF369)</f>
        <v>0</v>
      </c>
      <c r="AF166" s="200">
        <f>IF(ISERROR('Berechnungen 2'!BG369),"",'Berechnungen 2'!BG369)</f>
        <v>0</v>
      </c>
      <c r="AG166" s="199" t="str">
        <f>IF(ISNUMBER(A166),IF(ISERROR('Berechnungen 2'!BK369),"",'Berechnungen 2'!BK369),"")</f>
        <v/>
      </c>
      <c r="AH166" s="200">
        <f>IF(ISERROR('Berechnungen 2'!BL369),"",'Berechnungen 2'!BL369)</f>
        <v>0</v>
      </c>
      <c r="AI166" s="200">
        <f>IF(ISERROR('Berechnungen 2'!BM369),"",'Berechnungen 2'!BM369)</f>
        <v>0</v>
      </c>
    </row>
    <row r="167" spans="1:35" x14ac:dyDescent="0.2">
      <c r="A167" s="71" t="str">
        <f t="shared" si="55"/>
        <v/>
      </c>
      <c r="B167" s="193">
        <f t="shared" si="56"/>
        <v>155</v>
      </c>
      <c r="C167" s="192">
        <f ca="1">IF(ISERROR(LARGE('Berechnungen 1'!$A$12:$A$311,B167)),"",LARGE('Berechnungen 1'!$A$12:$A$311,B167))</f>
        <v>146</v>
      </c>
      <c r="D167" s="76" t="str">
        <f t="shared" si="57"/>
        <v/>
      </c>
      <c r="E167" s="76" t="str">
        <f t="shared" si="57"/>
        <v/>
      </c>
      <c r="F167" s="155" t="str">
        <f t="shared" si="41"/>
        <v/>
      </c>
      <c r="G167" s="204" t="str">
        <f t="shared" si="42"/>
        <v/>
      </c>
      <c r="H167" s="156" t="str">
        <f t="shared" si="43"/>
        <v/>
      </c>
      <c r="I167" s="155" t="str">
        <f t="shared" si="44"/>
        <v/>
      </c>
      <c r="J167" s="184">
        <f t="shared" ca="1" si="45"/>
        <v>999999</v>
      </c>
      <c r="K167" s="184">
        <f>IF(OR(ISBLANK('Etape 1'!E162),ISBLANK('Etape 1'!F162)),IF(AND(ISBLANK('Etape 1'!B162),ISBLANK('Etape 1'!C162),ISBLANK('Etape 1'!D162),ISBLANK('Etape 1'!E162),ISBLANK('Etape 1'!F162),ISBLANK('Etape 1'!G162),ISBLANK('Etape 1'!H162)),999,9999),IF(VLOOKUP($C167,Matrix_Berechnungen1.Rang.Pumpendaten.Zwischenresultate,$C$9,0)&gt;0,VLOOKUP($C167,Matrix_Berechnungen1.Rang.Pumpendaten.Zwischenresultate,K$9,0),""))</f>
        <v>999</v>
      </c>
      <c r="L167" s="184">
        <f t="shared" ca="1" si="58"/>
        <v>155</v>
      </c>
      <c r="M167" s="184">
        <f t="shared" ca="1" si="58"/>
        <v>0</v>
      </c>
      <c r="N167" s="84"/>
      <c r="O167" s="84"/>
      <c r="P167" s="84"/>
      <c r="Q167" s="69" t="str">
        <f t="shared" si="46"/>
        <v/>
      </c>
      <c r="R167" s="84"/>
      <c r="S167" s="65" t="str">
        <f t="shared" si="47"/>
        <v/>
      </c>
      <c r="T167" s="69" t="str">
        <f t="shared" si="48"/>
        <v/>
      </c>
      <c r="U167" s="84"/>
      <c r="V167" s="65" t="str">
        <f t="shared" si="49"/>
        <v/>
      </c>
      <c r="W167" s="108"/>
      <c r="X167" s="108"/>
      <c r="Y167" s="108"/>
      <c r="Z167" s="110" t="str">
        <f t="shared" si="50"/>
        <v/>
      </c>
      <c r="AA167" s="199">
        <f>IF(ISERROR('Berechnungen 2'!AR370),"",'Berechnungen 2'!AR370)</f>
        <v>0</v>
      </c>
      <c r="AB167" s="200">
        <f>IF(ISERROR('Berechnungen 2'!AS370),"",'Berechnungen 2'!AS370)</f>
        <v>0</v>
      </c>
      <c r="AC167" s="200">
        <f>IF(ISERROR('Berechnungen 2'!AT370),"",'Berechnungen 2'!AT370)</f>
        <v>0</v>
      </c>
      <c r="AD167" s="199">
        <f>IF(ISERROR('Berechnungen 2'!BE370),"",'Berechnungen 2'!BE370)</f>
        <v>0</v>
      </c>
      <c r="AE167" s="200">
        <f>IF(ISERROR('Berechnungen 2'!BF370),"",'Berechnungen 2'!BF370)</f>
        <v>0</v>
      </c>
      <c r="AF167" s="200">
        <f>IF(ISERROR('Berechnungen 2'!BG370),"",'Berechnungen 2'!BG370)</f>
        <v>0</v>
      </c>
      <c r="AG167" s="199" t="str">
        <f>IF(ISNUMBER(A167),IF(ISERROR('Berechnungen 2'!BK370),"",'Berechnungen 2'!BK370),"")</f>
        <v/>
      </c>
      <c r="AH167" s="200">
        <f>IF(ISERROR('Berechnungen 2'!BL370),"",'Berechnungen 2'!BL370)</f>
        <v>0</v>
      </c>
      <c r="AI167" s="200">
        <f>IF(ISERROR('Berechnungen 2'!BM370),"",'Berechnungen 2'!BM370)</f>
        <v>0</v>
      </c>
    </row>
    <row r="168" spans="1:35" x14ac:dyDescent="0.2">
      <c r="A168" s="71" t="str">
        <f t="shared" si="55"/>
        <v/>
      </c>
      <c r="B168" s="193">
        <f t="shared" si="56"/>
        <v>156</v>
      </c>
      <c r="C168" s="192">
        <f ca="1">IF(ISERROR(LARGE('Berechnungen 1'!$A$12:$A$311,B168)),"",LARGE('Berechnungen 1'!$A$12:$A$311,B168))</f>
        <v>145</v>
      </c>
      <c r="D168" s="76" t="str">
        <f t="shared" si="57"/>
        <v/>
      </c>
      <c r="E168" s="76" t="str">
        <f t="shared" si="57"/>
        <v/>
      </c>
      <c r="F168" s="155" t="str">
        <f t="shared" si="41"/>
        <v/>
      </c>
      <c r="G168" s="204" t="str">
        <f t="shared" si="42"/>
        <v/>
      </c>
      <c r="H168" s="156" t="str">
        <f t="shared" si="43"/>
        <v/>
      </c>
      <c r="I168" s="155" t="str">
        <f t="shared" si="44"/>
        <v/>
      </c>
      <c r="J168" s="184">
        <f t="shared" ca="1" si="45"/>
        <v>999999</v>
      </c>
      <c r="K168" s="184">
        <f>IF(OR(ISBLANK('Etape 1'!E163),ISBLANK('Etape 1'!F163)),IF(AND(ISBLANK('Etape 1'!B163),ISBLANK('Etape 1'!C163),ISBLANK('Etape 1'!D163),ISBLANK('Etape 1'!E163),ISBLANK('Etape 1'!F163),ISBLANK('Etape 1'!G163),ISBLANK('Etape 1'!H163)),999,9999),IF(VLOOKUP($C168,Matrix_Berechnungen1.Rang.Pumpendaten.Zwischenresultate,$C$9,0)&gt;0,VLOOKUP($C168,Matrix_Berechnungen1.Rang.Pumpendaten.Zwischenresultate,K$9,0),""))</f>
        <v>999</v>
      </c>
      <c r="L168" s="184">
        <f t="shared" ca="1" si="58"/>
        <v>156</v>
      </c>
      <c r="M168" s="184">
        <f t="shared" ca="1" si="58"/>
        <v>0</v>
      </c>
      <c r="N168" s="84"/>
      <c r="O168" s="84"/>
      <c r="P168" s="84"/>
      <c r="Q168" s="69" t="str">
        <f t="shared" si="46"/>
        <v/>
      </c>
      <c r="R168" s="84"/>
      <c r="S168" s="65" t="str">
        <f t="shared" si="47"/>
        <v/>
      </c>
      <c r="T168" s="69" t="str">
        <f t="shared" si="48"/>
        <v/>
      </c>
      <c r="U168" s="84"/>
      <c r="V168" s="65" t="str">
        <f t="shared" si="49"/>
        <v/>
      </c>
      <c r="W168" s="108"/>
      <c r="X168" s="108"/>
      <c r="Y168" s="108"/>
      <c r="Z168" s="110" t="str">
        <f t="shared" si="50"/>
        <v/>
      </c>
      <c r="AA168" s="199">
        <f>IF(ISERROR('Berechnungen 2'!AR371),"",'Berechnungen 2'!AR371)</f>
        <v>0</v>
      </c>
      <c r="AB168" s="200">
        <f>IF(ISERROR('Berechnungen 2'!AS371),"",'Berechnungen 2'!AS371)</f>
        <v>0</v>
      </c>
      <c r="AC168" s="200">
        <f>IF(ISERROR('Berechnungen 2'!AT371),"",'Berechnungen 2'!AT371)</f>
        <v>0</v>
      </c>
      <c r="AD168" s="199">
        <f>IF(ISERROR('Berechnungen 2'!BE371),"",'Berechnungen 2'!BE371)</f>
        <v>0</v>
      </c>
      <c r="AE168" s="200">
        <f>IF(ISERROR('Berechnungen 2'!BF371),"",'Berechnungen 2'!BF371)</f>
        <v>0</v>
      </c>
      <c r="AF168" s="200">
        <f>IF(ISERROR('Berechnungen 2'!BG371),"",'Berechnungen 2'!BG371)</f>
        <v>0</v>
      </c>
      <c r="AG168" s="199" t="str">
        <f>IF(ISNUMBER(A168),IF(ISERROR('Berechnungen 2'!BK371),"",'Berechnungen 2'!BK371),"")</f>
        <v/>
      </c>
      <c r="AH168" s="200">
        <f>IF(ISERROR('Berechnungen 2'!BL371),"",'Berechnungen 2'!BL371)</f>
        <v>0</v>
      </c>
      <c r="AI168" s="200">
        <f>IF(ISERROR('Berechnungen 2'!BM371),"",'Berechnungen 2'!BM371)</f>
        <v>0</v>
      </c>
    </row>
    <row r="169" spans="1:35" x14ac:dyDescent="0.2">
      <c r="A169" s="71" t="str">
        <f t="shared" si="55"/>
        <v/>
      </c>
      <c r="B169" s="193">
        <f t="shared" si="56"/>
        <v>157</v>
      </c>
      <c r="C169" s="192">
        <f ca="1">IF(ISERROR(LARGE('Berechnungen 1'!$A$12:$A$311,B169)),"",LARGE('Berechnungen 1'!$A$12:$A$311,B169))</f>
        <v>144</v>
      </c>
      <c r="D169" s="76" t="str">
        <f t="shared" si="57"/>
        <v/>
      </c>
      <c r="E169" s="76" t="str">
        <f t="shared" si="57"/>
        <v/>
      </c>
      <c r="F169" s="155" t="str">
        <f t="shared" si="41"/>
        <v/>
      </c>
      <c r="G169" s="204" t="str">
        <f t="shared" si="42"/>
        <v/>
      </c>
      <c r="H169" s="156" t="str">
        <f t="shared" si="43"/>
        <v/>
      </c>
      <c r="I169" s="155" t="str">
        <f t="shared" si="44"/>
        <v/>
      </c>
      <c r="J169" s="184">
        <f t="shared" ca="1" si="45"/>
        <v>999999</v>
      </c>
      <c r="K169" s="184">
        <f>IF(OR(ISBLANK('Etape 1'!E164),ISBLANK('Etape 1'!F164)),IF(AND(ISBLANK('Etape 1'!B164),ISBLANK('Etape 1'!C164),ISBLANK('Etape 1'!D164),ISBLANK('Etape 1'!E164),ISBLANK('Etape 1'!F164),ISBLANK('Etape 1'!G164),ISBLANK('Etape 1'!H164)),999,9999),IF(VLOOKUP($C169,Matrix_Berechnungen1.Rang.Pumpendaten.Zwischenresultate,$C$9,0)&gt;0,VLOOKUP($C169,Matrix_Berechnungen1.Rang.Pumpendaten.Zwischenresultate,K$9,0),""))</f>
        <v>999</v>
      </c>
      <c r="L169" s="184">
        <f t="shared" ca="1" si="58"/>
        <v>157</v>
      </c>
      <c r="M169" s="184">
        <f t="shared" ca="1" si="58"/>
        <v>0</v>
      </c>
      <c r="N169" s="84"/>
      <c r="O169" s="84"/>
      <c r="P169" s="84"/>
      <c r="Q169" s="69" t="str">
        <f t="shared" si="46"/>
        <v/>
      </c>
      <c r="R169" s="84"/>
      <c r="S169" s="65" t="str">
        <f t="shared" si="47"/>
        <v/>
      </c>
      <c r="T169" s="69" t="str">
        <f t="shared" si="48"/>
        <v/>
      </c>
      <c r="U169" s="84"/>
      <c r="V169" s="65" t="str">
        <f t="shared" si="49"/>
        <v/>
      </c>
      <c r="W169" s="108"/>
      <c r="X169" s="108"/>
      <c r="Y169" s="108"/>
      <c r="Z169" s="110" t="str">
        <f t="shared" si="50"/>
        <v/>
      </c>
      <c r="AA169" s="199">
        <f>IF(ISERROR('Berechnungen 2'!AR372),"",'Berechnungen 2'!AR372)</f>
        <v>0</v>
      </c>
      <c r="AB169" s="200">
        <f>IF(ISERROR('Berechnungen 2'!AS372),"",'Berechnungen 2'!AS372)</f>
        <v>0</v>
      </c>
      <c r="AC169" s="200">
        <f>IF(ISERROR('Berechnungen 2'!AT372),"",'Berechnungen 2'!AT372)</f>
        <v>0</v>
      </c>
      <c r="AD169" s="199">
        <f>IF(ISERROR('Berechnungen 2'!BE372),"",'Berechnungen 2'!BE372)</f>
        <v>0</v>
      </c>
      <c r="AE169" s="200">
        <f>IF(ISERROR('Berechnungen 2'!BF372),"",'Berechnungen 2'!BF372)</f>
        <v>0</v>
      </c>
      <c r="AF169" s="200">
        <f>IF(ISERROR('Berechnungen 2'!BG372),"",'Berechnungen 2'!BG372)</f>
        <v>0</v>
      </c>
      <c r="AG169" s="199" t="str">
        <f>IF(ISNUMBER(A169),IF(ISERROR('Berechnungen 2'!BK372),"",'Berechnungen 2'!BK372),"")</f>
        <v/>
      </c>
      <c r="AH169" s="200">
        <f>IF(ISERROR('Berechnungen 2'!BL372),"",'Berechnungen 2'!BL372)</f>
        <v>0</v>
      </c>
      <c r="AI169" s="200">
        <f>IF(ISERROR('Berechnungen 2'!BM372),"",'Berechnungen 2'!BM372)</f>
        <v>0</v>
      </c>
    </row>
    <row r="170" spans="1:35" x14ac:dyDescent="0.2">
      <c r="A170" s="71" t="str">
        <f t="shared" si="55"/>
        <v/>
      </c>
      <c r="B170" s="193">
        <f t="shared" si="56"/>
        <v>158</v>
      </c>
      <c r="C170" s="192">
        <f ca="1">IF(ISERROR(LARGE('Berechnungen 1'!$A$12:$A$311,B170)),"",LARGE('Berechnungen 1'!$A$12:$A$311,B170))</f>
        <v>143</v>
      </c>
      <c r="D170" s="76" t="str">
        <f t="shared" si="57"/>
        <v/>
      </c>
      <c r="E170" s="76" t="str">
        <f t="shared" si="57"/>
        <v/>
      </c>
      <c r="F170" s="155" t="str">
        <f t="shared" si="41"/>
        <v/>
      </c>
      <c r="G170" s="204" t="str">
        <f t="shared" si="42"/>
        <v/>
      </c>
      <c r="H170" s="156" t="str">
        <f t="shared" si="43"/>
        <v/>
      </c>
      <c r="I170" s="155" t="str">
        <f t="shared" si="44"/>
        <v/>
      </c>
      <c r="J170" s="184">
        <f t="shared" ca="1" si="45"/>
        <v>999999</v>
      </c>
      <c r="K170" s="184">
        <f>IF(OR(ISBLANK('Etape 1'!E165),ISBLANK('Etape 1'!F165)),IF(AND(ISBLANK('Etape 1'!B165),ISBLANK('Etape 1'!C165),ISBLANK('Etape 1'!D165),ISBLANK('Etape 1'!E165),ISBLANK('Etape 1'!F165),ISBLANK('Etape 1'!G165),ISBLANK('Etape 1'!H165)),999,9999),IF(VLOOKUP($C170,Matrix_Berechnungen1.Rang.Pumpendaten.Zwischenresultate,$C$9,0)&gt;0,VLOOKUP($C170,Matrix_Berechnungen1.Rang.Pumpendaten.Zwischenresultate,K$9,0),""))</f>
        <v>999</v>
      </c>
      <c r="L170" s="184">
        <f t="shared" ca="1" si="58"/>
        <v>158</v>
      </c>
      <c r="M170" s="184">
        <f t="shared" ca="1" si="58"/>
        <v>0</v>
      </c>
      <c r="N170" s="84"/>
      <c r="O170" s="84"/>
      <c r="P170" s="84"/>
      <c r="Q170" s="69" t="str">
        <f t="shared" si="46"/>
        <v/>
      </c>
      <c r="R170" s="84"/>
      <c r="S170" s="65" t="str">
        <f t="shared" si="47"/>
        <v/>
      </c>
      <c r="T170" s="69" t="str">
        <f t="shared" si="48"/>
        <v/>
      </c>
      <c r="U170" s="84"/>
      <c r="V170" s="65" t="str">
        <f t="shared" si="49"/>
        <v/>
      </c>
      <c r="W170" s="108"/>
      <c r="X170" s="108"/>
      <c r="Y170" s="108"/>
      <c r="Z170" s="110" t="str">
        <f t="shared" si="50"/>
        <v/>
      </c>
      <c r="AA170" s="199">
        <f>IF(ISERROR('Berechnungen 2'!AR373),"",'Berechnungen 2'!AR373)</f>
        <v>0</v>
      </c>
      <c r="AB170" s="200">
        <f>IF(ISERROR('Berechnungen 2'!AS373),"",'Berechnungen 2'!AS373)</f>
        <v>0</v>
      </c>
      <c r="AC170" s="200">
        <f>IF(ISERROR('Berechnungen 2'!AT373),"",'Berechnungen 2'!AT373)</f>
        <v>0</v>
      </c>
      <c r="AD170" s="199">
        <f>IF(ISERROR('Berechnungen 2'!BE373),"",'Berechnungen 2'!BE373)</f>
        <v>0</v>
      </c>
      <c r="AE170" s="200">
        <f>IF(ISERROR('Berechnungen 2'!BF373),"",'Berechnungen 2'!BF373)</f>
        <v>0</v>
      </c>
      <c r="AF170" s="200">
        <f>IF(ISERROR('Berechnungen 2'!BG373),"",'Berechnungen 2'!BG373)</f>
        <v>0</v>
      </c>
      <c r="AG170" s="199" t="str">
        <f>IF(ISNUMBER(A170),IF(ISERROR('Berechnungen 2'!BK373),"",'Berechnungen 2'!BK373),"")</f>
        <v/>
      </c>
      <c r="AH170" s="200">
        <f>IF(ISERROR('Berechnungen 2'!BL373),"",'Berechnungen 2'!BL373)</f>
        <v>0</v>
      </c>
      <c r="AI170" s="200">
        <f>IF(ISERROR('Berechnungen 2'!BM373),"",'Berechnungen 2'!BM373)</f>
        <v>0</v>
      </c>
    </row>
    <row r="171" spans="1:35" x14ac:dyDescent="0.2">
      <c r="A171" s="71" t="str">
        <f t="shared" si="55"/>
        <v/>
      </c>
      <c r="B171" s="193">
        <f t="shared" si="56"/>
        <v>159</v>
      </c>
      <c r="C171" s="192">
        <f ca="1">IF(ISERROR(LARGE('Berechnungen 1'!$A$12:$A$311,B171)),"",LARGE('Berechnungen 1'!$A$12:$A$311,B171))</f>
        <v>142</v>
      </c>
      <c r="D171" s="76" t="str">
        <f t="shared" si="57"/>
        <v/>
      </c>
      <c r="E171" s="76" t="str">
        <f t="shared" si="57"/>
        <v/>
      </c>
      <c r="F171" s="155" t="str">
        <f t="shared" si="41"/>
        <v/>
      </c>
      <c r="G171" s="204" t="str">
        <f t="shared" si="42"/>
        <v/>
      </c>
      <c r="H171" s="156" t="str">
        <f t="shared" si="43"/>
        <v/>
      </c>
      <c r="I171" s="155" t="str">
        <f t="shared" si="44"/>
        <v/>
      </c>
      <c r="J171" s="184">
        <f t="shared" ca="1" si="45"/>
        <v>999999</v>
      </c>
      <c r="K171" s="184">
        <f>IF(OR(ISBLANK('Etape 1'!E166),ISBLANK('Etape 1'!F166)),IF(AND(ISBLANK('Etape 1'!B166),ISBLANK('Etape 1'!C166),ISBLANK('Etape 1'!D166),ISBLANK('Etape 1'!E166),ISBLANK('Etape 1'!F166),ISBLANK('Etape 1'!G166),ISBLANK('Etape 1'!H166)),999,9999),IF(VLOOKUP($C171,Matrix_Berechnungen1.Rang.Pumpendaten.Zwischenresultate,$C$9,0)&gt;0,VLOOKUP($C171,Matrix_Berechnungen1.Rang.Pumpendaten.Zwischenresultate,K$9,0),""))</f>
        <v>999</v>
      </c>
      <c r="L171" s="184">
        <f t="shared" ca="1" si="58"/>
        <v>159</v>
      </c>
      <c r="M171" s="184">
        <f t="shared" ca="1" si="58"/>
        <v>0</v>
      </c>
      <c r="N171" s="84"/>
      <c r="O171" s="84"/>
      <c r="P171" s="84"/>
      <c r="Q171" s="69" t="str">
        <f t="shared" si="46"/>
        <v/>
      </c>
      <c r="R171" s="84"/>
      <c r="S171" s="65" t="str">
        <f t="shared" si="47"/>
        <v/>
      </c>
      <c r="T171" s="69" t="str">
        <f t="shared" si="48"/>
        <v/>
      </c>
      <c r="U171" s="84"/>
      <c r="V171" s="65" t="str">
        <f t="shared" si="49"/>
        <v/>
      </c>
      <c r="W171" s="108"/>
      <c r="X171" s="108"/>
      <c r="Y171" s="108"/>
      <c r="Z171" s="110" t="str">
        <f t="shared" si="50"/>
        <v/>
      </c>
      <c r="AA171" s="199">
        <f>IF(ISERROR('Berechnungen 2'!AR374),"",'Berechnungen 2'!AR374)</f>
        <v>0</v>
      </c>
      <c r="AB171" s="200">
        <f>IF(ISERROR('Berechnungen 2'!AS374),"",'Berechnungen 2'!AS374)</f>
        <v>0</v>
      </c>
      <c r="AC171" s="200">
        <f>IF(ISERROR('Berechnungen 2'!AT374),"",'Berechnungen 2'!AT374)</f>
        <v>0</v>
      </c>
      <c r="AD171" s="199">
        <f>IF(ISERROR('Berechnungen 2'!BE374),"",'Berechnungen 2'!BE374)</f>
        <v>0</v>
      </c>
      <c r="AE171" s="200">
        <f>IF(ISERROR('Berechnungen 2'!BF374),"",'Berechnungen 2'!BF374)</f>
        <v>0</v>
      </c>
      <c r="AF171" s="200">
        <f>IF(ISERROR('Berechnungen 2'!BG374),"",'Berechnungen 2'!BG374)</f>
        <v>0</v>
      </c>
      <c r="AG171" s="199" t="str">
        <f>IF(ISNUMBER(A171),IF(ISERROR('Berechnungen 2'!BK374),"",'Berechnungen 2'!BK374),"")</f>
        <v/>
      </c>
      <c r="AH171" s="200">
        <f>IF(ISERROR('Berechnungen 2'!BL374),"",'Berechnungen 2'!BL374)</f>
        <v>0</v>
      </c>
      <c r="AI171" s="200">
        <f>IF(ISERROR('Berechnungen 2'!BM374),"",'Berechnungen 2'!BM374)</f>
        <v>0</v>
      </c>
    </row>
    <row r="172" spans="1:35" x14ac:dyDescent="0.2">
      <c r="A172" s="71" t="str">
        <f t="shared" si="55"/>
        <v/>
      </c>
      <c r="B172" s="193">
        <f t="shared" si="56"/>
        <v>160</v>
      </c>
      <c r="C172" s="192">
        <f ca="1">IF(ISERROR(LARGE('Berechnungen 1'!$A$12:$A$311,B172)),"",LARGE('Berechnungen 1'!$A$12:$A$311,B172))</f>
        <v>141</v>
      </c>
      <c r="D172" s="76" t="str">
        <f t="shared" si="57"/>
        <v/>
      </c>
      <c r="E172" s="76" t="str">
        <f t="shared" si="57"/>
        <v/>
      </c>
      <c r="F172" s="155" t="str">
        <f t="shared" si="41"/>
        <v/>
      </c>
      <c r="G172" s="204" t="str">
        <f t="shared" si="42"/>
        <v/>
      </c>
      <c r="H172" s="156" t="str">
        <f t="shared" si="43"/>
        <v/>
      </c>
      <c r="I172" s="155" t="str">
        <f t="shared" si="44"/>
        <v/>
      </c>
      <c r="J172" s="184">
        <f t="shared" ca="1" si="45"/>
        <v>999999</v>
      </c>
      <c r="K172" s="184">
        <f>IF(OR(ISBLANK('Etape 1'!E167),ISBLANK('Etape 1'!F167)),IF(AND(ISBLANK('Etape 1'!B167),ISBLANK('Etape 1'!C167),ISBLANK('Etape 1'!D167),ISBLANK('Etape 1'!E167),ISBLANK('Etape 1'!F167),ISBLANK('Etape 1'!G167),ISBLANK('Etape 1'!H167)),999,9999),IF(VLOOKUP($C172,Matrix_Berechnungen1.Rang.Pumpendaten.Zwischenresultate,$C$9,0)&gt;0,VLOOKUP($C172,Matrix_Berechnungen1.Rang.Pumpendaten.Zwischenresultate,K$9,0),""))</f>
        <v>999</v>
      </c>
      <c r="L172" s="184">
        <f t="shared" ca="1" si="58"/>
        <v>160</v>
      </c>
      <c r="M172" s="184">
        <f t="shared" ca="1" si="58"/>
        <v>0</v>
      </c>
      <c r="N172" s="84"/>
      <c r="O172" s="84"/>
      <c r="P172" s="84"/>
      <c r="Q172" s="69" t="str">
        <f t="shared" si="46"/>
        <v/>
      </c>
      <c r="R172" s="84"/>
      <c r="S172" s="65" t="str">
        <f t="shared" si="47"/>
        <v/>
      </c>
      <c r="T172" s="69" t="str">
        <f t="shared" si="48"/>
        <v/>
      </c>
      <c r="U172" s="84"/>
      <c r="V172" s="65" t="str">
        <f t="shared" si="49"/>
        <v/>
      </c>
      <c r="W172" s="108"/>
      <c r="X172" s="108"/>
      <c r="Y172" s="108"/>
      <c r="Z172" s="110" t="str">
        <f t="shared" si="50"/>
        <v/>
      </c>
      <c r="AA172" s="199">
        <f>IF(ISERROR('Berechnungen 2'!AR375),"",'Berechnungen 2'!AR375)</f>
        <v>0</v>
      </c>
      <c r="AB172" s="200">
        <f>IF(ISERROR('Berechnungen 2'!AS375),"",'Berechnungen 2'!AS375)</f>
        <v>0</v>
      </c>
      <c r="AC172" s="200">
        <f>IF(ISERROR('Berechnungen 2'!AT375),"",'Berechnungen 2'!AT375)</f>
        <v>0</v>
      </c>
      <c r="AD172" s="199">
        <f>IF(ISERROR('Berechnungen 2'!BE375),"",'Berechnungen 2'!BE375)</f>
        <v>0</v>
      </c>
      <c r="AE172" s="200">
        <f>IF(ISERROR('Berechnungen 2'!BF375),"",'Berechnungen 2'!BF375)</f>
        <v>0</v>
      </c>
      <c r="AF172" s="200">
        <f>IF(ISERROR('Berechnungen 2'!BG375),"",'Berechnungen 2'!BG375)</f>
        <v>0</v>
      </c>
      <c r="AG172" s="199" t="str">
        <f>IF(ISNUMBER(A172),IF(ISERROR('Berechnungen 2'!BK375),"",'Berechnungen 2'!BK375),"")</f>
        <v/>
      </c>
      <c r="AH172" s="200">
        <f>IF(ISERROR('Berechnungen 2'!BL375),"",'Berechnungen 2'!BL375)</f>
        <v>0</v>
      </c>
      <c r="AI172" s="200">
        <f>IF(ISERROR('Berechnungen 2'!BM375),"",'Berechnungen 2'!BM375)</f>
        <v>0</v>
      </c>
    </row>
    <row r="173" spans="1:35" x14ac:dyDescent="0.2">
      <c r="A173" s="71" t="str">
        <f t="shared" si="55"/>
        <v/>
      </c>
      <c r="B173" s="193">
        <f t="shared" si="56"/>
        <v>161</v>
      </c>
      <c r="C173" s="192">
        <f ca="1">IF(ISERROR(LARGE('Berechnungen 1'!$A$12:$A$311,B173)),"",LARGE('Berechnungen 1'!$A$12:$A$311,B173))</f>
        <v>140</v>
      </c>
      <c r="D173" s="76" t="str">
        <f t="shared" ref="D173:E192" si="59">IF(ISNUMBER($A173),IF(VLOOKUP($C173,Matrix_Berechnungen1.Rang.Pumpendaten.Zwischenresultate,$C$9,0)&gt;0,IF(VLOOKUP($C173,Matrix_Berechnungen1.Rang.Pumpendaten.Zwischenresultate,D$9,0)=0,"",VLOOKUP($C173,Matrix_Berechnungen1.Rang.Pumpendaten.Zwischenresultate,D$9,0)),""),"")</f>
        <v/>
      </c>
      <c r="E173" s="76" t="str">
        <f t="shared" si="59"/>
        <v/>
      </c>
      <c r="F173" s="155" t="str">
        <f t="shared" si="41"/>
        <v/>
      </c>
      <c r="G173" s="204" t="str">
        <f t="shared" si="42"/>
        <v/>
      </c>
      <c r="H173" s="156" t="str">
        <f t="shared" si="43"/>
        <v/>
      </c>
      <c r="I173" s="155" t="str">
        <f t="shared" si="44"/>
        <v/>
      </c>
      <c r="J173" s="184">
        <f t="shared" ca="1" si="45"/>
        <v>999999</v>
      </c>
      <c r="K173" s="184">
        <f>IF(OR(ISBLANK('Etape 1'!E168),ISBLANK('Etape 1'!F168)),IF(AND(ISBLANK('Etape 1'!B168),ISBLANK('Etape 1'!C168),ISBLANK('Etape 1'!D168),ISBLANK('Etape 1'!E168),ISBLANK('Etape 1'!F168),ISBLANK('Etape 1'!G168),ISBLANK('Etape 1'!H168)),999,9999),IF(VLOOKUP($C173,Matrix_Berechnungen1.Rang.Pumpendaten.Zwischenresultate,$C$9,0)&gt;0,VLOOKUP($C173,Matrix_Berechnungen1.Rang.Pumpendaten.Zwischenresultate,K$9,0),""))</f>
        <v>999</v>
      </c>
      <c r="L173" s="184">
        <f t="shared" ref="L173:M192" ca="1" si="60">IF(VLOOKUP($C173,Matrix_Berechnungen1.Rang.Pumpendaten.Zwischenresultate,$C$9,0)&gt;0,VLOOKUP($C173,Matrix_Berechnungen1.Rang.Pumpendaten.Zwischenresultate,L$9,0),"")</f>
        <v>161</v>
      </c>
      <c r="M173" s="184">
        <f t="shared" ca="1" si="60"/>
        <v>0</v>
      </c>
      <c r="N173" s="84"/>
      <c r="O173" s="84"/>
      <c r="P173" s="84"/>
      <c r="Q173" s="69" t="str">
        <f t="shared" si="46"/>
        <v/>
      </c>
      <c r="R173" s="84"/>
      <c r="S173" s="65" t="str">
        <f t="shared" si="47"/>
        <v/>
      </c>
      <c r="T173" s="69" t="str">
        <f t="shared" si="48"/>
        <v/>
      </c>
      <c r="U173" s="84"/>
      <c r="V173" s="65" t="str">
        <f t="shared" si="49"/>
        <v/>
      </c>
      <c r="W173" s="108"/>
      <c r="X173" s="108"/>
      <c r="Y173" s="108"/>
      <c r="Z173" s="110" t="str">
        <f t="shared" si="50"/>
        <v/>
      </c>
      <c r="AA173" s="199">
        <f>IF(ISERROR('Berechnungen 2'!AR376),"",'Berechnungen 2'!AR376)</f>
        <v>0</v>
      </c>
      <c r="AB173" s="200">
        <f>IF(ISERROR('Berechnungen 2'!AS376),"",'Berechnungen 2'!AS376)</f>
        <v>0</v>
      </c>
      <c r="AC173" s="200">
        <f>IF(ISERROR('Berechnungen 2'!AT376),"",'Berechnungen 2'!AT376)</f>
        <v>0</v>
      </c>
      <c r="AD173" s="199">
        <f>IF(ISERROR('Berechnungen 2'!BE376),"",'Berechnungen 2'!BE376)</f>
        <v>0</v>
      </c>
      <c r="AE173" s="200">
        <f>IF(ISERROR('Berechnungen 2'!BF376),"",'Berechnungen 2'!BF376)</f>
        <v>0</v>
      </c>
      <c r="AF173" s="200">
        <f>IF(ISERROR('Berechnungen 2'!BG376),"",'Berechnungen 2'!BG376)</f>
        <v>0</v>
      </c>
      <c r="AG173" s="199" t="str">
        <f>IF(ISNUMBER(A173),IF(ISERROR('Berechnungen 2'!BK376),"",'Berechnungen 2'!BK376),"")</f>
        <v/>
      </c>
      <c r="AH173" s="200">
        <f>IF(ISERROR('Berechnungen 2'!BL376),"",'Berechnungen 2'!BL376)</f>
        <v>0</v>
      </c>
      <c r="AI173" s="200">
        <f>IF(ISERROR('Berechnungen 2'!BM376),"",'Berechnungen 2'!BM376)</f>
        <v>0</v>
      </c>
    </row>
    <row r="174" spans="1:35" x14ac:dyDescent="0.2">
      <c r="A174" s="71" t="str">
        <f t="shared" si="55"/>
        <v/>
      </c>
      <c r="B174" s="193">
        <f t="shared" si="56"/>
        <v>162</v>
      </c>
      <c r="C174" s="192">
        <f ca="1">IF(ISERROR(LARGE('Berechnungen 1'!$A$12:$A$311,B174)),"",LARGE('Berechnungen 1'!$A$12:$A$311,B174))</f>
        <v>139</v>
      </c>
      <c r="D174" s="76" t="str">
        <f t="shared" si="59"/>
        <v/>
      </c>
      <c r="E174" s="76" t="str">
        <f t="shared" si="59"/>
        <v/>
      </c>
      <c r="F174" s="155" t="str">
        <f t="shared" si="41"/>
        <v/>
      </c>
      <c r="G174" s="204" t="str">
        <f t="shared" si="42"/>
        <v/>
      </c>
      <c r="H174" s="156" t="str">
        <f t="shared" si="43"/>
        <v/>
      </c>
      <c r="I174" s="155" t="str">
        <f t="shared" si="44"/>
        <v/>
      </c>
      <c r="J174" s="184">
        <f t="shared" ca="1" si="45"/>
        <v>999999</v>
      </c>
      <c r="K174" s="184">
        <f>IF(OR(ISBLANK('Etape 1'!E169),ISBLANK('Etape 1'!F169)),IF(AND(ISBLANK('Etape 1'!B169),ISBLANK('Etape 1'!C169),ISBLANK('Etape 1'!D169),ISBLANK('Etape 1'!E169),ISBLANK('Etape 1'!F169),ISBLANK('Etape 1'!G169),ISBLANK('Etape 1'!H169)),999,9999),IF(VLOOKUP($C174,Matrix_Berechnungen1.Rang.Pumpendaten.Zwischenresultate,$C$9,0)&gt;0,VLOOKUP($C174,Matrix_Berechnungen1.Rang.Pumpendaten.Zwischenresultate,K$9,0),""))</f>
        <v>999</v>
      </c>
      <c r="L174" s="184">
        <f t="shared" ca="1" si="60"/>
        <v>162</v>
      </c>
      <c r="M174" s="184">
        <f t="shared" ca="1" si="60"/>
        <v>0</v>
      </c>
      <c r="N174" s="84"/>
      <c r="O174" s="84"/>
      <c r="P174" s="84"/>
      <c r="Q174" s="69" t="str">
        <f t="shared" si="46"/>
        <v/>
      </c>
      <c r="R174" s="84"/>
      <c r="S174" s="65" t="str">
        <f t="shared" si="47"/>
        <v/>
      </c>
      <c r="T174" s="69" t="str">
        <f t="shared" si="48"/>
        <v/>
      </c>
      <c r="U174" s="84"/>
      <c r="V174" s="65" t="str">
        <f t="shared" si="49"/>
        <v/>
      </c>
      <c r="W174" s="108"/>
      <c r="X174" s="108"/>
      <c r="Y174" s="108"/>
      <c r="Z174" s="110" t="str">
        <f t="shared" si="50"/>
        <v/>
      </c>
      <c r="AA174" s="199">
        <f>IF(ISERROR('Berechnungen 2'!AR377),"",'Berechnungen 2'!AR377)</f>
        <v>0</v>
      </c>
      <c r="AB174" s="200">
        <f>IF(ISERROR('Berechnungen 2'!AS377),"",'Berechnungen 2'!AS377)</f>
        <v>0</v>
      </c>
      <c r="AC174" s="200">
        <f>IF(ISERROR('Berechnungen 2'!AT377),"",'Berechnungen 2'!AT377)</f>
        <v>0</v>
      </c>
      <c r="AD174" s="199">
        <f>IF(ISERROR('Berechnungen 2'!BE377),"",'Berechnungen 2'!BE377)</f>
        <v>0</v>
      </c>
      <c r="AE174" s="200">
        <f>IF(ISERROR('Berechnungen 2'!BF377),"",'Berechnungen 2'!BF377)</f>
        <v>0</v>
      </c>
      <c r="AF174" s="200">
        <f>IF(ISERROR('Berechnungen 2'!BG377),"",'Berechnungen 2'!BG377)</f>
        <v>0</v>
      </c>
      <c r="AG174" s="199" t="str">
        <f>IF(ISNUMBER(A174),IF(ISERROR('Berechnungen 2'!BK377),"",'Berechnungen 2'!BK377),"")</f>
        <v/>
      </c>
      <c r="AH174" s="200">
        <f>IF(ISERROR('Berechnungen 2'!BL377),"",'Berechnungen 2'!BL377)</f>
        <v>0</v>
      </c>
      <c r="AI174" s="200">
        <f>IF(ISERROR('Berechnungen 2'!BM377),"",'Berechnungen 2'!BM377)</f>
        <v>0</v>
      </c>
    </row>
    <row r="175" spans="1:35" x14ac:dyDescent="0.2">
      <c r="A175" s="71" t="str">
        <f t="shared" si="55"/>
        <v/>
      </c>
      <c r="B175" s="193">
        <f t="shared" si="56"/>
        <v>163</v>
      </c>
      <c r="C175" s="192">
        <f ca="1">IF(ISERROR(LARGE('Berechnungen 1'!$A$12:$A$311,B175)),"",LARGE('Berechnungen 1'!$A$12:$A$311,B175))</f>
        <v>138</v>
      </c>
      <c r="D175" s="76" t="str">
        <f t="shared" si="59"/>
        <v/>
      </c>
      <c r="E175" s="76" t="str">
        <f t="shared" si="59"/>
        <v/>
      </c>
      <c r="F175" s="155" t="str">
        <f t="shared" ref="F175:F238" si="61">IF(ISNUMBER(A175),IF(VLOOKUP($C175,Matrix_Berechnungen1.Rang.Pumpendaten.Zwischenresultate,C$9,0)&gt;0,IF(VLOOKUP($C175,Matrix_Berechnungen1.Rang.Pumpendaten.Zwischenresultate,F$9,0)=0,"",VLOOKUP($C175,Matrix_Berechnungen1.Rang.Pumpendaten.Zwischenresultate,F$9,0)),""),"")</f>
        <v/>
      </c>
      <c r="G175" s="204" t="str">
        <f t="shared" ref="G175:G238" si="62">IF(ISNUMBER(A175),IF(VLOOKUP($C175,Matrix_Berechnungen1.Rang.Pumpendaten.Zwischenresultate,C$9,0)&gt;0,IF(VLOOKUP($C175,Matrix_Berechnungen1.Rang.Pumpendaten.Zwischenresultate,G$9,0)=0,"",VLOOKUP($C175,Matrix_Berechnungen1.Rang.Pumpendaten.Zwischenresultate,G$9,0)),""),"")</f>
        <v/>
      </c>
      <c r="H175" s="156" t="str">
        <f t="shared" ref="H175:H238" si="63">IF(ISNUMBER(A175),IF(VLOOKUP($C175,Matrix_Berechnungen1.Rang.Pumpendaten.Zwischenresultate,C$9,0)&gt;0,IF(VLOOKUP($C175,Matrix_Berechnungen1.Rang.Pumpendaten.Zwischenresultate,H$9,0)=0,"",VLOOKUP($C175,Matrix_Berechnungen1.Rang.Pumpendaten.Zwischenresultate,H$9,0)),""),"")</f>
        <v/>
      </c>
      <c r="I175" s="155" t="str">
        <f t="shared" ref="I175:I238" si="64">IF(ISNUMBER(A175),IF(VLOOKUP($C175,Matrix_Berechnungen1.Rang.Pumpendaten.Zwischenresultate,C$9,0)&gt;0,IF(VLOOKUP($C175,Matrix_Berechnungen1.Rang.Pumpendaten.Zwischenresultate,I$9,0)=0,"",VLOOKUP($C175,Matrix_Berechnungen1.Rang.Pumpendaten.Zwischenresultate,I$9,0)),""),"")</f>
        <v/>
      </c>
      <c r="J175" s="184">
        <f t="shared" ref="J175:J238" ca="1" si="65">IF(VLOOKUP($C175,Matrix_Berechnungen1.Rang.Pumpendaten.Zwischenresultate,C$9,0)&gt;0,VLOOKUP($C175,Matrix_Berechnungen1.Rang.Pumpendaten.Zwischenresultate,J$9,0),"")</f>
        <v>999999</v>
      </c>
      <c r="K175" s="184">
        <f>IF(OR(ISBLANK('Etape 1'!E170),ISBLANK('Etape 1'!F170)),IF(AND(ISBLANK('Etape 1'!B170),ISBLANK('Etape 1'!C170),ISBLANK('Etape 1'!D170),ISBLANK('Etape 1'!E170),ISBLANK('Etape 1'!F170),ISBLANK('Etape 1'!G170),ISBLANK('Etape 1'!H170)),999,9999),IF(VLOOKUP($C175,Matrix_Berechnungen1.Rang.Pumpendaten.Zwischenresultate,$C$9,0)&gt;0,VLOOKUP($C175,Matrix_Berechnungen1.Rang.Pumpendaten.Zwischenresultate,K$9,0),""))</f>
        <v>999</v>
      </c>
      <c r="L175" s="184">
        <f t="shared" ca="1" si="60"/>
        <v>163</v>
      </c>
      <c r="M175" s="184">
        <f t="shared" ca="1" si="60"/>
        <v>0</v>
      </c>
      <c r="N175" s="84"/>
      <c r="O175" s="84"/>
      <c r="P175" s="84"/>
      <c r="Q175" s="69" t="str">
        <f t="shared" ref="Q175:Q238" si="66">IF(ISNUMBER(A175),St.Wert_Motor.Pole.Anzahl,"")</f>
        <v/>
      </c>
      <c r="R175" s="84"/>
      <c r="S175" s="65" t="str">
        <f t="shared" ref="S175:S238" si="67">IF(ISBLANK(R175),Q175,R175)</f>
        <v/>
      </c>
      <c r="T175" s="69" t="str">
        <f t="shared" ref="T175:T238" si="68">IF(ISNUMBER(A175),VLOOKUP($C175,Matrix_Berechnungen1.Rang.Pumpendaten.Zwischenresultate,T$9,0),"")</f>
        <v/>
      </c>
      <c r="U175" s="84"/>
      <c r="V175" s="65" t="str">
        <f t="shared" ref="V175:V238" si="69">IF(ISBLANK(U175),T175,U175)</f>
        <v/>
      </c>
      <c r="W175" s="108"/>
      <c r="X175" s="108"/>
      <c r="Y175" s="108"/>
      <c r="Z175" s="110" t="str">
        <f t="shared" ref="Z175:Z238" si="70">IF(ISNUMBER(A175),IF(ISNUMBER(H175),H175-SUM(W175:Y175),0-SUM(W175:Y175)),"")</f>
        <v/>
      </c>
      <c r="AA175" s="199">
        <f>IF(ISERROR('Berechnungen 2'!AR378),"",'Berechnungen 2'!AR378)</f>
        <v>0</v>
      </c>
      <c r="AB175" s="200">
        <f>IF(ISERROR('Berechnungen 2'!AS378),"",'Berechnungen 2'!AS378)</f>
        <v>0</v>
      </c>
      <c r="AC175" s="200">
        <f>IF(ISERROR('Berechnungen 2'!AT378),"",'Berechnungen 2'!AT378)</f>
        <v>0</v>
      </c>
      <c r="AD175" s="199">
        <f>IF(ISERROR('Berechnungen 2'!BE378),"",'Berechnungen 2'!BE378)</f>
        <v>0</v>
      </c>
      <c r="AE175" s="200">
        <f>IF(ISERROR('Berechnungen 2'!BF378),"",'Berechnungen 2'!BF378)</f>
        <v>0</v>
      </c>
      <c r="AF175" s="200">
        <f>IF(ISERROR('Berechnungen 2'!BG378),"",'Berechnungen 2'!BG378)</f>
        <v>0</v>
      </c>
      <c r="AG175" s="199" t="str">
        <f>IF(ISNUMBER(A175),IF(ISERROR('Berechnungen 2'!BK378),"",'Berechnungen 2'!BK378),"")</f>
        <v/>
      </c>
      <c r="AH175" s="200">
        <f>IF(ISERROR('Berechnungen 2'!BL378),"",'Berechnungen 2'!BL378)</f>
        <v>0</v>
      </c>
      <c r="AI175" s="200">
        <f>IF(ISERROR('Berechnungen 2'!BM378),"",'Berechnungen 2'!BM378)</f>
        <v>0</v>
      </c>
    </row>
    <row r="176" spans="1:35" x14ac:dyDescent="0.2">
      <c r="A176" s="71" t="str">
        <f t="shared" si="55"/>
        <v/>
      </c>
      <c r="B176" s="193">
        <f t="shared" si="56"/>
        <v>164</v>
      </c>
      <c r="C176" s="192">
        <f ca="1">IF(ISERROR(LARGE('Berechnungen 1'!$A$12:$A$311,B176)),"",LARGE('Berechnungen 1'!$A$12:$A$311,B176))</f>
        <v>137</v>
      </c>
      <c r="D176" s="76" t="str">
        <f t="shared" si="59"/>
        <v/>
      </c>
      <c r="E176" s="76" t="str">
        <f t="shared" si="59"/>
        <v/>
      </c>
      <c r="F176" s="155" t="str">
        <f t="shared" si="61"/>
        <v/>
      </c>
      <c r="G176" s="204" t="str">
        <f t="shared" si="62"/>
        <v/>
      </c>
      <c r="H176" s="156" t="str">
        <f t="shared" si="63"/>
        <v/>
      </c>
      <c r="I176" s="155" t="str">
        <f t="shared" si="64"/>
        <v/>
      </c>
      <c r="J176" s="184">
        <f t="shared" ca="1" si="65"/>
        <v>999999</v>
      </c>
      <c r="K176" s="184">
        <f>IF(OR(ISBLANK('Etape 1'!E171),ISBLANK('Etape 1'!F171)),IF(AND(ISBLANK('Etape 1'!B171),ISBLANK('Etape 1'!C171),ISBLANK('Etape 1'!D171),ISBLANK('Etape 1'!E171),ISBLANK('Etape 1'!F171),ISBLANK('Etape 1'!G171),ISBLANK('Etape 1'!H171)),999,9999),IF(VLOOKUP($C176,Matrix_Berechnungen1.Rang.Pumpendaten.Zwischenresultate,$C$9,0)&gt;0,VLOOKUP($C176,Matrix_Berechnungen1.Rang.Pumpendaten.Zwischenresultate,K$9,0),""))</f>
        <v>999</v>
      </c>
      <c r="L176" s="184">
        <f t="shared" ca="1" si="60"/>
        <v>164</v>
      </c>
      <c r="M176" s="184">
        <f t="shared" ca="1" si="60"/>
        <v>0</v>
      </c>
      <c r="N176" s="84"/>
      <c r="O176" s="84"/>
      <c r="P176" s="84"/>
      <c r="Q176" s="69" t="str">
        <f t="shared" si="66"/>
        <v/>
      </c>
      <c r="R176" s="84"/>
      <c r="S176" s="65" t="str">
        <f t="shared" si="67"/>
        <v/>
      </c>
      <c r="T176" s="69" t="str">
        <f t="shared" si="68"/>
        <v/>
      </c>
      <c r="U176" s="84"/>
      <c r="V176" s="65" t="str">
        <f t="shared" si="69"/>
        <v/>
      </c>
      <c r="W176" s="108"/>
      <c r="X176" s="108"/>
      <c r="Y176" s="108"/>
      <c r="Z176" s="110" t="str">
        <f t="shared" si="70"/>
        <v/>
      </c>
      <c r="AA176" s="199">
        <f>IF(ISERROR('Berechnungen 2'!AR379),"",'Berechnungen 2'!AR379)</f>
        <v>0</v>
      </c>
      <c r="AB176" s="200">
        <f>IF(ISERROR('Berechnungen 2'!AS379),"",'Berechnungen 2'!AS379)</f>
        <v>0</v>
      </c>
      <c r="AC176" s="200">
        <f>IF(ISERROR('Berechnungen 2'!AT379),"",'Berechnungen 2'!AT379)</f>
        <v>0</v>
      </c>
      <c r="AD176" s="199">
        <f>IF(ISERROR('Berechnungen 2'!BE379),"",'Berechnungen 2'!BE379)</f>
        <v>0</v>
      </c>
      <c r="AE176" s="200">
        <f>IF(ISERROR('Berechnungen 2'!BF379),"",'Berechnungen 2'!BF379)</f>
        <v>0</v>
      </c>
      <c r="AF176" s="200">
        <f>IF(ISERROR('Berechnungen 2'!BG379),"",'Berechnungen 2'!BG379)</f>
        <v>0</v>
      </c>
      <c r="AG176" s="199" t="str">
        <f>IF(ISNUMBER(A176),IF(ISERROR('Berechnungen 2'!BK379),"",'Berechnungen 2'!BK379),"")</f>
        <v/>
      </c>
      <c r="AH176" s="200">
        <f>IF(ISERROR('Berechnungen 2'!BL379),"",'Berechnungen 2'!BL379)</f>
        <v>0</v>
      </c>
      <c r="AI176" s="200">
        <f>IF(ISERROR('Berechnungen 2'!BM379),"",'Berechnungen 2'!BM379)</f>
        <v>0</v>
      </c>
    </row>
    <row r="177" spans="1:35" x14ac:dyDescent="0.2">
      <c r="A177" s="71" t="str">
        <f t="shared" si="55"/>
        <v/>
      </c>
      <c r="B177" s="193">
        <f t="shared" si="56"/>
        <v>165</v>
      </c>
      <c r="C177" s="192">
        <f ca="1">IF(ISERROR(LARGE('Berechnungen 1'!$A$12:$A$311,B177)),"",LARGE('Berechnungen 1'!$A$12:$A$311,B177))</f>
        <v>136</v>
      </c>
      <c r="D177" s="76" t="str">
        <f t="shared" si="59"/>
        <v/>
      </c>
      <c r="E177" s="76" t="str">
        <f t="shared" si="59"/>
        <v/>
      </c>
      <c r="F177" s="155" t="str">
        <f t="shared" si="61"/>
        <v/>
      </c>
      <c r="G177" s="204" t="str">
        <f t="shared" si="62"/>
        <v/>
      </c>
      <c r="H177" s="156" t="str">
        <f t="shared" si="63"/>
        <v/>
      </c>
      <c r="I177" s="155" t="str">
        <f t="shared" si="64"/>
        <v/>
      </c>
      <c r="J177" s="184">
        <f t="shared" ca="1" si="65"/>
        <v>999999</v>
      </c>
      <c r="K177" s="184">
        <f>IF(OR(ISBLANK('Etape 1'!E172),ISBLANK('Etape 1'!F172)),IF(AND(ISBLANK('Etape 1'!B172),ISBLANK('Etape 1'!C172),ISBLANK('Etape 1'!D172),ISBLANK('Etape 1'!E172),ISBLANK('Etape 1'!F172),ISBLANK('Etape 1'!G172),ISBLANK('Etape 1'!H172)),999,9999),IF(VLOOKUP($C177,Matrix_Berechnungen1.Rang.Pumpendaten.Zwischenresultate,$C$9,0)&gt;0,VLOOKUP($C177,Matrix_Berechnungen1.Rang.Pumpendaten.Zwischenresultate,K$9,0),""))</f>
        <v>999</v>
      </c>
      <c r="L177" s="184">
        <f t="shared" ca="1" si="60"/>
        <v>165</v>
      </c>
      <c r="M177" s="184">
        <f t="shared" ca="1" si="60"/>
        <v>0</v>
      </c>
      <c r="N177" s="84"/>
      <c r="O177" s="84"/>
      <c r="P177" s="84"/>
      <c r="Q177" s="69" t="str">
        <f t="shared" si="66"/>
        <v/>
      </c>
      <c r="R177" s="84"/>
      <c r="S177" s="65" t="str">
        <f t="shared" si="67"/>
        <v/>
      </c>
      <c r="T177" s="69" t="str">
        <f t="shared" si="68"/>
        <v/>
      </c>
      <c r="U177" s="84"/>
      <c r="V177" s="65" t="str">
        <f t="shared" si="69"/>
        <v/>
      </c>
      <c r="W177" s="108"/>
      <c r="X177" s="108"/>
      <c r="Y177" s="108"/>
      <c r="Z177" s="110" t="str">
        <f t="shared" si="70"/>
        <v/>
      </c>
      <c r="AA177" s="199">
        <f>IF(ISERROR('Berechnungen 2'!AR380),"",'Berechnungen 2'!AR380)</f>
        <v>0</v>
      </c>
      <c r="AB177" s="200">
        <f>IF(ISERROR('Berechnungen 2'!AS380),"",'Berechnungen 2'!AS380)</f>
        <v>0</v>
      </c>
      <c r="AC177" s="200">
        <f>IF(ISERROR('Berechnungen 2'!AT380),"",'Berechnungen 2'!AT380)</f>
        <v>0</v>
      </c>
      <c r="AD177" s="199">
        <f>IF(ISERROR('Berechnungen 2'!BE380),"",'Berechnungen 2'!BE380)</f>
        <v>0</v>
      </c>
      <c r="AE177" s="200">
        <f>IF(ISERROR('Berechnungen 2'!BF380),"",'Berechnungen 2'!BF380)</f>
        <v>0</v>
      </c>
      <c r="AF177" s="200">
        <f>IF(ISERROR('Berechnungen 2'!BG380),"",'Berechnungen 2'!BG380)</f>
        <v>0</v>
      </c>
      <c r="AG177" s="199" t="str">
        <f>IF(ISNUMBER(A177),IF(ISERROR('Berechnungen 2'!BK380),"",'Berechnungen 2'!BK380),"")</f>
        <v/>
      </c>
      <c r="AH177" s="200">
        <f>IF(ISERROR('Berechnungen 2'!BL380),"",'Berechnungen 2'!BL380)</f>
        <v>0</v>
      </c>
      <c r="AI177" s="200">
        <f>IF(ISERROR('Berechnungen 2'!BM380),"",'Berechnungen 2'!BM380)</f>
        <v>0</v>
      </c>
    </row>
    <row r="178" spans="1:35" x14ac:dyDescent="0.2">
      <c r="A178" s="71" t="str">
        <f t="shared" si="55"/>
        <v/>
      </c>
      <c r="B178" s="193">
        <f t="shared" si="56"/>
        <v>166</v>
      </c>
      <c r="C178" s="192">
        <f ca="1">IF(ISERROR(LARGE('Berechnungen 1'!$A$12:$A$311,B178)),"",LARGE('Berechnungen 1'!$A$12:$A$311,B178))</f>
        <v>135</v>
      </c>
      <c r="D178" s="76" t="str">
        <f t="shared" si="59"/>
        <v/>
      </c>
      <c r="E178" s="76" t="str">
        <f t="shared" si="59"/>
        <v/>
      </c>
      <c r="F178" s="155" t="str">
        <f t="shared" si="61"/>
        <v/>
      </c>
      <c r="G178" s="204" t="str">
        <f t="shared" si="62"/>
        <v/>
      </c>
      <c r="H178" s="156" t="str">
        <f t="shared" si="63"/>
        <v/>
      </c>
      <c r="I178" s="155" t="str">
        <f t="shared" si="64"/>
        <v/>
      </c>
      <c r="J178" s="184">
        <f t="shared" ca="1" si="65"/>
        <v>999999</v>
      </c>
      <c r="K178" s="184">
        <f>IF(OR(ISBLANK('Etape 1'!E173),ISBLANK('Etape 1'!F173)),IF(AND(ISBLANK('Etape 1'!B173),ISBLANK('Etape 1'!C173),ISBLANK('Etape 1'!D173),ISBLANK('Etape 1'!E173),ISBLANK('Etape 1'!F173),ISBLANK('Etape 1'!G173),ISBLANK('Etape 1'!H173)),999,9999),IF(VLOOKUP($C178,Matrix_Berechnungen1.Rang.Pumpendaten.Zwischenresultate,$C$9,0)&gt;0,VLOOKUP($C178,Matrix_Berechnungen1.Rang.Pumpendaten.Zwischenresultate,K$9,0),""))</f>
        <v>999</v>
      </c>
      <c r="L178" s="184">
        <f t="shared" ca="1" si="60"/>
        <v>166</v>
      </c>
      <c r="M178" s="184">
        <f t="shared" ca="1" si="60"/>
        <v>0</v>
      </c>
      <c r="N178" s="84"/>
      <c r="O178" s="84"/>
      <c r="P178" s="84"/>
      <c r="Q178" s="69" t="str">
        <f t="shared" si="66"/>
        <v/>
      </c>
      <c r="R178" s="84"/>
      <c r="S178" s="65" t="str">
        <f t="shared" si="67"/>
        <v/>
      </c>
      <c r="T178" s="69" t="str">
        <f t="shared" si="68"/>
        <v/>
      </c>
      <c r="U178" s="84"/>
      <c r="V178" s="65" t="str">
        <f t="shared" si="69"/>
        <v/>
      </c>
      <c r="W178" s="108"/>
      <c r="X178" s="108"/>
      <c r="Y178" s="108"/>
      <c r="Z178" s="110" t="str">
        <f t="shared" si="70"/>
        <v/>
      </c>
      <c r="AA178" s="199">
        <f>IF(ISERROR('Berechnungen 2'!AR381),"",'Berechnungen 2'!AR381)</f>
        <v>0</v>
      </c>
      <c r="AB178" s="200">
        <f>IF(ISERROR('Berechnungen 2'!AS381),"",'Berechnungen 2'!AS381)</f>
        <v>0</v>
      </c>
      <c r="AC178" s="200">
        <f>IF(ISERROR('Berechnungen 2'!AT381),"",'Berechnungen 2'!AT381)</f>
        <v>0</v>
      </c>
      <c r="AD178" s="199">
        <f>IF(ISERROR('Berechnungen 2'!BE381),"",'Berechnungen 2'!BE381)</f>
        <v>0</v>
      </c>
      <c r="AE178" s="200">
        <f>IF(ISERROR('Berechnungen 2'!BF381),"",'Berechnungen 2'!BF381)</f>
        <v>0</v>
      </c>
      <c r="AF178" s="200">
        <f>IF(ISERROR('Berechnungen 2'!BG381),"",'Berechnungen 2'!BG381)</f>
        <v>0</v>
      </c>
      <c r="AG178" s="199" t="str">
        <f>IF(ISNUMBER(A178),IF(ISERROR('Berechnungen 2'!BK381),"",'Berechnungen 2'!BK381),"")</f>
        <v/>
      </c>
      <c r="AH178" s="200">
        <f>IF(ISERROR('Berechnungen 2'!BL381),"",'Berechnungen 2'!BL381)</f>
        <v>0</v>
      </c>
      <c r="AI178" s="200">
        <f>IF(ISERROR('Berechnungen 2'!BM381),"",'Berechnungen 2'!BM381)</f>
        <v>0</v>
      </c>
    </row>
    <row r="179" spans="1:35" x14ac:dyDescent="0.2">
      <c r="A179" s="71" t="str">
        <f t="shared" si="55"/>
        <v/>
      </c>
      <c r="B179" s="193">
        <f t="shared" si="56"/>
        <v>167</v>
      </c>
      <c r="C179" s="192">
        <f ca="1">IF(ISERROR(LARGE('Berechnungen 1'!$A$12:$A$311,B179)),"",LARGE('Berechnungen 1'!$A$12:$A$311,B179))</f>
        <v>134</v>
      </c>
      <c r="D179" s="76" t="str">
        <f t="shared" si="59"/>
        <v/>
      </c>
      <c r="E179" s="76" t="str">
        <f t="shared" si="59"/>
        <v/>
      </c>
      <c r="F179" s="155" t="str">
        <f t="shared" si="61"/>
        <v/>
      </c>
      <c r="G179" s="204" t="str">
        <f t="shared" si="62"/>
        <v/>
      </c>
      <c r="H179" s="156" t="str">
        <f t="shared" si="63"/>
        <v/>
      </c>
      <c r="I179" s="155" t="str">
        <f t="shared" si="64"/>
        <v/>
      </c>
      <c r="J179" s="184">
        <f t="shared" ca="1" si="65"/>
        <v>999999</v>
      </c>
      <c r="K179" s="184">
        <f>IF(OR(ISBLANK('Etape 1'!E174),ISBLANK('Etape 1'!F174)),IF(AND(ISBLANK('Etape 1'!B174),ISBLANK('Etape 1'!C174),ISBLANK('Etape 1'!D174),ISBLANK('Etape 1'!E174),ISBLANK('Etape 1'!F174),ISBLANK('Etape 1'!G174),ISBLANK('Etape 1'!H174)),999,9999),IF(VLOOKUP($C179,Matrix_Berechnungen1.Rang.Pumpendaten.Zwischenresultate,$C$9,0)&gt;0,VLOOKUP($C179,Matrix_Berechnungen1.Rang.Pumpendaten.Zwischenresultate,K$9,0),""))</f>
        <v>999</v>
      </c>
      <c r="L179" s="184">
        <f t="shared" ca="1" si="60"/>
        <v>167</v>
      </c>
      <c r="M179" s="184">
        <f t="shared" ca="1" si="60"/>
        <v>0</v>
      </c>
      <c r="N179" s="84"/>
      <c r="O179" s="84"/>
      <c r="P179" s="84"/>
      <c r="Q179" s="69" t="str">
        <f t="shared" si="66"/>
        <v/>
      </c>
      <c r="R179" s="84"/>
      <c r="S179" s="65" t="str">
        <f t="shared" si="67"/>
        <v/>
      </c>
      <c r="T179" s="69" t="str">
        <f t="shared" si="68"/>
        <v/>
      </c>
      <c r="U179" s="84"/>
      <c r="V179" s="65" t="str">
        <f t="shared" si="69"/>
        <v/>
      </c>
      <c r="W179" s="108"/>
      <c r="X179" s="108"/>
      <c r="Y179" s="108"/>
      <c r="Z179" s="110" t="str">
        <f t="shared" si="70"/>
        <v/>
      </c>
      <c r="AA179" s="199">
        <f>IF(ISERROR('Berechnungen 2'!AR382),"",'Berechnungen 2'!AR382)</f>
        <v>0</v>
      </c>
      <c r="AB179" s="200">
        <f>IF(ISERROR('Berechnungen 2'!AS382),"",'Berechnungen 2'!AS382)</f>
        <v>0</v>
      </c>
      <c r="AC179" s="200">
        <f>IF(ISERROR('Berechnungen 2'!AT382),"",'Berechnungen 2'!AT382)</f>
        <v>0</v>
      </c>
      <c r="AD179" s="199">
        <f>IF(ISERROR('Berechnungen 2'!BE382),"",'Berechnungen 2'!BE382)</f>
        <v>0</v>
      </c>
      <c r="AE179" s="200">
        <f>IF(ISERROR('Berechnungen 2'!BF382),"",'Berechnungen 2'!BF382)</f>
        <v>0</v>
      </c>
      <c r="AF179" s="200">
        <f>IF(ISERROR('Berechnungen 2'!BG382),"",'Berechnungen 2'!BG382)</f>
        <v>0</v>
      </c>
      <c r="AG179" s="199" t="str">
        <f>IF(ISNUMBER(A179),IF(ISERROR('Berechnungen 2'!BK382),"",'Berechnungen 2'!BK382),"")</f>
        <v/>
      </c>
      <c r="AH179" s="200">
        <f>IF(ISERROR('Berechnungen 2'!BL382),"",'Berechnungen 2'!BL382)</f>
        <v>0</v>
      </c>
      <c r="AI179" s="200">
        <f>IF(ISERROR('Berechnungen 2'!BM382),"",'Berechnungen 2'!BM382)</f>
        <v>0</v>
      </c>
    </row>
    <row r="180" spans="1:35" x14ac:dyDescent="0.2">
      <c r="A180" s="71" t="str">
        <f t="shared" si="55"/>
        <v/>
      </c>
      <c r="B180" s="193">
        <f t="shared" si="56"/>
        <v>168</v>
      </c>
      <c r="C180" s="192">
        <f ca="1">IF(ISERROR(LARGE('Berechnungen 1'!$A$12:$A$311,B180)),"",LARGE('Berechnungen 1'!$A$12:$A$311,B180))</f>
        <v>133</v>
      </c>
      <c r="D180" s="76" t="str">
        <f t="shared" si="59"/>
        <v/>
      </c>
      <c r="E180" s="76" t="str">
        <f t="shared" si="59"/>
        <v/>
      </c>
      <c r="F180" s="155" t="str">
        <f t="shared" si="61"/>
        <v/>
      </c>
      <c r="G180" s="204" t="str">
        <f t="shared" si="62"/>
        <v/>
      </c>
      <c r="H180" s="156" t="str">
        <f t="shared" si="63"/>
        <v/>
      </c>
      <c r="I180" s="155" t="str">
        <f t="shared" si="64"/>
        <v/>
      </c>
      <c r="J180" s="184">
        <f t="shared" ca="1" si="65"/>
        <v>999999</v>
      </c>
      <c r="K180" s="184">
        <f>IF(OR(ISBLANK('Etape 1'!E175),ISBLANK('Etape 1'!F175)),IF(AND(ISBLANK('Etape 1'!B175),ISBLANK('Etape 1'!C175),ISBLANK('Etape 1'!D175),ISBLANK('Etape 1'!E175),ISBLANK('Etape 1'!F175),ISBLANK('Etape 1'!G175),ISBLANK('Etape 1'!H175)),999,9999),IF(VLOOKUP($C180,Matrix_Berechnungen1.Rang.Pumpendaten.Zwischenresultate,$C$9,0)&gt;0,VLOOKUP($C180,Matrix_Berechnungen1.Rang.Pumpendaten.Zwischenresultate,K$9,0),""))</f>
        <v>999</v>
      </c>
      <c r="L180" s="184">
        <f t="shared" ca="1" si="60"/>
        <v>168</v>
      </c>
      <c r="M180" s="184">
        <f t="shared" ca="1" si="60"/>
        <v>0</v>
      </c>
      <c r="N180" s="84"/>
      <c r="O180" s="84"/>
      <c r="P180" s="84"/>
      <c r="Q180" s="69" t="str">
        <f t="shared" si="66"/>
        <v/>
      </c>
      <c r="R180" s="84"/>
      <c r="S180" s="65" t="str">
        <f t="shared" si="67"/>
        <v/>
      </c>
      <c r="T180" s="69" t="str">
        <f t="shared" si="68"/>
        <v/>
      </c>
      <c r="U180" s="84"/>
      <c r="V180" s="65" t="str">
        <f t="shared" si="69"/>
        <v/>
      </c>
      <c r="W180" s="108"/>
      <c r="X180" s="108"/>
      <c r="Y180" s="108"/>
      <c r="Z180" s="110" t="str">
        <f t="shared" si="70"/>
        <v/>
      </c>
      <c r="AA180" s="199">
        <f>IF(ISERROR('Berechnungen 2'!AR383),"",'Berechnungen 2'!AR383)</f>
        <v>0</v>
      </c>
      <c r="AB180" s="200">
        <f>IF(ISERROR('Berechnungen 2'!AS383),"",'Berechnungen 2'!AS383)</f>
        <v>0</v>
      </c>
      <c r="AC180" s="200">
        <f>IF(ISERROR('Berechnungen 2'!AT383),"",'Berechnungen 2'!AT383)</f>
        <v>0</v>
      </c>
      <c r="AD180" s="199">
        <f>IF(ISERROR('Berechnungen 2'!BE383),"",'Berechnungen 2'!BE383)</f>
        <v>0</v>
      </c>
      <c r="AE180" s="200">
        <f>IF(ISERROR('Berechnungen 2'!BF383),"",'Berechnungen 2'!BF383)</f>
        <v>0</v>
      </c>
      <c r="AF180" s="200">
        <f>IF(ISERROR('Berechnungen 2'!BG383),"",'Berechnungen 2'!BG383)</f>
        <v>0</v>
      </c>
      <c r="AG180" s="199" t="str">
        <f>IF(ISNUMBER(A180),IF(ISERROR('Berechnungen 2'!BK383),"",'Berechnungen 2'!BK383),"")</f>
        <v/>
      </c>
      <c r="AH180" s="200">
        <f>IF(ISERROR('Berechnungen 2'!BL383),"",'Berechnungen 2'!BL383)</f>
        <v>0</v>
      </c>
      <c r="AI180" s="200">
        <f>IF(ISERROR('Berechnungen 2'!BM383),"",'Berechnungen 2'!BM383)</f>
        <v>0</v>
      </c>
    </row>
    <row r="181" spans="1:35" x14ac:dyDescent="0.2">
      <c r="A181" s="71" t="str">
        <f t="shared" si="55"/>
        <v/>
      </c>
      <c r="B181" s="193">
        <f t="shared" si="56"/>
        <v>169</v>
      </c>
      <c r="C181" s="192">
        <f ca="1">IF(ISERROR(LARGE('Berechnungen 1'!$A$12:$A$311,B181)),"",LARGE('Berechnungen 1'!$A$12:$A$311,B181))</f>
        <v>132</v>
      </c>
      <c r="D181" s="76" t="str">
        <f t="shared" si="59"/>
        <v/>
      </c>
      <c r="E181" s="76" t="str">
        <f t="shared" si="59"/>
        <v/>
      </c>
      <c r="F181" s="155" t="str">
        <f t="shared" si="61"/>
        <v/>
      </c>
      <c r="G181" s="204" t="str">
        <f t="shared" si="62"/>
        <v/>
      </c>
      <c r="H181" s="156" t="str">
        <f t="shared" si="63"/>
        <v/>
      </c>
      <c r="I181" s="155" t="str">
        <f t="shared" si="64"/>
        <v/>
      </c>
      <c r="J181" s="184">
        <f t="shared" ca="1" si="65"/>
        <v>999999</v>
      </c>
      <c r="K181" s="184">
        <f>IF(OR(ISBLANK('Etape 1'!E176),ISBLANK('Etape 1'!F176)),IF(AND(ISBLANK('Etape 1'!B176),ISBLANK('Etape 1'!C176),ISBLANK('Etape 1'!D176),ISBLANK('Etape 1'!E176),ISBLANK('Etape 1'!F176),ISBLANK('Etape 1'!G176),ISBLANK('Etape 1'!H176)),999,9999),IF(VLOOKUP($C181,Matrix_Berechnungen1.Rang.Pumpendaten.Zwischenresultate,$C$9,0)&gt;0,VLOOKUP($C181,Matrix_Berechnungen1.Rang.Pumpendaten.Zwischenresultate,K$9,0),""))</f>
        <v>999</v>
      </c>
      <c r="L181" s="184">
        <f t="shared" ca="1" si="60"/>
        <v>169</v>
      </c>
      <c r="M181" s="184">
        <f t="shared" ca="1" si="60"/>
        <v>0</v>
      </c>
      <c r="N181" s="84"/>
      <c r="O181" s="84"/>
      <c r="P181" s="84"/>
      <c r="Q181" s="69" t="str">
        <f t="shared" si="66"/>
        <v/>
      </c>
      <c r="R181" s="84"/>
      <c r="S181" s="65" t="str">
        <f t="shared" si="67"/>
        <v/>
      </c>
      <c r="T181" s="69" t="str">
        <f t="shared" si="68"/>
        <v/>
      </c>
      <c r="U181" s="84"/>
      <c r="V181" s="65" t="str">
        <f t="shared" si="69"/>
        <v/>
      </c>
      <c r="W181" s="108"/>
      <c r="X181" s="108"/>
      <c r="Y181" s="108"/>
      <c r="Z181" s="110" t="str">
        <f t="shared" si="70"/>
        <v/>
      </c>
      <c r="AA181" s="199">
        <f>IF(ISERROR('Berechnungen 2'!AR384),"",'Berechnungen 2'!AR384)</f>
        <v>0</v>
      </c>
      <c r="AB181" s="200">
        <f>IF(ISERROR('Berechnungen 2'!AS384),"",'Berechnungen 2'!AS384)</f>
        <v>0</v>
      </c>
      <c r="AC181" s="200">
        <f>IF(ISERROR('Berechnungen 2'!AT384),"",'Berechnungen 2'!AT384)</f>
        <v>0</v>
      </c>
      <c r="AD181" s="199">
        <f>IF(ISERROR('Berechnungen 2'!BE384),"",'Berechnungen 2'!BE384)</f>
        <v>0</v>
      </c>
      <c r="AE181" s="200">
        <f>IF(ISERROR('Berechnungen 2'!BF384),"",'Berechnungen 2'!BF384)</f>
        <v>0</v>
      </c>
      <c r="AF181" s="200">
        <f>IF(ISERROR('Berechnungen 2'!BG384),"",'Berechnungen 2'!BG384)</f>
        <v>0</v>
      </c>
      <c r="AG181" s="199" t="str">
        <f>IF(ISNUMBER(A181),IF(ISERROR('Berechnungen 2'!BK384),"",'Berechnungen 2'!BK384),"")</f>
        <v/>
      </c>
      <c r="AH181" s="200">
        <f>IF(ISERROR('Berechnungen 2'!BL384),"",'Berechnungen 2'!BL384)</f>
        <v>0</v>
      </c>
      <c r="AI181" s="200">
        <f>IF(ISERROR('Berechnungen 2'!BM384),"",'Berechnungen 2'!BM384)</f>
        <v>0</v>
      </c>
    </row>
    <row r="182" spans="1:35" x14ac:dyDescent="0.2">
      <c r="A182" s="71" t="str">
        <f t="shared" si="55"/>
        <v/>
      </c>
      <c r="B182" s="193">
        <f t="shared" si="56"/>
        <v>170</v>
      </c>
      <c r="C182" s="192">
        <f ca="1">IF(ISERROR(LARGE('Berechnungen 1'!$A$12:$A$311,B182)),"",LARGE('Berechnungen 1'!$A$12:$A$311,B182))</f>
        <v>131</v>
      </c>
      <c r="D182" s="76" t="str">
        <f t="shared" si="59"/>
        <v/>
      </c>
      <c r="E182" s="76" t="str">
        <f t="shared" si="59"/>
        <v/>
      </c>
      <c r="F182" s="155" t="str">
        <f t="shared" si="61"/>
        <v/>
      </c>
      <c r="G182" s="204" t="str">
        <f t="shared" si="62"/>
        <v/>
      </c>
      <c r="H182" s="156" t="str">
        <f t="shared" si="63"/>
        <v/>
      </c>
      <c r="I182" s="155" t="str">
        <f t="shared" si="64"/>
        <v/>
      </c>
      <c r="J182" s="184">
        <f t="shared" ca="1" si="65"/>
        <v>999999</v>
      </c>
      <c r="K182" s="184">
        <f>IF(OR(ISBLANK('Etape 1'!E177),ISBLANK('Etape 1'!F177)),IF(AND(ISBLANK('Etape 1'!B177),ISBLANK('Etape 1'!C177),ISBLANK('Etape 1'!D177),ISBLANK('Etape 1'!E177),ISBLANK('Etape 1'!F177),ISBLANK('Etape 1'!G177),ISBLANK('Etape 1'!H177)),999,9999),IF(VLOOKUP($C182,Matrix_Berechnungen1.Rang.Pumpendaten.Zwischenresultate,$C$9,0)&gt;0,VLOOKUP($C182,Matrix_Berechnungen1.Rang.Pumpendaten.Zwischenresultate,K$9,0),""))</f>
        <v>999</v>
      </c>
      <c r="L182" s="184">
        <f t="shared" ca="1" si="60"/>
        <v>170</v>
      </c>
      <c r="M182" s="184">
        <f t="shared" ca="1" si="60"/>
        <v>0</v>
      </c>
      <c r="N182" s="84"/>
      <c r="O182" s="84"/>
      <c r="P182" s="84"/>
      <c r="Q182" s="69" t="str">
        <f t="shared" si="66"/>
        <v/>
      </c>
      <c r="R182" s="84"/>
      <c r="S182" s="65" t="str">
        <f t="shared" si="67"/>
        <v/>
      </c>
      <c r="T182" s="69" t="str">
        <f t="shared" si="68"/>
        <v/>
      </c>
      <c r="U182" s="84"/>
      <c r="V182" s="65" t="str">
        <f t="shared" si="69"/>
        <v/>
      </c>
      <c r="W182" s="108"/>
      <c r="X182" s="108"/>
      <c r="Y182" s="108"/>
      <c r="Z182" s="110" t="str">
        <f t="shared" si="70"/>
        <v/>
      </c>
      <c r="AA182" s="199">
        <f>IF(ISERROR('Berechnungen 2'!AR385),"",'Berechnungen 2'!AR385)</f>
        <v>0</v>
      </c>
      <c r="AB182" s="200">
        <f>IF(ISERROR('Berechnungen 2'!AS385),"",'Berechnungen 2'!AS385)</f>
        <v>0</v>
      </c>
      <c r="AC182" s="200">
        <f>IF(ISERROR('Berechnungen 2'!AT385),"",'Berechnungen 2'!AT385)</f>
        <v>0</v>
      </c>
      <c r="AD182" s="199">
        <f>IF(ISERROR('Berechnungen 2'!BE385),"",'Berechnungen 2'!BE385)</f>
        <v>0</v>
      </c>
      <c r="AE182" s="200">
        <f>IF(ISERROR('Berechnungen 2'!BF385),"",'Berechnungen 2'!BF385)</f>
        <v>0</v>
      </c>
      <c r="AF182" s="200">
        <f>IF(ISERROR('Berechnungen 2'!BG385),"",'Berechnungen 2'!BG385)</f>
        <v>0</v>
      </c>
      <c r="AG182" s="199" t="str">
        <f>IF(ISNUMBER(A182),IF(ISERROR('Berechnungen 2'!BK385),"",'Berechnungen 2'!BK385),"")</f>
        <v/>
      </c>
      <c r="AH182" s="200">
        <f>IF(ISERROR('Berechnungen 2'!BL385),"",'Berechnungen 2'!BL385)</f>
        <v>0</v>
      </c>
      <c r="AI182" s="200">
        <f>IF(ISERROR('Berechnungen 2'!BM385),"",'Berechnungen 2'!BM385)</f>
        <v>0</v>
      </c>
    </row>
    <row r="183" spans="1:35" x14ac:dyDescent="0.2">
      <c r="A183" s="71" t="str">
        <f t="shared" si="55"/>
        <v/>
      </c>
      <c r="B183" s="193">
        <f t="shared" si="56"/>
        <v>171</v>
      </c>
      <c r="C183" s="192">
        <f ca="1">IF(ISERROR(LARGE('Berechnungen 1'!$A$12:$A$311,B183)),"",LARGE('Berechnungen 1'!$A$12:$A$311,B183))</f>
        <v>130</v>
      </c>
      <c r="D183" s="76" t="str">
        <f t="shared" si="59"/>
        <v/>
      </c>
      <c r="E183" s="76" t="str">
        <f t="shared" si="59"/>
        <v/>
      </c>
      <c r="F183" s="155" t="str">
        <f t="shared" si="61"/>
        <v/>
      </c>
      <c r="G183" s="204" t="str">
        <f t="shared" si="62"/>
        <v/>
      </c>
      <c r="H183" s="156" t="str">
        <f t="shared" si="63"/>
        <v/>
      </c>
      <c r="I183" s="155" t="str">
        <f t="shared" si="64"/>
        <v/>
      </c>
      <c r="J183" s="184">
        <f t="shared" ca="1" si="65"/>
        <v>999999</v>
      </c>
      <c r="K183" s="184">
        <f>IF(OR(ISBLANK('Etape 1'!E178),ISBLANK('Etape 1'!F178)),IF(AND(ISBLANK('Etape 1'!B178),ISBLANK('Etape 1'!C178),ISBLANK('Etape 1'!D178),ISBLANK('Etape 1'!E178),ISBLANK('Etape 1'!F178),ISBLANK('Etape 1'!G178),ISBLANK('Etape 1'!H178)),999,9999),IF(VLOOKUP($C183,Matrix_Berechnungen1.Rang.Pumpendaten.Zwischenresultate,$C$9,0)&gt;0,VLOOKUP($C183,Matrix_Berechnungen1.Rang.Pumpendaten.Zwischenresultate,K$9,0),""))</f>
        <v>999</v>
      </c>
      <c r="L183" s="184">
        <f t="shared" ca="1" si="60"/>
        <v>171</v>
      </c>
      <c r="M183" s="184">
        <f t="shared" ca="1" si="60"/>
        <v>0</v>
      </c>
      <c r="N183" s="84"/>
      <c r="O183" s="84"/>
      <c r="P183" s="84"/>
      <c r="Q183" s="69" t="str">
        <f t="shared" si="66"/>
        <v/>
      </c>
      <c r="R183" s="84"/>
      <c r="S183" s="65" t="str">
        <f t="shared" si="67"/>
        <v/>
      </c>
      <c r="T183" s="69" t="str">
        <f t="shared" si="68"/>
        <v/>
      </c>
      <c r="U183" s="84"/>
      <c r="V183" s="65" t="str">
        <f t="shared" si="69"/>
        <v/>
      </c>
      <c r="W183" s="108"/>
      <c r="X183" s="108"/>
      <c r="Y183" s="108"/>
      <c r="Z183" s="110" t="str">
        <f t="shared" si="70"/>
        <v/>
      </c>
      <c r="AA183" s="199">
        <f>IF(ISERROR('Berechnungen 2'!AR386),"",'Berechnungen 2'!AR386)</f>
        <v>0</v>
      </c>
      <c r="AB183" s="200">
        <f>IF(ISERROR('Berechnungen 2'!AS386),"",'Berechnungen 2'!AS386)</f>
        <v>0</v>
      </c>
      <c r="AC183" s="200">
        <f>IF(ISERROR('Berechnungen 2'!AT386),"",'Berechnungen 2'!AT386)</f>
        <v>0</v>
      </c>
      <c r="AD183" s="199">
        <f>IF(ISERROR('Berechnungen 2'!BE386),"",'Berechnungen 2'!BE386)</f>
        <v>0</v>
      </c>
      <c r="AE183" s="200">
        <f>IF(ISERROR('Berechnungen 2'!BF386),"",'Berechnungen 2'!BF386)</f>
        <v>0</v>
      </c>
      <c r="AF183" s="200">
        <f>IF(ISERROR('Berechnungen 2'!BG386),"",'Berechnungen 2'!BG386)</f>
        <v>0</v>
      </c>
      <c r="AG183" s="199" t="str">
        <f>IF(ISNUMBER(A183),IF(ISERROR('Berechnungen 2'!BK386),"",'Berechnungen 2'!BK386),"")</f>
        <v/>
      </c>
      <c r="AH183" s="200">
        <f>IF(ISERROR('Berechnungen 2'!BL386),"",'Berechnungen 2'!BL386)</f>
        <v>0</v>
      </c>
      <c r="AI183" s="200">
        <f>IF(ISERROR('Berechnungen 2'!BM386),"",'Berechnungen 2'!BM386)</f>
        <v>0</v>
      </c>
    </row>
    <row r="184" spans="1:35" x14ac:dyDescent="0.2">
      <c r="A184" s="71" t="str">
        <f t="shared" si="55"/>
        <v/>
      </c>
      <c r="B184" s="193">
        <f t="shared" si="56"/>
        <v>172</v>
      </c>
      <c r="C184" s="192">
        <f ca="1">IF(ISERROR(LARGE('Berechnungen 1'!$A$12:$A$311,B184)),"",LARGE('Berechnungen 1'!$A$12:$A$311,B184))</f>
        <v>129</v>
      </c>
      <c r="D184" s="76" t="str">
        <f t="shared" si="59"/>
        <v/>
      </c>
      <c r="E184" s="76" t="str">
        <f t="shared" si="59"/>
        <v/>
      </c>
      <c r="F184" s="155" t="str">
        <f t="shared" si="61"/>
        <v/>
      </c>
      <c r="G184" s="204" t="str">
        <f t="shared" si="62"/>
        <v/>
      </c>
      <c r="H184" s="156" t="str">
        <f t="shared" si="63"/>
        <v/>
      </c>
      <c r="I184" s="155" t="str">
        <f t="shared" si="64"/>
        <v/>
      </c>
      <c r="J184" s="184">
        <f t="shared" ca="1" si="65"/>
        <v>999999</v>
      </c>
      <c r="K184" s="184">
        <f>IF(OR(ISBLANK('Etape 1'!E179),ISBLANK('Etape 1'!F179)),IF(AND(ISBLANK('Etape 1'!B179),ISBLANK('Etape 1'!C179),ISBLANK('Etape 1'!D179),ISBLANK('Etape 1'!E179),ISBLANK('Etape 1'!F179),ISBLANK('Etape 1'!G179),ISBLANK('Etape 1'!H179)),999,9999),IF(VLOOKUP($C184,Matrix_Berechnungen1.Rang.Pumpendaten.Zwischenresultate,$C$9,0)&gt;0,VLOOKUP($C184,Matrix_Berechnungen1.Rang.Pumpendaten.Zwischenresultate,K$9,0),""))</f>
        <v>999</v>
      </c>
      <c r="L184" s="184">
        <f t="shared" ca="1" si="60"/>
        <v>172</v>
      </c>
      <c r="M184" s="184">
        <f t="shared" ca="1" si="60"/>
        <v>0</v>
      </c>
      <c r="N184" s="84"/>
      <c r="O184" s="84"/>
      <c r="P184" s="84"/>
      <c r="Q184" s="69" t="str">
        <f t="shared" si="66"/>
        <v/>
      </c>
      <c r="R184" s="84"/>
      <c r="S184" s="65" t="str">
        <f t="shared" si="67"/>
        <v/>
      </c>
      <c r="T184" s="69" t="str">
        <f t="shared" si="68"/>
        <v/>
      </c>
      <c r="U184" s="84"/>
      <c r="V184" s="65" t="str">
        <f t="shared" si="69"/>
        <v/>
      </c>
      <c r="W184" s="108"/>
      <c r="X184" s="108"/>
      <c r="Y184" s="108"/>
      <c r="Z184" s="110" t="str">
        <f t="shared" si="70"/>
        <v/>
      </c>
      <c r="AA184" s="199">
        <f>IF(ISERROR('Berechnungen 2'!AR387),"",'Berechnungen 2'!AR387)</f>
        <v>0</v>
      </c>
      <c r="AB184" s="200">
        <f>IF(ISERROR('Berechnungen 2'!AS387),"",'Berechnungen 2'!AS387)</f>
        <v>0</v>
      </c>
      <c r="AC184" s="200">
        <f>IF(ISERROR('Berechnungen 2'!AT387),"",'Berechnungen 2'!AT387)</f>
        <v>0</v>
      </c>
      <c r="AD184" s="199">
        <f>IF(ISERROR('Berechnungen 2'!BE387),"",'Berechnungen 2'!BE387)</f>
        <v>0</v>
      </c>
      <c r="AE184" s="200">
        <f>IF(ISERROR('Berechnungen 2'!BF387),"",'Berechnungen 2'!BF387)</f>
        <v>0</v>
      </c>
      <c r="AF184" s="200">
        <f>IF(ISERROR('Berechnungen 2'!BG387),"",'Berechnungen 2'!BG387)</f>
        <v>0</v>
      </c>
      <c r="AG184" s="199" t="str">
        <f>IF(ISNUMBER(A184),IF(ISERROR('Berechnungen 2'!BK387),"",'Berechnungen 2'!BK387),"")</f>
        <v/>
      </c>
      <c r="AH184" s="200">
        <f>IF(ISERROR('Berechnungen 2'!BL387),"",'Berechnungen 2'!BL387)</f>
        <v>0</v>
      </c>
      <c r="AI184" s="200">
        <f>IF(ISERROR('Berechnungen 2'!BM387),"",'Berechnungen 2'!BM387)</f>
        <v>0</v>
      </c>
    </row>
    <row r="185" spans="1:35" x14ac:dyDescent="0.2">
      <c r="A185" s="71" t="str">
        <f t="shared" si="55"/>
        <v/>
      </c>
      <c r="B185" s="193">
        <f t="shared" si="56"/>
        <v>173</v>
      </c>
      <c r="C185" s="192">
        <f ca="1">IF(ISERROR(LARGE('Berechnungen 1'!$A$12:$A$311,B185)),"",LARGE('Berechnungen 1'!$A$12:$A$311,B185))</f>
        <v>128</v>
      </c>
      <c r="D185" s="76" t="str">
        <f t="shared" si="59"/>
        <v/>
      </c>
      <c r="E185" s="76" t="str">
        <f t="shared" si="59"/>
        <v/>
      </c>
      <c r="F185" s="155" t="str">
        <f t="shared" si="61"/>
        <v/>
      </c>
      <c r="G185" s="204" t="str">
        <f t="shared" si="62"/>
        <v/>
      </c>
      <c r="H185" s="156" t="str">
        <f t="shared" si="63"/>
        <v/>
      </c>
      <c r="I185" s="155" t="str">
        <f t="shared" si="64"/>
        <v/>
      </c>
      <c r="J185" s="184">
        <f t="shared" ca="1" si="65"/>
        <v>999999</v>
      </c>
      <c r="K185" s="184">
        <f>IF(OR(ISBLANK('Etape 1'!E180),ISBLANK('Etape 1'!F180)),IF(AND(ISBLANK('Etape 1'!B180),ISBLANK('Etape 1'!C180),ISBLANK('Etape 1'!D180),ISBLANK('Etape 1'!E180),ISBLANK('Etape 1'!F180),ISBLANK('Etape 1'!G180),ISBLANK('Etape 1'!H180)),999,9999),IF(VLOOKUP($C185,Matrix_Berechnungen1.Rang.Pumpendaten.Zwischenresultate,$C$9,0)&gt;0,VLOOKUP($C185,Matrix_Berechnungen1.Rang.Pumpendaten.Zwischenresultate,K$9,0),""))</f>
        <v>999</v>
      </c>
      <c r="L185" s="184">
        <f t="shared" ca="1" si="60"/>
        <v>173</v>
      </c>
      <c r="M185" s="184">
        <f t="shared" ca="1" si="60"/>
        <v>0</v>
      </c>
      <c r="N185" s="84"/>
      <c r="O185" s="84"/>
      <c r="P185" s="84"/>
      <c r="Q185" s="69" t="str">
        <f t="shared" si="66"/>
        <v/>
      </c>
      <c r="R185" s="84"/>
      <c r="S185" s="65" t="str">
        <f t="shared" si="67"/>
        <v/>
      </c>
      <c r="T185" s="69" t="str">
        <f t="shared" si="68"/>
        <v/>
      </c>
      <c r="U185" s="84"/>
      <c r="V185" s="65" t="str">
        <f t="shared" si="69"/>
        <v/>
      </c>
      <c r="W185" s="108"/>
      <c r="X185" s="108"/>
      <c r="Y185" s="108"/>
      <c r="Z185" s="110" t="str">
        <f t="shared" si="70"/>
        <v/>
      </c>
      <c r="AA185" s="199">
        <f>IF(ISERROR('Berechnungen 2'!AR388),"",'Berechnungen 2'!AR388)</f>
        <v>0</v>
      </c>
      <c r="AB185" s="200">
        <f>IF(ISERROR('Berechnungen 2'!AS388),"",'Berechnungen 2'!AS388)</f>
        <v>0</v>
      </c>
      <c r="AC185" s="200">
        <f>IF(ISERROR('Berechnungen 2'!AT388),"",'Berechnungen 2'!AT388)</f>
        <v>0</v>
      </c>
      <c r="AD185" s="199">
        <f>IF(ISERROR('Berechnungen 2'!BE388),"",'Berechnungen 2'!BE388)</f>
        <v>0</v>
      </c>
      <c r="AE185" s="200">
        <f>IF(ISERROR('Berechnungen 2'!BF388),"",'Berechnungen 2'!BF388)</f>
        <v>0</v>
      </c>
      <c r="AF185" s="200">
        <f>IF(ISERROR('Berechnungen 2'!BG388),"",'Berechnungen 2'!BG388)</f>
        <v>0</v>
      </c>
      <c r="AG185" s="199" t="str">
        <f>IF(ISNUMBER(A185),IF(ISERROR('Berechnungen 2'!BK388),"",'Berechnungen 2'!BK388),"")</f>
        <v/>
      </c>
      <c r="AH185" s="200">
        <f>IF(ISERROR('Berechnungen 2'!BL388),"",'Berechnungen 2'!BL388)</f>
        <v>0</v>
      </c>
      <c r="AI185" s="200">
        <f>IF(ISERROR('Berechnungen 2'!BM388),"",'Berechnungen 2'!BM388)</f>
        <v>0</v>
      </c>
    </row>
    <row r="186" spans="1:35" x14ac:dyDescent="0.2">
      <c r="A186" s="71" t="str">
        <f t="shared" si="55"/>
        <v/>
      </c>
      <c r="B186" s="193">
        <f t="shared" si="56"/>
        <v>174</v>
      </c>
      <c r="C186" s="192">
        <f ca="1">IF(ISERROR(LARGE('Berechnungen 1'!$A$12:$A$311,B186)),"",LARGE('Berechnungen 1'!$A$12:$A$311,B186))</f>
        <v>127</v>
      </c>
      <c r="D186" s="76" t="str">
        <f t="shared" si="59"/>
        <v/>
      </c>
      <c r="E186" s="76" t="str">
        <f t="shared" si="59"/>
        <v/>
      </c>
      <c r="F186" s="155" t="str">
        <f t="shared" si="61"/>
        <v/>
      </c>
      <c r="G186" s="204" t="str">
        <f t="shared" si="62"/>
        <v/>
      </c>
      <c r="H186" s="156" t="str">
        <f t="shared" si="63"/>
        <v/>
      </c>
      <c r="I186" s="155" t="str">
        <f t="shared" si="64"/>
        <v/>
      </c>
      <c r="J186" s="184">
        <f t="shared" ca="1" si="65"/>
        <v>999999</v>
      </c>
      <c r="K186" s="184">
        <f>IF(OR(ISBLANK('Etape 1'!E181),ISBLANK('Etape 1'!F181)),IF(AND(ISBLANK('Etape 1'!B181),ISBLANK('Etape 1'!C181),ISBLANK('Etape 1'!D181),ISBLANK('Etape 1'!E181),ISBLANK('Etape 1'!F181),ISBLANK('Etape 1'!G181),ISBLANK('Etape 1'!H181)),999,9999),IF(VLOOKUP($C186,Matrix_Berechnungen1.Rang.Pumpendaten.Zwischenresultate,$C$9,0)&gt;0,VLOOKUP($C186,Matrix_Berechnungen1.Rang.Pumpendaten.Zwischenresultate,K$9,0),""))</f>
        <v>999</v>
      </c>
      <c r="L186" s="184">
        <f t="shared" ca="1" si="60"/>
        <v>174</v>
      </c>
      <c r="M186" s="184">
        <f t="shared" ca="1" si="60"/>
        <v>0</v>
      </c>
      <c r="N186" s="84"/>
      <c r="O186" s="84"/>
      <c r="P186" s="84"/>
      <c r="Q186" s="69" t="str">
        <f t="shared" si="66"/>
        <v/>
      </c>
      <c r="R186" s="84"/>
      <c r="S186" s="65" t="str">
        <f t="shared" si="67"/>
        <v/>
      </c>
      <c r="T186" s="69" t="str">
        <f t="shared" si="68"/>
        <v/>
      </c>
      <c r="U186" s="84"/>
      <c r="V186" s="65" t="str">
        <f t="shared" si="69"/>
        <v/>
      </c>
      <c r="W186" s="108"/>
      <c r="X186" s="108"/>
      <c r="Y186" s="108"/>
      <c r="Z186" s="110" t="str">
        <f t="shared" si="70"/>
        <v/>
      </c>
      <c r="AA186" s="199">
        <f>IF(ISERROR('Berechnungen 2'!AR389),"",'Berechnungen 2'!AR389)</f>
        <v>0</v>
      </c>
      <c r="AB186" s="200">
        <f>IF(ISERROR('Berechnungen 2'!AS389),"",'Berechnungen 2'!AS389)</f>
        <v>0</v>
      </c>
      <c r="AC186" s="200">
        <f>IF(ISERROR('Berechnungen 2'!AT389),"",'Berechnungen 2'!AT389)</f>
        <v>0</v>
      </c>
      <c r="AD186" s="199">
        <f>IF(ISERROR('Berechnungen 2'!BE389),"",'Berechnungen 2'!BE389)</f>
        <v>0</v>
      </c>
      <c r="AE186" s="200">
        <f>IF(ISERROR('Berechnungen 2'!BF389),"",'Berechnungen 2'!BF389)</f>
        <v>0</v>
      </c>
      <c r="AF186" s="200">
        <f>IF(ISERROR('Berechnungen 2'!BG389),"",'Berechnungen 2'!BG389)</f>
        <v>0</v>
      </c>
      <c r="AG186" s="199" t="str">
        <f>IF(ISNUMBER(A186),IF(ISERROR('Berechnungen 2'!BK389),"",'Berechnungen 2'!BK389),"")</f>
        <v/>
      </c>
      <c r="AH186" s="200">
        <f>IF(ISERROR('Berechnungen 2'!BL389),"",'Berechnungen 2'!BL389)</f>
        <v>0</v>
      </c>
      <c r="AI186" s="200">
        <f>IF(ISERROR('Berechnungen 2'!BM389),"",'Berechnungen 2'!BM389)</f>
        <v>0</v>
      </c>
    </row>
    <row r="187" spans="1:35" x14ac:dyDescent="0.2">
      <c r="A187" s="71" t="str">
        <f t="shared" si="55"/>
        <v/>
      </c>
      <c r="B187" s="193">
        <f t="shared" si="56"/>
        <v>175</v>
      </c>
      <c r="C187" s="192">
        <f ca="1">IF(ISERROR(LARGE('Berechnungen 1'!$A$12:$A$311,B187)),"",LARGE('Berechnungen 1'!$A$12:$A$311,B187))</f>
        <v>126</v>
      </c>
      <c r="D187" s="76" t="str">
        <f t="shared" si="59"/>
        <v/>
      </c>
      <c r="E187" s="76" t="str">
        <f t="shared" si="59"/>
        <v/>
      </c>
      <c r="F187" s="155" t="str">
        <f t="shared" si="61"/>
        <v/>
      </c>
      <c r="G187" s="204" t="str">
        <f t="shared" si="62"/>
        <v/>
      </c>
      <c r="H187" s="156" t="str">
        <f t="shared" si="63"/>
        <v/>
      </c>
      <c r="I187" s="155" t="str">
        <f t="shared" si="64"/>
        <v/>
      </c>
      <c r="J187" s="184">
        <f t="shared" ca="1" si="65"/>
        <v>999999</v>
      </c>
      <c r="K187" s="184">
        <f>IF(OR(ISBLANK('Etape 1'!E182),ISBLANK('Etape 1'!F182)),IF(AND(ISBLANK('Etape 1'!B182),ISBLANK('Etape 1'!C182),ISBLANK('Etape 1'!D182),ISBLANK('Etape 1'!E182),ISBLANK('Etape 1'!F182),ISBLANK('Etape 1'!G182),ISBLANK('Etape 1'!H182)),999,9999),IF(VLOOKUP($C187,Matrix_Berechnungen1.Rang.Pumpendaten.Zwischenresultate,$C$9,0)&gt;0,VLOOKUP($C187,Matrix_Berechnungen1.Rang.Pumpendaten.Zwischenresultate,K$9,0),""))</f>
        <v>999</v>
      </c>
      <c r="L187" s="184">
        <f t="shared" ca="1" si="60"/>
        <v>175</v>
      </c>
      <c r="M187" s="184">
        <f t="shared" ca="1" si="60"/>
        <v>0</v>
      </c>
      <c r="N187" s="84"/>
      <c r="O187" s="84"/>
      <c r="P187" s="84"/>
      <c r="Q187" s="69" t="str">
        <f t="shared" si="66"/>
        <v/>
      </c>
      <c r="R187" s="84"/>
      <c r="S187" s="65" t="str">
        <f t="shared" si="67"/>
        <v/>
      </c>
      <c r="T187" s="69" t="str">
        <f t="shared" si="68"/>
        <v/>
      </c>
      <c r="U187" s="84"/>
      <c r="V187" s="65" t="str">
        <f t="shared" si="69"/>
        <v/>
      </c>
      <c r="W187" s="108"/>
      <c r="X187" s="108"/>
      <c r="Y187" s="108"/>
      <c r="Z187" s="110" t="str">
        <f t="shared" si="70"/>
        <v/>
      </c>
      <c r="AA187" s="199">
        <f>IF(ISERROR('Berechnungen 2'!AR390),"",'Berechnungen 2'!AR390)</f>
        <v>0</v>
      </c>
      <c r="AB187" s="200">
        <f>IF(ISERROR('Berechnungen 2'!AS390),"",'Berechnungen 2'!AS390)</f>
        <v>0</v>
      </c>
      <c r="AC187" s="200">
        <f>IF(ISERROR('Berechnungen 2'!AT390),"",'Berechnungen 2'!AT390)</f>
        <v>0</v>
      </c>
      <c r="AD187" s="199">
        <f>IF(ISERROR('Berechnungen 2'!BE390),"",'Berechnungen 2'!BE390)</f>
        <v>0</v>
      </c>
      <c r="AE187" s="200">
        <f>IF(ISERROR('Berechnungen 2'!BF390),"",'Berechnungen 2'!BF390)</f>
        <v>0</v>
      </c>
      <c r="AF187" s="200">
        <f>IF(ISERROR('Berechnungen 2'!BG390),"",'Berechnungen 2'!BG390)</f>
        <v>0</v>
      </c>
      <c r="AG187" s="199" t="str">
        <f>IF(ISNUMBER(A187),IF(ISERROR('Berechnungen 2'!BK390),"",'Berechnungen 2'!BK390),"")</f>
        <v/>
      </c>
      <c r="AH187" s="200">
        <f>IF(ISERROR('Berechnungen 2'!BL390),"",'Berechnungen 2'!BL390)</f>
        <v>0</v>
      </c>
      <c r="AI187" s="200">
        <f>IF(ISERROR('Berechnungen 2'!BM390),"",'Berechnungen 2'!BM390)</f>
        <v>0</v>
      </c>
    </row>
    <row r="188" spans="1:35" x14ac:dyDescent="0.2">
      <c r="A188" s="71" t="str">
        <f t="shared" si="55"/>
        <v/>
      </c>
      <c r="B188" s="193">
        <f t="shared" si="56"/>
        <v>176</v>
      </c>
      <c r="C188" s="192">
        <f ca="1">IF(ISERROR(LARGE('Berechnungen 1'!$A$12:$A$311,B188)),"",LARGE('Berechnungen 1'!$A$12:$A$311,B188))</f>
        <v>125</v>
      </c>
      <c r="D188" s="76" t="str">
        <f t="shared" si="59"/>
        <v/>
      </c>
      <c r="E188" s="76" t="str">
        <f t="shared" si="59"/>
        <v/>
      </c>
      <c r="F188" s="155" t="str">
        <f t="shared" si="61"/>
        <v/>
      </c>
      <c r="G188" s="204" t="str">
        <f t="shared" si="62"/>
        <v/>
      </c>
      <c r="H188" s="156" t="str">
        <f t="shared" si="63"/>
        <v/>
      </c>
      <c r="I188" s="155" t="str">
        <f t="shared" si="64"/>
        <v/>
      </c>
      <c r="J188" s="184">
        <f t="shared" ca="1" si="65"/>
        <v>999999</v>
      </c>
      <c r="K188" s="184">
        <f>IF(OR(ISBLANK('Etape 1'!E183),ISBLANK('Etape 1'!F183)),IF(AND(ISBLANK('Etape 1'!B183),ISBLANK('Etape 1'!C183),ISBLANK('Etape 1'!D183),ISBLANK('Etape 1'!E183),ISBLANK('Etape 1'!F183),ISBLANK('Etape 1'!G183),ISBLANK('Etape 1'!H183)),999,9999),IF(VLOOKUP($C188,Matrix_Berechnungen1.Rang.Pumpendaten.Zwischenresultate,$C$9,0)&gt;0,VLOOKUP($C188,Matrix_Berechnungen1.Rang.Pumpendaten.Zwischenresultate,K$9,0),""))</f>
        <v>999</v>
      </c>
      <c r="L188" s="184">
        <f t="shared" ca="1" si="60"/>
        <v>176</v>
      </c>
      <c r="M188" s="184">
        <f t="shared" ca="1" si="60"/>
        <v>0</v>
      </c>
      <c r="N188" s="84"/>
      <c r="O188" s="84"/>
      <c r="P188" s="84"/>
      <c r="Q188" s="69" t="str">
        <f t="shared" si="66"/>
        <v/>
      </c>
      <c r="R188" s="84"/>
      <c r="S188" s="65" t="str">
        <f t="shared" si="67"/>
        <v/>
      </c>
      <c r="T188" s="69" t="str">
        <f t="shared" si="68"/>
        <v/>
      </c>
      <c r="U188" s="84"/>
      <c r="V188" s="65" t="str">
        <f t="shared" si="69"/>
        <v/>
      </c>
      <c r="W188" s="108"/>
      <c r="X188" s="108"/>
      <c r="Y188" s="108"/>
      <c r="Z188" s="110" t="str">
        <f t="shared" si="70"/>
        <v/>
      </c>
      <c r="AA188" s="199">
        <f>IF(ISERROR('Berechnungen 2'!AR391),"",'Berechnungen 2'!AR391)</f>
        <v>0</v>
      </c>
      <c r="AB188" s="200">
        <f>IF(ISERROR('Berechnungen 2'!AS391),"",'Berechnungen 2'!AS391)</f>
        <v>0</v>
      </c>
      <c r="AC188" s="200">
        <f>IF(ISERROR('Berechnungen 2'!AT391),"",'Berechnungen 2'!AT391)</f>
        <v>0</v>
      </c>
      <c r="AD188" s="199">
        <f>IF(ISERROR('Berechnungen 2'!BE391),"",'Berechnungen 2'!BE391)</f>
        <v>0</v>
      </c>
      <c r="AE188" s="200">
        <f>IF(ISERROR('Berechnungen 2'!BF391),"",'Berechnungen 2'!BF391)</f>
        <v>0</v>
      </c>
      <c r="AF188" s="200">
        <f>IF(ISERROR('Berechnungen 2'!BG391),"",'Berechnungen 2'!BG391)</f>
        <v>0</v>
      </c>
      <c r="AG188" s="199" t="str">
        <f>IF(ISNUMBER(A188),IF(ISERROR('Berechnungen 2'!BK391),"",'Berechnungen 2'!BK391),"")</f>
        <v/>
      </c>
      <c r="AH188" s="200">
        <f>IF(ISERROR('Berechnungen 2'!BL391),"",'Berechnungen 2'!BL391)</f>
        <v>0</v>
      </c>
      <c r="AI188" s="200">
        <f>IF(ISERROR('Berechnungen 2'!BM391),"",'Berechnungen 2'!BM391)</f>
        <v>0</v>
      </c>
    </row>
    <row r="189" spans="1:35" x14ac:dyDescent="0.2">
      <c r="A189" s="71" t="str">
        <f t="shared" si="55"/>
        <v/>
      </c>
      <c r="B189" s="193">
        <f t="shared" si="56"/>
        <v>177</v>
      </c>
      <c r="C189" s="192">
        <f ca="1">IF(ISERROR(LARGE('Berechnungen 1'!$A$12:$A$311,B189)),"",LARGE('Berechnungen 1'!$A$12:$A$311,B189))</f>
        <v>124</v>
      </c>
      <c r="D189" s="76" t="str">
        <f t="shared" si="59"/>
        <v/>
      </c>
      <c r="E189" s="76" t="str">
        <f t="shared" si="59"/>
        <v/>
      </c>
      <c r="F189" s="155" t="str">
        <f t="shared" si="61"/>
        <v/>
      </c>
      <c r="G189" s="204" t="str">
        <f t="shared" si="62"/>
        <v/>
      </c>
      <c r="H189" s="156" t="str">
        <f t="shared" si="63"/>
        <v/>
      </c>
      <c r="I189" s="155" t="str">
        <f t="shared" si="64"/>
        <v/>
      </c>
      <c r="J189" s="184">
        <f t="shared" ca="1" si="65"/>
        <v>999999</v>
      </c>
      <c r="K189" s="184">
        <f>IF(OR(ISBLANK('Etape 1'!E184),ISBLANK('Etape 1'!F184)),IF(AND(ISBLANK('Etape 1'!B184),ISBLANK('Etape 1'!C184),ISBLANK('Etape 1'!D184),ISBLANK('Etape 1'!E184),ISBLANK('Etape 1'!F184),ISBLANK('Etape 1'!G184),ISBLANK('Etape 1'!H184)),999,9999),IF(VLOOKUP($C189,Matrix_Berechnungen1.Rang.Pumpendaten.Zwischenresultate,$C$9,0)&gt;0,VLOOKUP($C189,Matrix_Berechnungen1.Rang.Pumpendaten.Zwischenresultate,K$9,0),""))</f>
        <v>999</v>
      </c>
      <c r="L189" s="184">
        <f t="shared" ca="1" si="60"/>
        <v>177</v>
      </c>
      <c r="M189" s="184">
        <f t="shared" ca="1" si="60"/>
        <v>0</v>
      </c>
      <c r="N189" s="84"/>
      <c r="O189" s="84"/>
      <c r="P189" s="84"/>
      <c r="Q189" s="69" t="str">
        <f t="shared" si="66"/>
        <v/>
      </c>
      <c r="R189" s="84"/>
      <c r="S189" s="65" t="str">
        <f t="shared" si="67"/>
        <v/>
      </c>
      <c r="T189" s="69" t="str">
        <f t="shared" si="68"/>
        <v/>
      </c>
      <c r="U189" s="84"/>
      <c r="V189" s="65" t="str">
        <f t="shared" si="69"/>
        <v/>
      </c>
      <c r="W189" s="108"/>
      <c r="X189" s="108"/>
      <c r="Y189" s="108"/>
      <c r="Z189" s="110" t="str">
        <f t="shared" si="70"/>
        <v/>
      </c>
      <c r="AA189" s="199">
        <f>IF(ISERROR('Berechnungen 2'!AR392),"",'Berechnungen 2'!AR392)</f>
        <v>0</v>
      </c>
      <c r="AB189" s="200">
        <f>IF(ISERROR('Berechnungen 2'!AS392),"",'Berechnungen 2'!AS392)</f>
        <v>0</v>
      </c>
      <c r="AC189" s="200">
        <f>IF(ISERROR('Berechnungen 2'!AT392),"",'Berechnungen 2'!AT392)</f>
        <v>0</v>
      </c>
      <c r="AD189" s="199">
        <f>IF(ISERROR('Berechnungen 2'!BE392),"",'Berechnungen 2'!BE392)</f>
        <v>0</v>
      </c>
      <c r="AE189" s="200">
        <f>IF(ISERROR('Berechnungen 2'!BF392),"",'Berechnungen 2'!BF392)</f>
        <v>0</v>
      </c>
      <c r="AF189" s="200">
        <f>IF(ISERROR('Berechnungen 2'!BG392),"",'Berechnungen 2'!BG392)</f>
        <v>0</v>
      </c>
      <c r="AG189" s="199" t="str">
        <f>IF(ISNUMBER(A189),IF(ISERROR('Berechnungen 2'!BK392),"",'Berechnungen 2'!BK392),"")</f>
        <v/>
      </c>
      <c r="AH189" s="200">
        <f>IF(ISERROR('Berechnungen 2'!BL392),"",'Berechnungen 2'!BL392)</f>
        <v>0</v>
      </c>
      <c r="AI189" s="200">
        <f>IF(ISERROR('Berechnungen 2'!BM392),"",'Berechnungen 2'!BM392)</f>
        <v>0</v>
      </c>
    </row>
    <row r="190" spans="1:35" x14ac:dyDescent="0.2">
      <c r="A190" s="71" t="str">
        <f t="shared" si="55"/>
        <v/>
      </c>
      <c r="B190" s="193">
        <f t="shared" si="56"/>
        <v>178</v>
      </c>
      <c r="C190" s="192">
        <f ca="1">IF(ISERROR(LARGE('Berechnungen 1'!$A$12:$A$311,B190)),"",LARGE('Berechnungen 1'!$A$12:$A$311,B190))</f>
        <v>123</v>
      </c>
      <c r="D190" s="76" t="str">
        <f t="shared" si="59"/>
        <v/>
      </c>
      <c r="E190" s="76" t="str">
        <f t="shared" si="59"/>
        <v/>
      </c>
      <c r="F190" s="155" t="str">
        <f t="shared" si="61"/>
        <v/>
      </c>
      <c r="G190" s="204" t="str">
        <f t="shared" si="62"/>
        <v/>
      </c>
      <c r="H190" s="156" t="str">
        <f t="shared" si="63"/>
        <v/>
      </c>
      <c r="I190" s="155" t="str">
        <f t="shared" si="64"/>
        <v/>
      </c>
      <c r="J190" s="184">
        <f t="shared" ca="1" si="65"/>
        <v>999999</v>
      </c>
      <c r="K190" s="184">
        <f>IF(OR(ISBLANK('Etape 1'!E185),ISBLANK('Etape 1'!F185)),IF(AND(ISBLANK('Etape 1'!B185),ISBLANK('Etape 1'!C185),ISBLANK('Etape 1'!D185),ISBLANK('Etape 1'!E185),ISBLANK('Etape 1'!F185),ISBLANK('Etape 1'!G185),ISBLANK('Etape 1'!H185)),999,9999),IF(VLOOKUP($C190,Matrix_Berechnungen1.Rang.Pumpendaten.Zwischenresultate,$C$9,0)&gt;0,VLOOKUP($C190,Matrix_Berechnungen1.Rang.Pumpendaten.Zwischenresultate,K$9,0),""))</f>
        <v>999</v>
      </c>
      <c r="L190" s="184">
        <f t="shared" ca="1" si="60"/>
        <v>178</v>
      </c>
      <c r="M190" s="184">
        <f t="shared" ca="1" si="60"/>
        <v>0</v>
      </c>
      <c r="N190" s="84"/>
      <c r="O190" s="84"/>
      <c r="P190" s="84"/>
      <c r="Q190" s="69" t="str">
        <f t="shared" si="66"/>
        <v/>
      </c>
      <c r="R190" s="84"/>
      <c r="S190" s="65" t="str">
        <f t="shared" si="67"/>
        <v/>
      </c>
      <c r="T190" s="69" t="str">
        <f t="shared" si="68"/>
        <v/>
      </c>
      <c r="U190" s="84"/>
      <c r="V190" s="65" t="str">
        <f t="shared" si="69"/>
        <v/>
      </c>
      <c r="W190" s="108"/>
      <c r="X190" s="108"/>
      <c r="Y190" s="108"/>
      <c r="Z190" s="110" t="str">
        <f t="shared" si="70"/>
        <v/>
      </c>
      <c r="AA190" s="199">
        <f>IF(ISERROR('Berechnungen 2'!AR393),"",'Berechnungen 2'!AR393)</f>
        <v>0</v>
      </c>
      <c r="AB190" s="200">
        <f>IF(ISERROR('Berechnungen 2'!AS393),"",'Berechnungen 2'!AS393)</f>
        <v>0</v>
      </c>
      <c r="AC190" s="200">
        <f>IF(ISERROR('Berechnungen 2'!AT393),"",'Berechnungen 2'!AT393)</f>
        <v>0</v>
      </c>
      <c r="AD190" s="199">
        <f>IF(ISERROR('Berechnungen 2'!BE393),"",'Berechnungen 2'!BE393)</f>
        <v>0</v>
      </c>
      <c r="AE190" s="200">
        <f>IF(ISERROR('Berechnungen 2'!BF393),"",'Berechnungen 2'!BF393)</f>
        <v>0</v>
      </c>
      <c r="AF190" s="200">
        <f>IF(ISERROR('Berechnungen 2'!BG393),"",'Berechnungen 2'!BG393)</f>
        <v>0</v>
      </c>
      <c r="AG190" s="199" t="str">
        <f>IF(ISNUMBER(A190),IF(ISERROR('Berechnungen 2'!BK393),"",'Berechnungen 2'!BK393),"")</f>
        <v/>
      </c>
      <c r="AH190" s="200">
        <f>IF(ISERROR('Berechnungen 2'!BL393),"",'Berechnungen 2'!BL393)</f>
        <v>0</v>
      </c>
      <c r="AI190" s="200">
        <f>IF(ISERROR('Berechnungen 2'!BM393),"",'Berechnungen 2'!BM393)</f>
        <v>0</v>
      </c>
    </row>
    <row r="191" spans="1:35" x14ac:dyDescent="0.2">
      <c r="A191" s="71" t="str">
        <f t="shared" si="55"/>
        <v/>
      </c>
      <c r="B191" s="193">
        <f t="shared" si="56"/>
        <v>179</v>
      </c>
      <c r="C191" s="192">
        <f ca="1">IF(ISERROR(LARGE('Berechnungen 1'!$A$12:$A$311,B191)),"",LARGE('Berechnungen 1'!$A$12:$A$311,B191))</f>
        <v>122</v>
      </c>
      <c r="D191" s="76" t="str">
        <f t="shared" si="59"/>
        <v/>
      </c>
      <c r="E191" s="76" t="str">
        <f t="shared" si="59"/>
        <v/>
      </c>
      <c r="F191" s="155" t="str">
        <f t="shared" si="61"/>
        <v/>
      </c>
      <c r="G191" s="204" t="str">
        <f t="shared" si="62"/>
        <v/>
      </c>
      <c r="H191" s="156" t="str">
        <f t="shared" si="63"/>
        <v/>
      </c>
      <c r="I191" s="155" t="str">
        <f t="shared" si="64"/>
        <v/>
      </c>
      <c r="J191" s="184">
        <f t="shared" ca="1" si="65"/>
        <v>999999</v>
      </c>
      <c r="K191" s="184">
        <f>IF(OR(ISBLANK('Etape 1'!E186),ISBLANK('Etape 1'!F186)),IF(AND(ISBLANK('Etape 1'!B186),ISBLANK('Etape 1'!C186),ISBLANK('Etape 1'!D186),ISBLANK('Etape 1'!E186),ISBLANK('Etape 1'!F186),ISBLANK('Etape 1'!G186),ISBLANK('Etape 1'!H186)),999,9999),IF(VLOOKUP($C191,Matrix_Berechnungen1.Rang.Pumpendaten.Zwischenresultate,$C$9,0)&gt;0,VLOOKUP($C191,Matrix_Berechnungen1.Rang.Pumpendaten.Zwischenresultate,K$9,0),""))</f>
        <v>999</v>
      </c>
      <c r="L191" s="184">
        <f t="shared" ca="1" si="60"/>
        <v>179</v>
      </c>
      <c r="M191" s="184">
        <f t="shared" ca="1" si="60"/>
        <v>0</v>
      </c>
      <c r="N191" s="84"/>
      <c r="O191" s="84"/>
      <c r="P191" s="84"/>
      <c r="Q191" s="69" t="str">
        <f t="shared" si="66"/>
        <v/>
      </c>
      <c r="R191" s="84"/>
      <c r="S191" s="65" t="str">
        <f t="shared" si="67"/>
        <v/>
      </c>
      <c r="T191" s="69" t="str">
        <f t="shared" si="68"/>
        <v/>
      </c>
      <c r="U191" s="84"/>
      <c r="V191" s="65" t="str">
        <f t="shared" si="69"/>
        <v/>
      </c>
      <c r="W191" s="108"/>
      <c r="X191" s="108"/>
      <c r="Y191" s="108"/>
      <c r="Z191" s="110" t="str">
        <f t="shared" si="70"/>
        <v/>
      </c>
      <c r="AA191" s="199">
        <f>IF(ISERROR('Berechnungen 2'!AR394),"",'Berechnungen 2'!AR394)</f>
        <v>0</v>
      </c>
      <c r="AB191" s="200">
        <f>IF(ISERROR('Berechnungen 2'!AS394),"",'Berechnungen 2'!AS394)</f>
        <v>0</v>
      </c>
      <c r="AC191" s="200">
        <f>IF(ISERROR('Berechnungen 2'!AT394),"",'Berechnungen 2'!AT394)</f>
        <v>0</v>
      </c>
      <c r="AD191" s="199">
        <f>IF(ISERROR('Berechnungen 2'!BE394),"",'Berechnungen 2'!BE394)</f>
        <v>0</v>
      </c>
      <c r="AE191" s="200">
        <f>IF(ISERROR('Berechnungen 2'!BF394),"",'Berechnungen 2'!BF394)</f>
        <v>0</v>
      </c>
      <c r="AF191" s="200">
        <f>IF(ISERROR('Berechnungen 2'!BG394),"",'Berechnungen 2'!BG394)</f>
        <v>0</v>
      </c>
      <c r="AG191" s="199" t="str">
        <f>IF(ISNUMBER(A191),IF(ISERROR('Berechnungen 2'!BK394),"",'Berechnungen 2'!BK394),"")</f>
        <v/>
      </c>
      <c r="AH191" s="200">
        <f>IF(ISERROR('Berechnungen 2'!BL394),"",'Berechnungen 2'!BL394)</f>
        <v>0</v>
      </c>
      <c r="AI191" s="200">
        <f>IF(ISERROR('Berechnungen 2'!BM394),"",'Berechnungen 2'!BM394)</f>
        <v>0</v>
      </c>
    </row>
    <row r="192" spans="1:35" x14ac:dyDescent="0.2">
      <c r="A192" s="71" t="str">
        <f t="shared" si="55"/>
        <v/>
      </c>
      <c r="B192" s="193">
        <f t="shared" si="56"/>
        <v>180</v>
      </c>
      <c r="C192" s="192">
        <f ca="1">IF(ISERROR(LARGE('Berechnungen 1'!$A$12:$A$311,B192)),"",LARGE('Berechnungen 1'!$A$12:$A$311,B192))</f>
        <v>121</v>
      </c>
      <c r="D192" s="76" t="str">
        <f t="shared" si="59"/>
        <v/>
      </c>
      <c r="E192" s="76" t="str">
        <f t="shared" si="59"/>
        <v/>
      </c>
      <c r="F192" s="155" t="str">
        <f t="shared" si="61"/>
        <v/>
      </c>
      <c r="G192" s="204" t="str">
        <f t="shared" si="62"/>
        <v/>
      </c>
      <c r="H192" s="156" t="str">
        <f t="shared" si="63"/>
        <v/>
      </c>
      <c r="I192" s="155" t="str">
        <f t="shared" si="64"/>
        <v/>
      </c>
      <c r="J192" s="184">
        <f t="shared" ca="1" si="65"/>
        <v>999999</v>
      </c>
      <c r="K192" s="184">
        <f>IF(OR(ISBLANK('Etape 1'!E187),ISBLANK('Etape 1'!F187)),IF(AND(ISBLANK('Etape 1'!B187),ISBLANK('Etape 1'!C187),ISBLANK('Etape 1'!D187),ISBLANK('Etape 1'!E187),ISBLANK('Etape 1'!F187),ISBLANK('Etape 1'!G187),ISBLANK('Etape 1'!H187)),999,9999),IF(VLOOKUP($C192,Matrix_Berechnungen1.Rang.Pumpendaten.Zwischenresultate,$C$9,0)&gt;0,VLOOKUP($C192,Matrix_Berechnungen1.Rang.Pumpendaten.Zwischenresultate,K$9,0),""))</f>
        <v>999</v>
      </c>
      <c r="L192" s="184">
        <f t="shared" ca="1" si="60"/>
        <v>180</v>
      </c>
      <c r="M192" s="184">
        <f t="shared" ca="1" si="60"/>
        <v>0</v>
      </c>
      <c r="N192" s="84"/>
      <c r="O192" s="84"/>
      <c r="P192" s="84"/>
      <c r="Q192" s="69" t="str">
        <f t="shared" si="66"/>
        <v/>
      </c>
      <c r="R192" s="84"/>
      <c r="S192" s="65" t="str">
        <f t="shared" si="67"/>
        <v/>
      </c>
      <c r="T192" s="69" t="str">
        <f t="shared" si="68"/>
        <v/>
      </c>
      <c r="U192" s="84"/>
      <c r="V192" s="65" t="str">
        <f t="shared" si="69"/>
        <v/>
      </c>
      <c r="W192" s="108"/>
      <c r="X192" s="108"/>
      <c r="Y192" s="108"/>
      <c r="Z192" s="110" t="str">
        <f t="shared" si="70"/>
        <v/>
      </c>
      <c r="AA192" s="199">
        <f>IF(ISERROR('Berechnungen 2'!AR395),"",'Berechnungen 2'!AR395)</f>
        <v>0</v>
      </c>
      <c r="AB192" s="200">
        <f>IF(ISERROR('Berechnungen 2'!AS395),"",'Berechnungen 2'!AS395)</f>
        <v>0</v>
      </c>
      <c r="AC192" s="200">
        <f>IF(ISERROR('Berechnungen 2'!AT395),"",'Berechnungen 2'!AT395)</f>
        <v>0</v>
      </c>
      <c r="AD192" s="199">
        <f>IF(ISERROR('Berechnungen 2'!BE395),"",'Berechnungen 2'!BE395)</f>
        <v>0</v>
      </c>
      <c r="AE192" s="200">
        <f>IF(ISERROR('Berechnungen 2'!BF395),"",'Berechnungen 2'!BF395)</f>
        <v>0</v>
      </c>
      <c r="AF192" s="200">
        <f>IF(ISERROR('Berechnungen 2'!BG395),"",'Berechnungen 2'!BG395)</f>
        <v>0</v>
      </c>
      <c r="AG192" s="199" t="str">
        <f>IF(ISNUMBER(A192),IF(ISERROR('Berechnungen 2'!BK395),"",'Berechnungen 2'!BK395),"")</f>
        <v/>
      </c>
      <c r="AH192" s="200">
        <f>IF(ISERROR('Berechnungen 2'!BL395),"",'Berechnungen 2'!BL395)</f>
        <v>0</v>
      </c>
      <c r="AI192" s="200">
        <f>IF(ISERROR('Berechnungen 2'!BM395),"",'Berechnungen 2'!BM395)</f>
        <v>0</v>
      </c>
    </row>
    <row r="193" spans="1:35" x14ac:dyDescent="0.2">
      <c r="A193" s="71" t="str">
        <f t="shared" si="55"/>
        <v/>
      </c>
      <c r="B193" s="193">
        <f t="shared" si="56"/>
        <v>181</v>
      </c>
      <c r="C193" s="192">
        <f ca="1">IF(ISERROR(LARGE('Berechnungen 1'!$A$12:$A$311,B193)),"",LARGE('Berechnungen 1'!$A$12:$A$311,B193))</f>
        <v>120</v>
      </c>
      <c r="D193" s="76" t="str">
        <f t="shared" ref="D193:E212" si="71">IF(ISNUMBER($A193),IF(VLOOKUP($C193,Matrix_Berechnungen1.Rang.Pumpendaten.Zwischenresultate,$C$9,0)&gt;0,IF(VLOOKUP($C193,Matrix_Berechnungen1.Rang.Pumpendaten.Zwischenresultate,D$9,0)=0,"",VLOOKUP($C193,Matrix_Berechnungen1.Rang.Pumpendaten.Zwischenresultate,D$9,0)),""),"")</f>
        <v/>
      </c>
      <c r="E193" s="76" t="str">
        <f t="shared" si="71"/>
        <v/>
      </c>
      <c r="F193" s="155" t="str">
        <f t="shared" si="61"/>
        <v/>
      </c>
      <c r="G193" s="204" t="str">
        <f t="shared" si="62"/>
        <v/>
      </c>
      <c r="H193" s="156" t="str">
        <f t="shared" si="63"/>
        <v/>
      </c>
      <c r="I193" s="155" t="str">
        <f t="shared" si="64"/>
        <v/>
      </c>
      <c r="J193" s="184">
        <f t="shared" ca="1" si="65"/>
        <v>999999</v>
      </c>
      <c r="K193" s="184">
        <f>IF(OR(ISBLANK('Etape 1'!E188),ISBLANK('Etape 1'!F188)),IF(AND(ISBLANK('Etape 1'!B188),ISBLANK('Etape 1'!C188),ISBLANK('Etape 1'!D188),ISBLANK('Etape 1'!E188),ISBLANK('Etape 1'!F188),ISBLANK('Etape 1'!G188),ISBLANK('Etape 1'!H188)),999,9999),IF(VLOOKUP($C193,Matrix_Berechnungen1.Rang.Pumpendaten.Zwischenresultate,$C$9,0)&gt;0,VLOOKUP($C193,Matrix_Berechnungen1.Rang.Pumpendaten.Zwischenresultate,K$9,0),""))</f>
        <v>999</v>
      </c>
      <c r="L193" s="184">
        <f t="shared" ref="L193:M212" ca="1" si="72">IF(VLOOKUP($C193,Matrix_Berechnungen1.Rang.Pumpendaten.Zwischenresultate,$C$9,0)&gt;0,VLOOKUP($C193,Matrix_Berechnungen1.Rang.Pumpendaten.Zwischenresultate,L$9,0),"")</f>
        <v>181</v>
      </c>
      <c r="M193" s="184">
        <f t="shared" ca="1" si="72"/>
        <v>0</v>
      </c>
      <c r="N193" s="84"/>
      <c r="O193" s="84"/>
      <c r="P193" s="84"/>
      <c r="Q193" s="69" t="str">
        <f t="shared" si="66"/>
        <v/>
      </c>
      <c r="R193" s="84"/>
      <c r="S193" s="65" t="str">
        <f t="shared" si="67"/>
        <v/>
      </c>
      <c r="T193" s="69" t="str">
        <f t="shared" si="68"/>
        <v/>
      </c>
      <c r="U193" s="84"/>
      <c r="V193" s="65" t="str">
        <f t="shared" si="69"/>
        <v/>
      </c>
      <c r="W193" s="108"/>
      <c r="X193" s="108"/>
      <c r="Y193" s="108"/>
      <c r="Z193" s="110" t="str">
        <f t="shared" si="70"/>
        <v/>
      </c>
      <c r="AA193" s="199">
        <f>IF(ISERROR('Berechnungen 2'!AR396),"",'Berechnungen 2'!AR396)</f>
        <v>0</v>
      </c>
      <c r="AB193" s="200">
        <f>IF(ISERROR('Berechnungen 2'!AS396),"",'Berechnungen 2'!AS396)</f>
        <v>0</v>
      </c>
      <c r="AC193" s="200">
        <f>IF(ISERROR('Berechnungen 2'!AT396),"",'Berechnungen 2'!AT396)</f>
        <v>0</v>
      </c>
      <c r="AD193" s="199">
        <f>IF(ISERROR('Berechnungen 2'!BE396),"",'Berechnungen 2'!BE396)</f>
        <v>0</v>
      </c>
      <c r="AE193" s="200">
        <f>IF(ISERROR('Berechnungen 2'!BF396),"",'Berechnungen 2'!BF396)</f>
        <v>0</v>
      </c>
      <c r="AF193" s="200">
        <f>IF(ISERROR('Berechnungen 2'!BG396),"",'Berechnungen 2'!BG396)</f>
        <v>0</v>
      </c>
      <c r="AG193" s="199" t="str">
        <f>IF(ISNUMBER(A193),IF(ISERROR('Berechnungen 2'!BK396),"",'Berechnungen 2'!BK396),"")</f>
        <v/>
      </c>
      <c r="AH193" s="200">
        <f>IF(ISERROR('Berechnungen 2'!BL396),"",'Berechnungen 2'!BL396)</f>
        <v>0</v>
      </c>
      <c r="AI193" s="200">
        <f>IF(ISERROR('Berechnungen 2'!BM396),"",'Berechnungen 2'!BM396)</f>
        <v>0</v>
      </c>
    </row>
    <row r="194" spans="1:35" x14ac:dyDescent="0.2">
      <c r="A194" s="71" t="str">
        <f t="shared" si="55"/>
        <v/>
      </c>
      <c r="B194" s="193">
        <f t="shared" si="56"/>
        <v>182</v>
      </c>
      <c r="C194" s="192">
        <f ca="1">IF(ISERROR(LARGE('Berechnungen 1'!$A$12:$A$311,B194)),"",LARGE('Berechnungen 1'!$A$12:$A$311,B194))</f>
        <v>119</v>
      </c>
      <c r="D194" s="76" t="str">
        <f t="shared" si="71"/>
        <v/>
      </c>
      <c r="E194" s="76" t="str">
        <f t="shared" si="71"/>
        <v/>
      </c>
      <c r="F194" s="155" t="str">
        <f t="shared" si="61"/>
        <v/>
      </c>
      <c r="G194" s="204" t="str">
        <f t="shared" si="62"/>
        <v/>
      </c>
      <c r="H194" s="156" t="str">
        <f t="shared" si="63"/>
        <v/>
      </c>
      <c r="I194" s="155" t="str">
        <f t="shared" si="64"/>
        <v/>
      </c>
      <c r="J194" s="184">
        <f t="shared" ca="1" si="65"/>
        <v>999999</v>
      </c>
      <c r="K194" s="184">
        <f>IF(OR(ISBLANK('Etape 1'!E189),ISBLANK('Etape 1'!F189)),IF(AND(ISBLANK('Etape 1'!B189),ISBLANK('Etape 1'!C189),ISBLANK('Etape 1'!D189),ISBLANK('Etape 1'!E189),ISBLANK('Etape 1'!F189),ISBLANK('Etape 1'!G189),ISBLANK('Etape 1'!H189)),999,9999),IF(VLOOKUP($C194,Matrix_Berechnungen1.Rang.Pumpendaten.Zwischenresultate,$C$9,0)&gt;0,VLOOKUP($C194,Matrix_Berechnungen1.Rang.Pumpendaten.Zwischenresultate,K$9,0),""))</f>
        <v>999</v>
      </c>
      <c r="L194" s="184">
        <f t="shared" ca="1" si="72"/>
        <v>182</v>
      </c>
      <c r="M194" s="184">
        <f t="shared" ca="1" si="72"/>
        <v>0</v>
      </c>
      <c r="N194" s="84"/>
      <c r="O194" s="84"/>
      <c r="P194" s="84"/>
      <c r="Q194" s="69" t="str">
        <f t="shared" si="66"/>
        <v/>
      </c>
      <c r="R194" s="84"/>
      <c r="S194" s="65" t="str">
        <f t="shared" si="67"/>
        <v/>
      </c>
      <c r="T194" s="69" t="str">
        <f t="shared" si="68"/>
        <v/>
      </c>
      <c r="U194" s="84"/>
      <c r="V194" s="65" t="str">
        <f t="shared" si="69"/>
        <v/>
      </c>
      <c r="W194" s="108"/>
      <c r="X194" s="108"/>
      <c r="Y194" s="108"/>
      <c r="Z194" s="110" t="str">
        <f t="shared" si="70"/>
        <v/>
      </c>
      <c r="AA194" s="199">
        <f>IF(ISERROR('Berechnungen 2'!AR397),"",'Berechnungen 2'!AR397)</f>
        <v>0</v>
      </c>
      <c r="AB194" s="200">
        <f>IF(ISERROR('Berechnungen 2'!AS397),"",'Berechnungen 2'!AS397)</f>
        <v>0</v>
      </c>
      <c r="AC194" s="200">
        <f>IF(ISERROR('Berechnungen 2'!AT397),"",'Berechnungen 2'!AT397)</f>
        <v>0</v>
      </c>
      <c r="AD194" s="199">
        <f>IF(ISERROR('Berechnungen 2'!BE397),"",'Berechnungen 2'!BE397)</f>
        <v>0</v>
      </c>
      <c r="AE194" s="200">
        <f>IF(ISERROR('Berechnungen 2'!BF397),"",'Berechnungen 2'!BF397)</f>
        <v>0</v>
      </c>
      <c r="AF194" s="200">
        <f>IF(ISERROR('Berechnungen 2'!BG397),"",'Berechnungen 2'!BG397)</f>
        <v>0</v>
      </c>
      <c r="AG194" s="199" t="str">
        <f>IF(ISNUMBER(A194),IF(ISERROR('Berechnungen 2'!BK397),"",'Berechnungen 2'!BK397),"")</f>
        <v/>
      </c>
      <c r="AH194" s="200">
        <f>IF(ISERROR('Berechnungen 2'!BL397),"",'Berechnungen 2'!BL397)</f>
        <v>0</v>
      </c>
      <c r="AI194" s="200">
        <f>IF(ISERROR('Berechnungen 2'!BM397),"",'Berechnungen 2'!BM397)</f>
        <v>0</v>
      </c>
    </row>
    <row r="195" spans="1:35" x14ac:dyDescent="0.2">
      <c r="A195" s="71" t="str">
        <f t="shared" si="55"/>
        <v/>
      </c>
      <c r="B195" s="193">
        <f t="shared" si="56"/>
        <v>183</v>
      </c>
      <c r="C195" s="192">
        <f ca="1">IF(ISERROR(LARGE('Berechnungen 1'!$A$12:$A$311,B195)),"",LARGE('Berechnungen 1'!$A$12:$A$311,B195))</f>
        <v>118</v>
      </c>
      <c r="D195" s="76" t="str">
        <f t="shared" si="71"/>
        <v/>
      </c>
      <c r="E195" s="76" t="str">
        <f t="shared" si="71"/>
        <v/>
      </c>
      <c r="F195" s="155" t="str">
        <f t="shared" si="61"/>
        <v/>
      </c>
      <c r="G195" s="204" t="str">
        <f t="shared" si="62"/>
        <v/>
      </c>
      <c r="H195" s="156" t="str">
        <f t="shared" si="63"/>
        <v/>
      </c>
      <c r="I195" s="155" t="str">
        <f t="shared" si="64"/>
        <v/>
      </c>
      <c r="J195" s="184">
        <f t="shared" ca="1" si="65"/>
        <v>999999</v>
      </c>
      <c r="K195" s="184">
        <f>IF(OR(ISBLANK('Etape 1'!E190),ISBLANK('Etape 1'!F190)),IF(AND(ISBLANK('Etape 1'!B190),ISBLANK('Etape 1'!C190),ISBLANK('Etape 1'!D190),ISBLANK('Etape 1'!E190),ISBLANK('Etape 1'!F190),ISBLANK('Etape 1'!G190),ISBLANK('Etape 1'!H190)),999,9999),IF(VLOOKUP($C195,Matrix_Berechnungen1.Rang.Pumpendaten.Zwischenresultate,$C$9,0)&gt;0,VLOOKUP($C195,Matrix_Berechnungen1.Rang.Pumpendaten.Zwischenresultate,K$9,0),""))</f>
        <v>999</v>
      </c>
      <c r="L195" s="184">
        <f t="shared" ca="1" si="72"/>
        <v>183</v>
      </c>
      <c r="M195" s="184">
        <f t="shared" ca="1" si="72"/>
        <v>0</v>
      </c>
      <c r="N195" s="84"/>
      <c r="O195" s="84"/>
      <c r="P195" s="84"/>
      <c r="Q195" s="69" t="str">
        <f t="shared" si="66"/>
        <v/>
      </c>
      <c r="R195" s="84"/>
      <c r="S195" s="65" t="str">
        <f t="shared" si="67"/>
        <v/>
      </c>
      <c r="T195" s="69" t="str">
        <f t="shared" si="68"/>
        <v/>
      </c>
      <c r="U195" s="84"/>
      <c r="V195" s="65" t="str">
        <f t="shared" si="69"/>
        <v/>
      </c>
      <c r="W195" s="108"/>
      <c r="X195" s="108"/>
      <c r="Y195" s="108"/>
      <c r="Z195" s="110" t="str">
        <f t="shared" si="70"/>
        <v/>
      </c>
      <c r="AA195" s="199">
        <f>IF(ISERROR('Berechnungen 2'!AR398),"",'Berechnungen 2'!AR398)</f>
        <v>0</v>
      </c>
      <c r="AB195" s="200">
        <f>IF(ISERROR('Berechnungen 2'!AS398),"",'Berechnungen 2'!AS398)</f>
        <v>0</v>
      </c>
      <c r="AC195" s="200">
        <f>IF(ISERROR('Berechnungen 2'!AT398),"",'Berechnungen 2'!AT398)</f>
        <v>0</v>
      </c>
      <c r="AD195" s="199">
        <f>IF(ISERROR('Berechnungen 2'!BE398),"",'Berechnungen 2'!BE398)</f>
        <v>0</v>
      </c>
      <c r="AE195" s="200">
        <f>IF(ISERROR('Berechnungen 2'!BF398),"",'Berechnungen 2'!BF398)</f>
        <v>0</v>
      </c>
      <c r="AF195" s="200">
        <f>IF(ISERROR('Berechnungen 2'!BG398),"",'Berechnungen 2'!BG398)</f>
        <v>0</v>
      </c>
      <c r="AG195" s="199" t="str">
        <f>IF(ISNUMBER(A195),IF(ISERROR('Berechnungen 2'!BK398),"",'Berechnungen 2'!BK398),"")</f>
        <v/>
      </c>
      <c r="AH195" s="200">
        <f>IF(ISERROR('Berechnungen 2'!BL398),"",'Berechnungen 2'!BL398)</f>
        <v>0</v>
      </c>
      <c r="AI195" s="200">
        <f>IF(ISERROR('Berechnungen 2'!BM398),"",'Berechnungen 2'!BM398)</f>
        <v>0</v>
      </c>
    </row>
    <row r="196" spans="1:35" x14ac:dyDescent="0.2">
      <c r="A196" s="71" t="str">
        <f t="shared" si="55"/>
        <v/>
      </c>
      <c r="B196" s="193">
        <f t="shared" si="56"/>
        <v>184</v>
      </c>
      <c r="C196" s="192">
        <f ca="1">IF(ISERROR(LARGE('Berechnungen 1'!$A$12:$A$311,B196)),"",LARGE('Berechnungen 1'!$A$12:$A$311,B196))</f>
        <v>117</v>
      </c>
      <c r="D196" s="76" t="str">
        <f t="shared" si="71"/>
        <v/>
      </c>
      <c r="E196" s="76" t="str">
        <f t="shared" si="71"/>
        <v/>
      </c>
      <c r="F196" s="155" t="str">
        <f t="shared" si="61"/>
        <v/>
      </c>
      <c r="G196" s="204" t="str">
        <f t="shared" si="62"/>
        <v/>
      </c>
      <c r="H196" s="156" t="str">
        <f t="shared" si="63"/>
        <v/>
      </c>
      <c r="I196" s="155" t="str">
        <f t="shared" si="64"/>
        <v/>
      </c>
      <c r="J196" s="184">
        <f t="shared" ca="1" si="65"/>
        <v>999999</v>
      </c>
      <c r="K196" s="184">
        <f>IF(OR(ISBLANK('Etape 1'!E191),ISBLANK('Etape 1'!F191)),IF(AND(ISBLANK('Etape 1'!B191),ISBLANK('Etape 1'!C191),ISBLANK('Etape 1'!D191),ISBLANK('Etape 1'!E191),ISBLANK('Etape 1'!F191),ISBLANK('Etape 1'!G191),ISBLANK('Etape 1'!H191)),999,9999),IF(VLOOKUP($C196,Matrix_Berechnungen1.Rang.Pumpendaten.Zwischenresultate,$C$9,0)&gt;0,VLOOKUP($C196,Matrix_Berechnungen1.Rang.Pumpendaten.Zwischenresultate,K$9,0),""))</f>
        <v>999</v>
      </c>
      <c r="L196" s="184">
        <f t="shared" ca="1" si="72"/>
        <v>184</v>
      </c>
      <c r="M196" s="184">
        <f t="shared" ca="1" si="72"/>
        <v>0</v>
      </c>
      <c r="N196" s="84"/>
      <c r="O196" s="84"/>
      <c r="P196" s="84"/>
      <c r="Q196" s="69" t="str">
        <f t="shared" si="66"/>
        <v/>
      </c>
      <c r="R196" s="84"/>
      <c r="S196" s="65" t="str">
        <f t="shared" si="67"/>
        <v/>
      </c>
      <c r="T196" s="69" t="str">
        <f t="shared" si="68"/>
        <v/>
      </c>
      <c r="U196" s="84"/>
      <c r="V196" s="65" t="str">
        <f t="shared" si="69"/>
        <v/>
      </c>
      <c r="W196" s="108"/>
      <c r="X196" s="108"/>
      <c r="Y196" s="108"/>
      <c r="Z196" s="110" t="str">
        <f t="shared" si="70"/>
        <v/>
      </c>
      <c r="AA196" s="199">
        <f>IF(ISERROR('Berechnungen 2'!AR399),"",'Berechnungen 2'!AR399)</f>
        <v>0</v>
      </c>
      <c r="AB196" s="200">
        <f>IF(ISERROR('Berechnungen 2'!AS399),"",'Berechnungen 2'!AS399)</f>
        <v>0</v>
      </c>
      <c r="AC196" s="200">
        <f>IF(ISERROR('Berechnungen 2'!AT399),"",'Berechnungen 2'!AT399)</f>
        <v>0</v>
      </c>
      <c r="AD196" s="199">
        <f>IF(ISERROR('Berechnungen 2'!BE399),"",'Berechnungen 2'!BE399)</f>
        <v>0</v>
      </c>
      <c r="AE196" s="200">
        <f>IF(ISERROR('Berechnungen 2'!BF399),"",'Berechnungen 2'!BF399)</f>
        <v>0</v>
      </c>
      <c r="AF196" s="200">
        <f>IF(ISERROR('Berechnungen 2'!BG399),"",'Berechnungen 2'!BG399)</f>
        <v>0</v>
      </c>
      <c r="AG196" s="199" t="str">
        <f>IF(ISNUMBER(A196),IF(ISERROR('Berechnungen 2'!BK399),"",'Berechnungen 2'!BK399),"")</f>
        <v/>
      </c>
      <c r="AH196" s="200">
        <f>IF(ISERROR('Berechnungen 2'!BL399),"",'Berechnungen 2'!BL399)</f>
        <v>0</v>
      </c>
      <c r="AI196" s="200">
        <f>IF(ISERROR('Berechnungen 2'!BM399),"",'Berechnungen 2'!BM399)</f>
        <v>0</v>
      </c>
    </row>
    <row r="197" spans="1:35" x14ac:dyDescent="0.2">
      <c r="A197" s="71" t="str">
        <f t="shared" si="55"/>
        <v/>
      </c>
      <c r="B197" s="193">
        <f t="shared" si="56"/>
        <v>185</v>
      </c>
      <c r="C197" s="192">
        <f ca="1">IF(ISERROR(LARGE('Berechnungen 1'!$A$12:$A$311,B197)),"",LARGE('Berechnungen 1'!$A$12:$A$311,B197))</f>
        <v>116</v>
      </c>
      <c r="D197" s="76" t="str">
        <f t="shared" si="71"/>
        <v/>
      </c>
      <c r="E197" s="76" t="str">
        <f t="shared" si="71"/>
        <v/>
      </c>
      <c r="F197" s="155" t="str">
        <f t="shared" si="61"/>
        <v/>
      </c>
      <c r="G197" s="204" t="str">
        <f t="shared" si="62"/>
        <v/>
      </c>
      <c r="H197" s="156" t="str">
        <f t="shared" si="63"/>
        <v/>
      </c>
      <c r="I197" s="155" t="str">
        <f t="shared" si="64"/>
        <v/>
      </c>
      <c r="J197" s="184">
        <f t="shared" ca="1" si="65"/>
        <v>999999</v>
      </c>
      <c r="K197" s="184">
        <f>IF(OR(ISBLANK('Etape 1'!E192),ISBLANK('Etape 1'!F192)),IF(AND(ISBLANK('Etape 1'!B192),ISBLANK('Etape 1'!C192),ISBLANK('Etape 1'!D192),ISBLANK('Etape 1'!E192),ISBLANK('Etape 1'!F192),ISBLANK('Etape 1'!G192),ISBLANK('Etape 1'!H192)),999,9999),IF(VLOOKUP($C197,Matrix_Berechnungen1.Rang.Pumpendaten.Zwischenresultate,$C$9,0)&gt;0,VLOOKUP($C197,Matrix_Berechnungen1.Rang.Pumpendaten.Zwischenresultate,K$9,0),""))</f>
        <v>999</v>
      </c>
      <c r="L197" s="184">
        <f t="shared" ca="1" si="72"/>
        <v>185</v>
      </c>
      <c r="M197" s="184">
        <f t="shared" ca="1" si="72"/>
        <v>0</v>
      </c>
      <c r="N197" s="84"/>
      <c r="O197" s="84"/>
      <c r="P197" s="84"/>
      <c r="Q197" s="69" t="str">
        <f t="shared" si="66"/>
        <v/>
      </c>
      <c r="R197" s="84"/>
      <c r="S197" s="65" t="str">
        <f t="shared" si="67"/>
        <v/>
      </c>
      <c r="T197" s="69" t="str">
        <f t="shared" si="68"/>
        <v/>
      </c>
      <c r="U197" s="84"/>
      <c r="V197" s="65" t="str">
        <f t="shared" si="69"/>
        <v/>
      </c>
      <c r="W197" s="108"/>
      <c r="X197" s="108"/>
      <c r="Y197" s="108"/>
      <c r="Z197" s="110" t="str">
        <f t="shared" si="70"/>
        <v/>
      </c>
      <c r="AA197" s="199">
        <f>IF(ISERROR('Berechnungen 2'!AR400),"",'Berechnungen 2'!AR400)</f>
        <v>0</v>
      </c>
      <c r="AB197" s="200">
        <f>IF(ISERROR('Berechnungen 2'!AS400),"",'Berechnungen 2'!AS400)</f>
        <v>0</v>
      </c>
      <c r="AC197" s="200">
        <f>IF(ISERROR('Berechnungen 2'!AT400),"",'Berechnungen 2'!AT400)</f>
        <v>0</v>
      </c>
      <c r="AD197" s="199">
        <f>IF(ISERROR('Berechnungen 2'!BE400),"",'Berechnungen 2'!BE400)</f>
        <v>0</v>
      </c>
      <c r="AE197" s="200">
        <f>IF(ISERROR('Berechnungen 2'!BF400),"",'Berechnungen 2'!BF400)</f>
        <v>0</v>
      </c>
      <c r="AF197" s="200">
        <f>IF(ISERROR('Berechnungen 2'!BG400),"",'Berechnungen 2'!BG400)</f>
        <v>0</v>
      </c>
      <c r="AG197" s="199" t="str">
        <f>IF(ISNUMBER(A197),IF(ISERROR('Berechnungen 2'!BK400),"",'Berechnungen 2'!BK400),"")</f>
        <v/>
      </c>
      <c r="AH197" s="200">
        <f>IF(ISERROR('Berechnungen 2'!BL400),"",'Berechnungen 2'!BL400)</f>
        <v>0</v>
      </c>
      <c r="AI197" s="200">
        <f>IF(ISERROR('Berechnungen 2'!BM400),"",'Berechnungen 2'!BM400)</f>
        <v>0</v>
      </c>
    </row>
    <row r="198" spans="1:35" x14ac:dyDescent="0.2">
      <c r="A198" s="71" t="str">
        <f t="shared" si="55"/>
        <v/>
      </c>
      <c r="B198" s="193">
        <f t="shared" si="56"/>
        <v>186</v>
      </c>
      <c r="C198" s="192">
        <f ca="1">IF(ISERROR(LARGE('Berechnungen 1'!$A$12:$A$311,B198)),"",LARGE('Berechnungen 1'!$A$12:$A$311,B198))</f>
        <v>115</v>
      </c>
      <c r="D198" s="76" t="str">
        <f t="shared" si="71"/>
        <v/>
      </c>
      <c r="E198" s="76" t="str">
        <f t="shared" si="71"/>
        <v/>
      </c>
      <c r="F198" s="155" t="str">
        <f t="shared" si="61"/>
        <v/>
      </c>
      <c r="G198" s="204" t="str">
        <f t="shared" si="62"/>
        <v/>
      </c>
      <c r="H198" s="156" t="str">
        <f t="shared" si="63"/>
        <v/>
      </c>
      <c r="I198" s="155" t="str">
        <f t="shared" si="64"/>
        <v/>
      </c>
      <c r="J198" s="184">
        <f t="shared" ca="1" si="65"/>
        <v>999999</v>
      </c>
      <c r="K198" s="184">
        <f>IF(OR(ISBLANK('Etape 1'!E193),ISBLANK('Etape 1'!F193)),IF(AND(ISBLANK('Etape 1'!B193),ISBLANK('Etape 1'!C193),ISBLANK('Etape 1'!D193),ISBLANK('Etape 1'!E193),ISBLANK('Etape 1'!F193),ISBLANK('Etape 1'!G193),ISBLANK('Etape 1'!H193)),999,9999),IF(VLOOKUP($C198,Matrix_Berechnungen1.Rang.Pumpendaten.Zwischenresultate,$C$9,0)&gt;0,VLOOKUP($C198,Matrix_Berechnungen1.Rang.Pumpendaten.Zwischenresultate,K$9,0),""))</f>
        <v>999</v>
      </c>
      <c r="L198" s="184">
        <f t="shared" ca="1" si="72"/>
        <v>186</v>
      </c>
      <c r="M198" s="184">
        <f t="shared" ca="1" si="72"/>
        <v>0</v>
      </c>
      <c r="N198" s="84"/>
      <c r="O198" s="84"/>
      <c r="P198" s="84"/>
      <c r="Q198" s="69" t="str">
        <f t="shared" si="66"/>
        <v/>
      </c>
      <c r="R198" s="84"/>
      <c r="S198" s="65" t="str">
        <f t="shared" si="67"/>
        <v/>
      </c>
      <c r="T198" s="69" t="str">
        <f t="shared" si="68"/>
        <v/>
      </c>
      <c r="U198" s="84"/>
      <c r="V198" s="65" t="str">
        <f t="shared" si="69"/>
        <v/>
      </c>
      <c r="W198" s="108"/>
      <c r="X198" s="108"/>
      <c r="Y198" s="108"/>
      <c r="Z198" s="110" t="str">
        <f t="shared" si="70"/>
        <v/>
      </c>
      <c r="AA198" s="199">
        <f>IF(ISERROR('Berechnungen 2'!AR401),"",'Berechnungen 2'!AR401)</f>
        <v>0</v>
      </c>
      <c r="AB198" s="200">
        <f>IF(ISERROR('Berechnungen 2'!AS401),"",'Berechnungen 2'!AS401)</f>
        <v>0</v>
      </c>
      <c r="AC198" s="200">
        <f>IF(ISERROR('Berechnungen 2'!AT401),"",'Berechnungen 2'!AT401)</f>
        <v>0</v>
      </c>
      <c r="AD198" s="199">
        <f>IF(ISERROR('Berechnungen 2'!BE401),"",'Berechnungen 2'!BE401)</f>
        <v>0</v>
      </c>
      <c r="AE198" s="200">
        <f>IF(ISERROR('Berechnungen 2'!BF401),"",'Berechnungen 2'!BF401)</f>
        <v>0</v>
      </c>
      <c r="AF198" s="200">
        <f>IF(ISERROR('Berechnungen 2'!BG401),"",'Berechnungen 2'!BG401)</f>
        <v>0</v>
      </c>
      <c r="AG198" s="199" t="str">
        <f>IF(ISNUMBER(A198),IF(ISERROR('Berechnungen 2'!BK401),"",'Berechnungen 2'!BK401),"")</f>
        <v/>
      </c>
      <c r="AH198" s="200">
        <f>IF(ISERROR('Berechnungen 2'!BL401),"",'Berechnungen 2'!BL401)</f>
        <v>0</v>
      </c>
      <c r="AI198" s="200">
        <f>IF(ISERROR('Berechnungen 2'!BM401),"",'Berechnungen 2'!BM401)</f>
        <v>0</v>
      </c>
    </row>
    <row r="199" spans="1:35" x14ac:dyDescent="0.2">
      <c r="A199" s="71" t="str">
        <f t="shared" si="55"/>
        <v/>
      </c>
      <c r="B199" s="193">
        <f t="shared" si="56"/>
        <v>187</v>
      </c>
      <c r="C199" s="192">
        <f ca="1">IF(ISERROR(LARGE('Berechnungen 1'!$A$12:$A$311,B199)),"",LARGE('Berechnungen 1'!$A$12:$A$311,B199))</f>
        <v>114</v>
      </c>
      <c r="D199" s="76" t="str">
        <f t="shared" si="71"/>
        <v/>
      </c>
      <c r="E199" s="76" t="str">
        <f t="shared" si="71"/>
        <v/>
      </c>
      <c r="F199" s="155" t="str">
        <f t="shared" si="61"/>
        <v/>
      </c>
      <c r="G199" s="204" t="str">
        <f t="shared" si="62"/>
        <v/>
      </c>
      <c r="H199" s="156" t="str">
        <f t="shared" si="63"/>
        <v/>
      </c>
      <c r="I199" s="155" t="str">
        <f t="shared" si="64"/>
        <v/>
      </c>
      <c r="J199" s="184">
        <f t="shared" ca="1" si="65"/>
        <v>999999</v>
      </c>
      <c r="K199" s="184">
        <f>IF(OR(ISBLANK('Etape 1'!E194),ISBLANK('Etape 1'!F194)),IF(AND(ISBLANK('Etape 1'!B194),ISBLANK('Etape 1'!C194),ISBLANK('Etape 1'!D194),ISBLANK('Etape 1'!E194),ISBLANK('Etape 1'!F194),ISBLANK('Etape 1'!G194),ISBLANK('Etape 1'!H194)),999,9999),IF(VLOOKUP($C199,Matrix_Berechnungen1.Rang.Pumpendaten.Zwischenresultate,$C$9,0)&gt;0,VLOOKUP($C199,Matrix_Berechnungen1.Rang.Pumpendaten.Zwischenresultate,K$9,0),""))</f>
        <v>999</v>
      </c>
      <c r="L199" s="184">
        <f t="shared" ca="1" si="72"/>
        <v>187</v>
      </c>
      <c r="M199" s="184">
        <f t="shared" ca="1" si="72"/>
        <v>0</v>
      </c>
      <c r="N199" s="84"/>
      <c r="O199" s="84"/>
      <c r="P199" s="84"/>
      <c r="Q199" s="69" t="str">
        <f t="shared" si="66"/>
        <v/>
      </c>
      <c r="R199" s="84"/>
      <c r="S199" s="65" t="str">
        <f t="shared" si="67"/>
        <v/>
      </c>
      <c r="T199" s="69" t="str">
        <f t="shared" si="68"/>
        <v/>
      </c>
      <c r="U199" s="84"/>
      <c r="V199" s="65" t="str">
        <f t="shared" si="69"/>
        <v/>
      </c>
      <c r="W199" s="108"/>
      <c r="X199" s="108"/>
      <c r="Y199" s="108"/>
      <c r="Z199" s="110" t="str">
        <f t="shared" si="70"/>
        <v/>
      </c>
      <c r="AA199" s="199">
        <f>IF(ISERROR('Berechnungen 2'!AR402),"",'Berechnungen 2'!AR402)</f>
        <v>0</v>
      </c>
      <c r="AB199" s="200">
        <f>IF(ISERROR('Berechnungen 2'!AS402),"",'Berechnungen 2'!AS402)</f>
        <v>0</v>
      </c>
      <c r="AC199" s="200">
        <f>IF(ISERROR('Berechnungen 2'!AT402),"",'Berechnungen 2'!AT402)</f>
        <v>0</v>
      </c>
      <c r="AD199" s="199">
        <f>IF(ISERROR('Berechnungen 2'!BE402),"",'Berechnungen 2'!BE402)</f>
        <v>0</v>
      </c>
      <c r="AE199" s="200">
        <f>IF(ISERROR('Berechnungen 2'!BF402),"",'Berechnungen 2'!BF402)</f>
        <v>0</v>
      </c>
      <c r="AF199" s="200">
        <f>IF(ISERROR('Berechnungen 2'!BG402),"",'Berechnungen 2'!BG402)</f>
        <v>0</v>
      </c>
      <c r="AG199" s="199" t="str">
        <f>IF(ISNUMBER(A199),IF(ISERROR('Berechnungen 2'!BK402),"",'Berechnungen 2'!BK402),"")</f>
        <v/>
      </c>
      <c r="AH199" s="200">
        <f>IF(ISERROR('Berechnungen 2'!BL402),"",'Berechnungen 2'!BL402)</f>
        <v>0</v>
      </c>
      <c r="AI199" s="200">
        <f>IF(ISERROR('Berechnungen 2'!BM402),"",'Berechnungen 2'!BM402)</f>
        <v>0</v>
      </c>
    </row>
    <row r="200" spans="1:35" x14ac:dyDescent="0.2">
      <c r="A200" s="71" t="str">
        <f t="shared" si="55"/>
        <v/>
      </c>
      <c r="B200" s="193">
        <f t="shared" si="56"/>
        <v>188</v>
      </c>
      <c r="C200" s="192">
        <f ca="1">IF(ISERROR(LARGE('Berechnungen 1'!$A$12:$A$311,B200)),"",LARGE('Berechnungen 1'!$A$12:$A$311,B200))</f>
        <v>113</v>
      </c>
      <c r="D200" s="76" t="str">
        <f t="shared" si="71"/>
        <v/>
      </c>
      <c r="E200" s="76" t="str">
        <f t="shared" si="71"/>
        <v/>
      </c>
      <c r="F200" s="155" t="str">
        <f t="shared" si="61"/>
        <v/>
      </c>
      <c r="G200" s="204" t="str">
        <f t="shared" si="62"/>
        <v/>
      </c>
      <c r="H200" s="156" t="str">
        <f t="shared" si="63"/>
        <v/>
      </c>
      <c r="I200" s="155" t="str">
        <f t="shared" si="64"/>
        <v/>
      </c>
      <c r="J200" s="184">
        <f t="shared" ca="1" si="65"/>
        <v>999999</v>
      </c>
      <c r="K200" s="184">
        <f>IF(OR(ISBLANK('Etape 1'!E195),ISBLANK('Etape 1'!F195)),IF(AND(ISBLANK('Etape 1'!B195),ISBLANK('Etape 1'!C195),ISBLANK('Etape 1'!D195),ISBLANK('Etape 1'!E195),ISBLANK('Etape 1'!F195),ISBLANK('Etape 1'!G195),ISBLANK('Etape 1'!H195)),999,9999),IF(VLOOKUP($C200,Matrix_Berechnungen1.Rang.Pumpendaten.Zwischenresultate,$C$9,0)&gt;0,VLOOKUP($C200,Matrix_Berechnungen1.Rang.Pumpendaten.Zwischenresultate,K$9,0),""))</f>
        <v>999</v>
      </c>
      <c r="L200" s="184">
        <f t="shared" ca="1" si="72"/>
        <v>188</v>
      </c>
      <c r="M200" s="184">
        <f t="shared" ca="1" si="72"/>
        <v>0</v>
      </c>
      <c r="N200" s="84"/>
      <c r="O200" s="84"/>
      <c r="P200" s="84"/>
      <c r="Q200" s="69" t="str">
        <f t="shared" si="66"/>
        <v/>
      </c>
      <c r="R200" s="84"/>
      <c r="S200" s="65" t="str">
        <f t="shared" si="67"/>
        <v/>
      </c>
      <c r="T200" s="69" t="str">
        <f t="shared" si="68"/>
        <v/>
      </c>
      <c r="U200" s="84"/>
      <c r="V200" s="65" t="str">
        <f t="shared" si="69"/>
        <v/>
      </c>
      <c r="W200" s="108"/>
      <c r="X200" s="108"/>
      <c r="Y200" s="108"/>
      <c r="Z200" s="110" t="str">
        <f t="shared" si="70"/>
        <v/>
      </c>
      <c r="AA200" s="199">
        <f>IF(ISERROR('Berechnungen 2'!AR403),"",'Berechnungen 2'!AR403)</f>
        <v>0</v>
      </c>
      <c r="AB200" s="200">
        <f>IF(ISERROR('Berechnungen 2'!AS403),"",'Berechnungen 2'!AS403)</f>
        <v>0</v>
      </c>
      <c r="AC200" s="200">
        <f>IF(ISERROR('Berechnungen 2'!AT403),"",'Berechnungen 2'!AT403)</f>
        <v>0</v>
      </c>
      <c r="AD200" s="199">
        <f>IF(ISERROR('Berechnungen 2'!BE403),"",'Berechnungen 2'!BE403)</f>
        <v>0</v>
      </c>
      <c r="AE200" s="200">
        <f>IF(ISERROR('Berechnungen 2'!BF403),"",'Berechnungen 2'!BF403)</f>
        <v>0</v>
      </c>
      <c r="AF200" s="200">
        <f>IF(ISERROR('Berechnungen 2'!BG403),"",'Berechnungen 2'!BG403)</f>
        <v>0</v>
      </c>
      <c r="AG200" s="199" t="str">
        <f>IF(ISNUMBER(A200),IF(ISERROR('Berechnungen 2'!BK403),"",'Berechnungen 2'!BK403),"")</f>
        <v/>
      </c>
      <c r="AH200" s="200">
        <f>IF(ISERROR('Berechnungen 2'!BL403),"",'Berechnungen 2'!BL403)</f>
        <v>0</v>
      </c>
      <c r="AI200" s="200">
        <f>IF(ISERROR('Berechnungen 2'!BM403),"",'Berechnungen 2'!BM403)</f>
        <v>0</v>
      </c>
    </row>
    <row r="201" spans="1:35" x14ac:dyDescent="0.2">
      <c r="A201" s="71" t="str">
        <f t="shared" si="55"/>
        <v/>
      </c>
      <c r="B201" s="193">
        <f t="shared" si="56"/>
        <v>189</v>
      </c>
      <c r="C201" s="192">
        <f ca="1">IF(ISERROR(LARGE('Berechnungen 1'!$A$12:$A$311,B201)),"",LARGE('Berechnungen 1'!$A$12:$A$311,B201))</f>
        <v>112</v>
      </c>
      <c r="D201" s="76" t="str">
        <f t="shared" si="71"/>
        <v/>
      </c>
      <c r="E201" s="76" t="str">
        <f t="shared" si="71"/>
        <v/>
      </c>
      <c r="F201" s="155" t="str">
        <f t="shared" si="61"/>
        <v/>
      </c>
      <c r="G201" s="204" t="str">
        <f t="shared" si="62"/>
        <v/>
      </c>
      <c r="H201" s="156" t="str">
        <f t="shared" si="63"/>
        <v/>
      </c>
      <c r="I201" s="155" t="str">
        <f t="shared" si="64"/>
        <v/>
      </c>
      <c r="J201" s="184">
        <f t="shared" ca="1" si="65"/>
        <v>999999</v>
      </c>
      <c r="K201" s="184">
        <f>IF(OR(ISBLANK('Etape 1'!E196),ISBLANK('Etape 1'!F196)),IF(AND(ISBLANK('Etape 1'!B196),ISBLANK('Etape 1'!C196),ISBLANK('Etape 1'!D196),ISBLANK('Etape 1'!E196),ISBLANK('Etape 1'!F196),ISBLANK('Etape 1'!G196),ISBLANK('Etape 1'!H196)),999,9999),IF(VLOOKUP($C201,Matrix_Berechnungen1.Rang.Pumpendaten.Zwischenresultate,$C$9,0)&gt;0,VLOOKUP($C201,Matrix_Berechnungen1.Rang.Pumpendaten.Zwischenresultate,K$9,0),""))</f>
        <v>999</v>
      </c>
      <c r="L201" s="184">
        <f t="shared" ca="1" si="72"/>
        <v>189</v>
      </c>
      <c r="M201" s="184">
        <f t="shared" ca="1" si="72"/>
        <v>0</v>
      </c>
      <c r="N201" s="84"/>
      <c r="O201" s="84"/>
      <c r="P201" s="84"/>
      <c r="Q201" s="69" t="str">
        <f t="shared" si="66"/>
        <v/>
      </c>
      <c r="R201" s="84"/>
      <c r="S201" s="65" t="str">
        <f t="shared" si="67"/>
        <v/>
      </c>
      <c r="T201" s="69" t="str">
        <f t="shared" si="68"/>
        <v/>
      </c>
      <c r="U201" s="84"/>
      <c r="V201" s="65" t="str">
        <f t="shared" si="69"/>
        <v/>
      </c>
      <c r="W201" s="108"/>
      <c r="X201" s="108"/>
      <c r="Y201" s="108"/>
      <c r="Z201" s="110" t="str">
        <f t="shared" si="70"/>
        <v/>
      </c>
      <c r="AA201" s="199">
        <f>IF(ISERROR('Berechnungen 2'!AR404),"",'Berechnungen 2'!AR404)</f>
        <v>0</v>
      </c>
      <c r="AB201" s="200">
        <f>IF(ISERROR('Berechnungen 2'!AS404),"",'Berechnungen 2'!AS404)</f>
        <v>0</v>
      </c>
      <c r="AC201" s="200">
        <f>IF(ISERROR('Berechnungen 2'!AT404),"",'Berechnungen 2'!AT404)</f>
        <v>0</v>
      </c>
      <c r="AD201" s="199">
        <f>IF(ISERROR('Berechnungen 2'!BE404),"",'Berechnungen 2'!BE404)</f>
        <v>0</v>
      </c>
      <c r="AE201" s="200">
        <f>IF(ISERROR('Berechnungen 2'!BF404),"",'Berechnungen 2'!BF404)</f>
        <v>0</v>
      </c>
      <c r="AF201" s="200">
        <f>IF(ISERROR('Berechnungen 2'!BG404),"",'Berechnungen 2'!BG404)</f>
        <v>0</v>
      </c>
      <c r="AG201" s="199" t="str">
        <f>IF(ISNUMBER(A201),IF(ISERROR('Berechnungen 2'!BK404),"",'Berechnungen 2'!BK404),"")</f>
        <v/>
      </c>
      <c r="AH201" s="200">
        <f>IF(ISERROR('Berechnungen 2'!BL404),"",'Berechnungen 2'!BL404)</f>
        <v>0</v>
      </c>
      <c r="AI201" s="200">
        <f>IF(ISERROR('Berechnungen 2'!BM404),"",'Berechnungen 2'!BM404)</f>
        <v>0</v>
      </c>
    </row>
    <row r="202" spans="1:35" x14ac:dyDescent="0.2">
      <c r="A202" s="71" t="str">
        <f t="shared" si="55"/>
        <v/>
      </c>
      <c r="B202" s="193">
        <f t="shared" si="56"/>
        <v>190</v>
      </c>
      <c r="C202" s="192">
        <f ca="1">IF(ISERROR(LARGE('Berechnungen 1'!$A$12:$A$311,B202)),"",LARGE('Berechnungen 1'!$A$12:$A$311,B202))</f>
        <v>111</v>
      </c>
      <c r="D202" s="76" t="str">
        <f t="shared" si="71"/>
        <v/>
      </c>
      <c r="E202" s="76" t="str">
        <f t="shared" si="71"/>
        <v/>
      </c>
      <c r="F202" s="155" t="str">
        <f t="shared" si="61"/>
        <v/>
      </c>
      <c r="G202" s="204" t="str">
        <f t="shared" si="62"/>
        <v/>
      </c>
      <c r="H202" s="156" t="str">
        <f t="shared" si="63"/>
        <v/>
      </c>
      <c r="I202" s="155" t="str">
        <f t="shared" si="64"/>
        <v/>
      </c>
      <c r="J202" s="184">
        <f t="shared" ca="1" si="65"/>
        <v>999999</v>
      </c>
      <c r="K202" s="184">
        <f>IF(OR(ISBLANK('Etape 1'!E197),ISBLANK('Etape 1'!F197)),IF(AND(ISBLANK('Etape 1'!B197),ISBLANK('Etape 1'!C197),ISBLANK('Etape 1'!D197),ISBLANK('Etape 1'!E197),ISBLANK('Etape 1'!F197),ISBLANK('Etape 1'!G197),ISBLANK('Etape 1'!H197)),999,9999),IF(VLOOKUP($C202,Matrix_Berechnungen1.Rang.Pumpendaten.Zwischenresultate,$C$9,0)&gt;0,VLOOKUP($C202,Matrix_Berechnungen1.Rang.Pumpendaten.Zwischenresultate,K$9,0),""))</f>
        <v>999</v>
      </c>
      <c r="L202" s="184">
        <f t="shared" ca="1" si="72"/>
        <v>190</v>
      </c>
      <c r="M202" s="184">
        <f t="shared" ca="1" si="72"/>
        <v>0</v>
      </c>
      <c r="N202" s="84"/>
      <c r="O202" s="84"/>
      <c r="P202" s="84"/>
      <c r="Q202" s="69" t="str">
        <f t="shared" si="66"/>
        <v/>
      </c>
      <c r="R202" s="84"/>
      <c r="S202" s="65" t="str">
        <f t="shared" si="67"/>
        <v/>
      </c>
      <c r="T202" s="69" t="str">
        <f t="shared" si="68"/>
        <v/>
      </c>
      <c r="U202" s="84"/>
      <c r="V202" s="65" t="str">
        <f t="shared" si="69"/>
        <v/>
      </c>
      <c r="W202" s="108"/>
      <c r="X202" s="108"/>
      <c r="Y202" s="108"/>
      <c r="Z202" s="110" t="str">
        <f t="shared" si="70"/>
        <v/>
      </c>
      <c r="AA202" s="199">
        <f>IF(ISERROR('Berechnungen 2'!AR405),"",'Berechnungen 2'!AR405)</f>
        <v>0</v>
      </c>
      <c r="AB202" s="200">
        <f>IF(ISERROR('Berechnungen 2'!AS405),"",'Berechnungen 2'!AS405)</f>
        <v>0</v>
      </c>
      <c r="AC202" s="200">
        <f>IF(ISERROR('Berechnungen 2'!AT405),"",'Berechnungen 2'!AT405)</f>
        <v>0</v>
      </c>
      <c r="AD202" s="199">
        <f>IF(ISERROR('Berechnungen 2'!BE405),"",'Berechnungen 2'!BE405)</f>
        <v>0</v>
      </c>
      <c r="AE202" s="200">
        <f>IF(ISERROR('Berechnungen 2'!BF405),"",'Berechnungen 2'!BF405)</f>
        <v>0</v>
      </c>
      <c r="AF202" s="200">
        <f>IF(ISERROR('Berechnungen 2'!BG405),"",'Berechnungen 2'!BG405)</f>
        <v>0</v>
      </c>
      <c r="AG202" s="199" t="str">
        <f>IF(ISNUMBER(A202),IF(ISERROR('Berechnungen 2'!BK405),"",'Berechnungen 2'!BK405),"")</f>
        <v/>
      </c>
      <c r="AH202" s="200">
        <f>IF(ISERROR('Berechnungen 2'!BL405),"",'Berechnungen 2'!BL405)</f>
        <v>0</v>
      </c>
      <c r="AI202" s="200">
        <f>IF(ISERROR('Berechnungen 2'!BM405),"",'Berechnungen 2'!BM405)</f>
        <v>0</v>
      </c>
    </row>
    <row r="203" spans="1:35" x14ac:dyDescent="0.2">
      <c r="A203" s="71" t="str">
        <f t="shared" si="55"/>
        <v/>
      </c>
      <c r="B203" s="193">
        <f t="shared" si="56"/>
        <v>191</v>
      </c>
      <c r="C203" s="192">
        <f ca="1">IF(ISERROR(LARGE('Berechnungen 1'!$A$12:$A$311,B203)),"",LARGE('Berechnungen 1'!$A$12:$A$311,B203))</f>
        <v>110</v>
      </c>
      <c r="D203" s="76" t="str">
        <f t="shared" si="71"/>
        <v/>
      </c>
      <c r="E203" s="76" t="str">
        <f t="shared" si="71"/>
        <v/>
      </c>
      <c r="F203" s="155" t="str">
        <f t="shared" si="61"/>
        <v/>
      </c>
      <c r="G203" s="204" t="str">
        <f t="shared" si="62"/>
        <v/>
      </c>
      <c r="H203" s="156" t="str">
        <f t="shared" si="63"/>
        <v/>
      </c>
      <c r="I203" s="155" t="str">
        <f t="shared" si="64"/>
        <v/>
      </c>
      <c r="J203" s="184">
        <f t="shared" ca="1" si="65"/>
        <v>999999</v>
      </c>
      <c r="K203" s="184">
        <f>IF(OR(ISBLANK('Etape 1'!E198),ISBLANK('Etape 1'!F198)),IF(AND(ISBLANK('Etape 1'!B198),ISBLANK('Etape 1'!C198),ISBLANK('Etape 1'!D198),ISBLANK('Etape 1'!E198),ISBLANK('Etape 1'!F198),ISBLANK('Etape 1'!G198),ISBLANK('Etape 1'!H198)),999,9999),IF(VLOOKUP($C203,Matrix_Berechnungen1.Rang.Pumpendaten.Zwischenresultate,$C$9,0)&gt;0,VLOOKUP($C203,Matrix_Berechnungen1.Rang.Pumpendaten.Zwischenresultate,K$9,0),""))</f>
        <v>999</v>
      </c>
      <c r="L203" s="184">
        <f t="shared" ca="1" si="72"/>
        <v>191</v>
      </c>
      <c r="M203" s="184">
        <f t="shared" ca="1" si="72"/>
        <v>0</v>
      </c>
      <c r="N203" s="84"/>
      <c r="O203" s="84"/>
      <c r="P203" s="84"/>
      <c r="Q203" s="69" t="str">
        <f t="shared" si="66"/>
        <v/>
      </c>
      <c r="R203" s="84"/>
      <c r="S203" s="65" t="str">
        <f t="shared" si="67"/>
        <v/>
      </c>
      <c r="T203" s="69" t="str">
        <f t="shared" si="68"/>
        <v/>
      </c>
      <c r="U203" s="84"/>
      <c r="V203" s="65" t="str">
        <f t="shared" si="69"/>
        <v/>
      </c>
      <c r="W203" s="108"/>
      <c r="X203" s="108"/>
      <c r="Y203" s="108"/>
      <c r="Z203" s="110" t="str">
        <f t="shared" si="70"/>
        <v/>
      </c>
      <c r="AA203" s="199">
        <f>IF(ISERROR('Berechnungen 2'!AR406),"",'Berechnungen 2'!AR406)</f>
        <v>0</v>
      </c>
      <c r="AB203" s="200">
        <f>IF(ISERROR('Berechnungen 2'!AS406),"",'Berechnungen 2'!AS406)</f>
        <v>0</v>
      </c>
      <c r="AC203" s="200">
        <f>IF(ISERROR('Berechnungen 2'!AT406),"",'Berechnungen 2'!AT406)</f>
        <v>0</v>
      </c>
      <c r="AD203" s="199">
        <f>IF(ISERROR('Berechnungen 2'!BE406),"",'Berechnungen 2'!BE406)</f>
        <v>0</v>
      </c>
      <c r="AE203" s="200">
        <f>IF(ISERROR('Berechnungen 2'!BF406),"",'Berechnungen 2'!BF406)</f>
        <v>0</v>
      </c>
      <c r="AF203" s="200">
        <f>IF(ISERROR('Berechnungen 2'!BG406),"",'Berechnungen 2'!BG406)</f>
        <v>0</v>
      </c>
      <c r="AG203" s="199" t="str">
        <f>IF(ISNUMBER(A203),IF(ISERROR('Berechnungen 2'!BK406),"",'Berechnungen 2'!BK406),"")</f>
        <v/>
      </c>
      <c r="AH203" s="200">
        <f>IF(ISERROR('Berechnungen 2'!BL406),"",'Berechnungen 2'!BL406)</f>
        <v>0</v>
      </c>
      <c r="AI203" s="200">
        <f>IF(ISERROR('Berechnungen 2'!BM406),"",'Berechnungen 2'!BM406)</f>
        <v>0</v>
      </c>
    </row>
    <row r="204" spans="1:35" x14ac:dyDescent="0.2">
      <c r="A204" s="71" t="str">
        <f t="shared" si="55"/>
        <v/>
      </c>
      <c r="B204" s="193">
        <f t="shared" si="56"/>
        <v>192</v>
      </c>
      <c r="C204" s="192">
        <f ca="1">IF(ISERROR(LARGE('Berechnungen 1'!$A$12:$A$311,B204)),"",LARGE('Berechnungen 1'!$A$12:$A$311,B204))</f>
        <v>109</v>
      </c>
      <c r="D204" s="76" t="str">
        <f t="shared" si="71"/>
        <v/>
      </c>
      <c r="E204" s="76" t="str">
        <f t="shared" si="71"/>
        <v/>
      </c>
      <c r="F204" s="155" t="str">
        <f t="shared" si="61"/>
        <v/>
      </c>
      <c r="G204" s="204" t="str">
        <f t="shared" si="62"/>
        <v/>
      </c>
      <c r="H204" s="156" t="str">
        <f t="shared" si="63"/>
        <v/>
      </c>
      <c r="I204" s="155" t="str">
        <f t="shared" si="64"/>
        <v/>
      </c>
      <c r="J204" s="184">
        <f t="shared" ca="1" si="65"/>
        <v>999999</v>
      </c>
      <c r="K204" s="184">
        <f>IF(OR(ISBLANK('Etape 1'!E199),ISBLANK('Etape 1'!F199)),IF(AND(ISBLANK('Etape 1'!B199),ISBLANK('Etape 1'!C199),ISBLANK('Etape 1'!D199),ISBLANK('Etape 1'!E199),ISBLANK('Etape 1'!F199),ISBLANK('Etape 1'!G199),ISBLANK('Etape 1'!H199)),999,9999),IF(VLOOKUP($C204,Matrix_Berechnungen1.Rang.Pumpendaten.Zwischenresultate,$C$9,0)&gt;0,VLOOKUP($C204,Matrix_Berechnungen1.Rang.Pumpendaten.Zwischenresultate,K$9,0),""))</f>
        <v>999</v>
      </c>
      <c r="L204" s="184">
        <f t="shared" ca="1" si="72"/>
        <v>192</v>
      </c>
      <c r="M204" s="184">
        <f t="shared" ca="1" si="72"/>
        <v>0</v>
      </c>
      <c r="N204" s="84"/>
      <c r="O204" s="84"/>
      <c r="P204" s="84"/>
      <c r="Q204" s="69" t="str">
        <f t="shared" si="66"/>
        <v/>
      </c>
      <c r="R204" s="84"/>
      <c r="S204" s="65" t="str">
        <f t="shared" si="67"/>
        <v/>
      </c>
      <c r="T204" s="69" t="str">
        <f t="shared" si="68"/>
        <v/>
      </c>
      <c r="U204" s="84"/>
      <c r="V204" s="65" t="str">
        <f t="shared" si="69"/>
        <v/>
      </c>
      <c r="W204" s="108"/>
      <c r="X204" s="108"/>
      <c r="Y204" s="108"/>
      <c r="Z204" s="110" t="str">
        <f t="shared" si="70"/>
        <v/>
      </c>
      <c r="AA204" s="199">
        <f>IF(ISERROR('Berechnungen 2'!AR407),"",'Berechnungen 2'!AR407)</f>
        <v>0</v>
      </c>
      <c r="AB204" s="200">
        <f>IF(ISERROR('Berechnungen 2'!AS407),"",'Berechnungen 2'!AS407)</f>
        <v>0</v>
      </c>
      <c r="AC204" s="200">
        <f>IF(ISERROR('Berechnungen 2'!AT407),"",'Berechnungen 2'!AT407)</f>
        <v>0</v>
      </c>
      <c r="AD204" s="199">
        <f>IF(ISERROR('Berechnungen 2'!BE407),"",'Berechnungen 2'!BE407)</f>
        <v>0</v>
      </c>
      <c r="AE204" s="200">
        <f>IF(ISERROR('Berechnungen 2'!BF407),"",'Berechnungen 2'!BF407)</f>
        <v>0</v>
      </c>
      <c r="AF204" s="200">
        <f>IF(ISERROR('Berechnungen 2'!BG407),"",'Berechnungen 2'!BG407)</f>
        <v>0</v>
      </c>
      <c r="AG204" s="199" t="str">
        <f>IF(ISNUMBER(A204),IF(ISERROR('Berechnungen 2'!BK407),"",'Berechnungen 2'!BK407),"")</f>
        <v/>
      </c>
      <c r="AH204" s="200">
        <f>IF(ISERROR('Berechnungen 2'!BL407),"",'Berechnungen 2'!BL407)</f>
        <v>0</v>
      </c>
      <c r="AI204" s="200">
        <f>IF(ISERROR('Berechnungen 2'!BM407),"",'Berechnungen 2'!BM407)</f>
        <v>0</v>
      </c>
    </row>
    <row r="205" spans="1:35" x14ac:dyDescent="0.2">
      <c r="A205" s="71" t="str">
        <f t="shared" ref="A205:A268" si="73">IF(OR(K205=0,K205=1,K205=2,K205=9999),VLOOKUP($C205,Matrix_Berechnungen1.Rang.Pumpendaten.Zwischenresultate,A$9,0),"")</f>
        <v/>
      </c>
      <c r="B205" s="193">
        <f t="shared" si="56"/>
        <v>193</v>
      </c>
      <c r="C205" s="192">
        <f ca="1">IF(ISERROR(LARGE('Berechnungen 1'!$A$12:$A$311,B205)),"",LARGE('Berechnungen 1'!$A$12:$A$311,B205))</f>
        <v>108</v>
      </c>
      <c r="D205" s="76" t="str">
        <f t="shared" si="71"/>
        <v/>
      </c>
      <c r="E205" s="76" t="str">
        <f t="shared" si="71"/>
        <v/>
      </c>
      <c r="F205" s="155" t="str">
        <f t="shared" si="61"/>
        <v/>
      </c>
      <c r="G205" s="204" t="str">
        <f t="shared" si="62"/>
        <v/>
      </c>
      <c r="H205" s="156" t="str">
        <f t="shared" si="63"/>
        <v/>
      </c>
      <c r="I205" s="155" t="str">
        <f t="shared" si="64"/>
        <v/>
      </c>
      <c r="J205" s="184">
        <f t="shared" ca="1" si="65"/>
        <v>999999</v>
      </c>
      <c r="K205" s="184">
        <f>IF(OR(ISBLANK('Etape 1'!E200),ISBLANK('Etape 1'!F200)),IF(AND(ISBLANK('Etape 1'!B200),ISBLANK('Etape 1'!C200),ISBLANK('Etape 1'!D200),ISBLANK('Etape 1'!E200),ISBLANK('Etape 1'!F200),ISBLANK('Etape 1'!G200),ISBLANK('Etape 1'!H200)),999,9999),IF(VLOOKUP($C205,Matrix_Berechnungen1.Rang.Pumpendaten.Zwischenresultate,$C$9,0)&gt;0,VLOOKUP($C205,Matrix_Berechnungen1.Rang.Pumpendaten.Zwischenresultate,K$9,0),""))</f>
        <v>999</v>
      </c>
      <c r="L205" s="184">
        <f t="shared" ca="1" si="72"/>
        <v>193</v>
      </c>
      <c r="M205" s="184">
        <f t="shared" ca="1" si="72"/>
        <v>0</v>
      </c>
      <c r="N205" s="84"/>
      <c r="O205" s="84"/>
      <c r="P205" s="84"/>
      <c r="Q205" s="69" t="str">
        <f t="shared" si="66"/>
        <v/>
      </c>
      <c r="R205" s="84"/>
      <c r="S205" s="65" t="str">
        <f t="shared" si="67"/>
        <v/>
      </c>
      <c r="T205" s="69" t="str">
        <f t="shared" si="68"/>
        <v/>
      </c>
      <c r="U205" s="84"/>
      <c r="V205" s="65" t="str">
        <f t="shared" si="69"/>
        <v/>
      </c>
      <c r="W205" s="108"/>
      <c r="X205" s="108"/>
      <c r="Y205" s="108"/>
      <c r="Z205" s="110" t="str">
        <f t="shared" si="70"/>
        <v/>
      </c>
      <c r="AA205" s="199">
        <f>IF(ISERROR('Berechnungen 2'!AR408),"",'Berechnungen 2'!AR408)</f>
        <v>0</v>
      </c>
      <c r="AB205" s="200">
        <f>IF(ISERROR('Berechnungen 2'!AS408),"",'Berechnungen 2'!AS408)</f>
        <v>0</v>
      </c>
      <c r="AC205" s="200">
        <f>IF(ISERROR('Berechnungen 2'!AT408),"",'Berechnungen 2'!AT408)</f>
        <v>0</v>
      </c>
      <c r="AD205" s="199">
        <f>IF(ISERROR('Berechnungen 2'!BE408),"",'Berechnungen 2'!BE408)</f>
        <v>0</v>
      </c>
      <c r="AE205" s="200">
        <f>IF(ISERROR('Berechnungen 2'!BF408),"",'Berechnungen 2'!BF408)</f>
        <v>0</v>
      </c>
      <c r="AF205" s="200">
        <f>IF(ISERROR('Berechnungen 2'!BG408),"",'Berechnungen 2'!BG408)</f>
        <v>0</v>
      </c>
      <c r="AG205" s="199" t="str">
        <f>IF(ISNUMBER(A205),IF(ISERROR('Berechnungen 2'!BK408),"",'Berechnungen 2'!BK408),"")</f>
        <v/>
      </c>
      <c r="AH205" s="200">
        <f>IF(ISERROR('Berechnungen 2'!BL408),"",'Berechnungen 2'!BL408)</f>
        <v>0</v>
      </c>
      <c r="AI205" s="200">
        <f>IF(ISERROR('Berechnungen 2'!BM408),"",'Berechnungen 2'!BM408)</f>
        <v>0</v>
      </c>
    </row>
    <row r="206" spans="1:35" x14ac:dyDescent="0.2">
      <c r="A206" s="71" t="str">
        <f t="shared" si="73"/>
        <v/>
      </c>
      <c r="B206" s="193">
        <f t="shared" si="56"/>
        <v>194</v>
      </c>
      <c r="C206" s="192">
        <f ca="1">IF(ISERROR(LARGE('Berechnungen 1'!$A$12:$A$311,B206)),"",LARGE('Berechnungen 1'!$A$12:$A$311,B206))</f>
        <v>107</v>
      </c>
      <c r="D206" s="76" t="str">
        <f t="shared" si="71"/>
        <v/>
      </c>
      <c r="E206" s="76" t="str">
        <f t="shared" si="71"/>
        <v/>
      </c>
      <c r="F206" s="155" t="str">
        <f t="shared" si="61"/>
        <v/>
      </c>
      <c r="G206" s="204" t="str">
        <f t="shared" si="62"/>
        <v/>
      </c>
      <c r="H206" s="156" t="str">
        <f t="shared" si="63"/>
        <v/>
      </c>
      <c r="I206" s="155" t="str">
        <f t="shared" si="64"/>
        <v/>
      </c>
      <c r="J206" s="184">
        <f t="shared" ca="1" si="65"/>
        <v>999999</v>
      </c>
      <c r="K206" s="184">
        <f>IF(OR(ISBLANK('Etape 1'!E201),ISBLANK('Etape 1'!F201)),IF(AND(ISBLANK('Etape 1'!B201),ISBLANK('Etape 1'!C201),ISBLANK('Etape 1'!D201),ISBLANK('Etape 1'!E201),ISBLANK('Etape 1'!F201),ISBLANK('Etape 1'!G201),ISBLANK('Etape 1'!H201)),999,9999),IF(VLOOKUP($C206,Matrix_Berechnungen1.Rang.Pumpendaten.Zwischenresultate,$C$9,0)&gt;0,VLOOKUP($C206,Matrix_Berechnungen1.Rang.Pumpendaten.Zwischenresultate,K$9,0),""))</f>
        <v>999</v>
      </c>
      <c r="L206" s="184">
        <f t="shared" ca="1" si="72"/>
        <v>194</v>
      </c>
      <c r="M206" s="184">
        <f t="shared" ca="1" si="72"/>
        <v>0</v>
      </c>
      <c r="N206" s="84"/>
      <c r="O206" s="84"/>
      <c r="P206" s="84"/>
      <c r="Q206" s="69" t="str">
        <f t="shared" si="66"/>
        <v/>
      </c>
      <c r="R206" s="84"/>
      <c r="S206" s="65" t="str">
        <f t="shared" si="67"/>
        <v/>
      </c>
      <c r="T206" s="69" t="str">
        <f t="shared" si="68"/>
        <v/>
      </c>
      <c r="U206" s="84"/>
      <c r="V206" s="65" t="str">
        <f t="shared" si="69"/>
        <v/>
      </c>
      <c r="W206" s="108"/>
      <c r="X206" s="108"/>
      <c r="Y206" s="108"/>
      <c r="Z206" s="110" t="str">
        <f t="shared" si="70"/>
        <v/>
      </c>
      <c r="AA206" s="199">
        <f>IF(ISERROR('Berechnungen 2'!AR409),"",'Berechnungen 2'!AR409)</f>
        <v>0</v>
      </c>
      <c r="AB206" s="200">
        <f>IF(ISERROR('Berechnungen 2'!AS409),"",'Berechnungen 2'!AS409)</f>
        <v>0</v>
      </c>
      <c r="AC206" s="200">
        <f>IF(ISERROR('Berechnungen 2'!AT409),"",'Berechnungen 2'!AT409)</f>
        <v>0</v>
      </c>
      <c r="AD206" s="199">
        <f>IF(ISERROR('Berechnungen 2'!BE409),"",'Berechnungen 2'!BE409)</f>
        <v>0</v>
      </c>
      <c r="AE206" s="200">
        <f>IF(ISERROR('Berechnungen 2'!BF409),"",'Berechnungen 2'!BF409)</f>
        <v>0</v>
      </c>
      <c r="AF206" s="200">
        <f>IF(ISERROR('Berechnungen 2'!BG409),"",'Berechnungen 2'!BG409)</f>
        <v>0</v>
      </c>
      <c r="AG206" s="199" t="str">
        <f>IF(ISNUMBER(A206),IF(ISERROR('Berechnungen 2'!BK409),"",'Berechnungen 2'!BK409),"")</f>
        <v/>
      </c>
      <c r="AH206" s="200">
        <f>IF(ISERROR('Berechnungen 2'!BL409),"",'Berechnungen 2'!BL409)</f>
        <v>0</v>
      </c>
      <c r="AI206" s="200">
        <f>IF(ISERROR('Berechnungen 2'!BM409),"",'Berechnungen 2'!BM409)</f>
        <v>0</v>
      </c>
    </row>
    <row r="207" spans="1:35" x14ac:dyDescent="0.2">
      <c r="A207" s="71" t="str">
        <f t="shared" si="73"/>
        <v/>
      </c>
      <c r="B207" s="193">
        <f t="shared" ref="B207:B270" si="74">B206+1</f>
        <v>195</v>
      </c>
      <c r="C207" s="192">
        <f ca="1">IF(ISERROR(LARGE('Berechnungen 1'!$A$12:$A$311,B207)),"",LARGE('Berechnungen 1'!$A$12:$A$311,B207))</f>
        <v>106</v>
      </c>
      <c r="D207" s="76" t="str">
        <f t="shared" si="71"/>
        <v/>
      </c>
      <c r="E207" s="76" t="str">
        <f t="shared" si="71"/>
        <v/>
      </c>
      <c r="F207" s="155" t="str">
        <f t="shared" si="61"/>
        <v/>
      </c>
      <c r="G207" s="204" t="str">
        <f t="shared" si="62"/>
        <v/>
      </c>
      <c r="H207" s="156" t="str">
        <f t="shared" si="63"/>
        <v/>
      </c>
      <c r="I207" s="155" t="str">
        <f t="shared" si="64"/>
        <v/>
      </c>
      <c r="J207" s="184">
        <f t="shared" ca="1" si="65"/>
        <v>999999</v>
      </c>
      <c r="K207" s="184">
        <f>IF(OR(ISBLANK('Etape 1'!E202),ISBLANK('Etape 1'!F202)),IF(AND(ISBLANK('Etape 1'!B202),ISBLANK('Etape 1'!C202),ISBLANK('Etape 1'!D202),ISBLANK('Etape 1'!E202),ISBLANK('Etape 1'!F202),ISBLANK('Etape 1'!G202),ISBLANK('Etape 1'!H202)),999,9999),IF(VLOOKUP($C207,Matrix_Berechnungen1.Rang.Pumpendaten.Zwischenresultate,$C$9,0)&gt;0,VLOOKUP($C207,Matrix_Berechnungen1.Rang.Pumpendaten.Zwischenresultate,K$9,0),""))</f>
        <v>999</v>
      </c>
      <c r="L207" s="184">
        <f t="shared" ca="1" si="72"/>
        <v>195</v>
      </c>
      <c r="M207" s="184">
        <f t="shared" ca="1" si="72"/>
        <v>0</v>
      </c>
      <c r="N207" s="84"/>
      <c r="O207" s="84"/>
      <c r="P207" s="84"/>
      <c r="Q207" s="69" t="str">
        <f t="shared" si="66"/>
        <v/>
      </c>
      <c r="R207" s="84"/>
      <c r="S207" s="65" t="str">
        <f t="shared" si="67"/>
        <v/>
      </c>
      <c r="T207" s="69" t="str">
        <f t="shared" si="68"/>
        <v/>
      </c>
      <c r="U207" s="84"/>
      <c r="V207" s="65" t="str">
        <f t="shared" si="69"/>
        <v/>
      </c>
      <c r="W207" s="108"/>
      <c r="X207" s="108"/>
      <c r="Y207" s="108"/>
      <c r="Z207" s="110" t="str">
        <f t="shared" si="70"/>
        <v/>
      </c>
      <c r="AA207" s="199">
        <f>IF(ISERROR('Berechnungen 2'!AR410),"",'Berechnungen 2'!AR410)</f>
        <v>0</v>
      </c>
      <c r="AB207" s="200">
        <f>IF(ISERROR('Berechnungen 2'!AS410),"",'Berechnungen 2'!AS410)</f>
        <v>0</v>
      </c>
      <c r="AC207" s="200">
        <f>IF(ISERROR('Berechnungen 2'!AT410),"",'Berechnungen 2'!AT410)</f>
        <v>0</v>
      </c>
      <c r="AD207" s="199">
        <f>IF(ISERROR('Berechnungen 2'!BE410),"",'Berechnungen 2'!BE410)</f>
        <v>0</v>
      </c>
      <c r="AE207" s="200">
        <f>IF(ISERROR('Berechnungen 2'!BF410),"",'Berechnungen 2'!BF410)</f>
        <v>0</v>
      </c>
      <c r="AF207" s="200">
        <f>IF(ISERROR('Berechnungen 2'!BG410),"",'Berechnungen 2'!BG410)</f>
        <v>0</v>
      </c>
      <c r="AG207" s="199" t="str">
        <f>IF(ISNUMBER(A207),IF(ISERROR('Berechnungen 2'!BK410),"",'Berechnungen 2'!BK410),"")</f>
        <v/>
      </c>
      <c r="AH207" s="200">
        <f>IF(ISERROR('Berechnungen 2'!BL410),"",'Berechnungen 2'!BL410)</f>
        <v>0</v>
      </c>
      <c r="AI207" s="200">
        <f>IF(ISERROR('Berechnungen 2'!BM410),"",'Berechnungen 2'!BM410)</f>
        <v>0</v>
      </c>
    </row>
    <row r="208" spans="1:35" x14ac:dyDescent="0.2">
      <c r="A208" s="71" t="str">
        <f t="shared" si="73"/>
        <v/>
      </c>
      <c r="B208" s="193">
        <f t="shared" si="74"/>
        <v>196</v>
      </c>
      <c r="C208" s="192">
        <f ca="1">IF(ISERROR(LARGE('Berechnungen 1'!$A$12:$A$311,B208)),"",LARGE('Berechnungen 1'!$A$12:$A$311,B208))</f>
        <v>105</v>
      </c>
      <c r="D208" s="76" t="str">
        <f t="shared" si="71"/>
        <v/>
      </c>
      <c r="E208" s="76" t="str">
        <f t="shared" si="71"/>
        <v/>
      </c>
      <c r="F208" s="155" t="str">
        <f t="shared" si="61"/>
        <v/>
      </c>
      <c r="G208" s="204" t="str">
        <f t="shared" si="62"/>
        <v/>
      </c>
      <c r="H208" s="156" t="str">
        <f t="shared" si="63"/>
        <v/>
      </c>
      <c r="I208" s="155" t="str">
        <f t="shared" si="64"/>
        <v/>
      </c>
      <c r="J208" s="184">
        <f t="shared" ca="1" si="65"/>
        <v>999999</v>
      </c>
      <c r="K208" s="184">
        <f>IF(OR(ISBLANK('Etape 1'!E203),ISBLANK('Etape 1'!F203)),IF(AND(ISBLANK('Etape 1'!B203),ISBLANK('Etape 1'!C203),ISBLANK('Etape 1'!D203),ISBLANK('Etape 1'!E203),ISBLANK('Etape 1'!F203),ISBLANK('Etape 1'!G203),ISBLANK('Etape 1'!H203)),999,9999),IF(VLOOKUP($C208,Matrix_Berechnungen1.Rang.Pumpendaten.Zwischenresultate,$C$9,0)&gt;0,VLOOKUP($C208,Matrix_Berechnungen1.Rang.Pumpendaten.Zwischenresultate,K$9,0),""))</f>
        <v>999</v>
      </c>
      <c r="L208" s="184">
        <f t="shared" ca="1" si="72"/>
        <v>196</v>
      </c>
      <c r="M208" s="184">
        <f t="shared" ca="1" si="72"/>
        <v>0</v>
      </c>
      <c r="N208" s="84"/>
      <c r="O208" s="84"/>
      <c r="P208" s="84"/>
      <c r="Q208" s="69" t="str">
        <f t="shared" si="66"/>
        <v/>
      </c>
      <c r="R208" s="84"/>
      <c r="S208" s="65" t="str">
        <f t="shared" si="67"/>
        <v/>
      </c>
      <c r="T208" s="69" t="str">
        <f t="shared" si="68"/>
        <v/>
      </c>
      <c r="U208" s="84"/>
      <c r="V208" s="65" t="str">
        <f t="shared" si="69"/>
        <v/>
      </c>
      <c r="W208" s="108"/>
      <c r="X208" s="108"/>
      <c r="Y208" s="108"/>
      <c r="Z208" s="110" t="str">
        <f t="shared" si="70"/>
        <v/>
      </c>
      <c r="AA208" s="199">
        <f>IF(ISERROR('Berechnungen 2'!AR411),"",'Berechnungen 2'!AR411)</f>
        <v>0</v>
      </c>
      <c r="AB208" s="200">
        <f>IF(ISERROR('Berechnungen 2'!AS411),"",'Berechnungen 2'!AS411)</f>
        <v>0</v>
      </c>
      <c r="AC208" s="200">
        <f>IF(ISERROR('Berechnungen 2'!AT411),"",'Berechnungen 2'!AT411)</f>
        <v>0</v>
      </c>
      <c r="AD208" s="199">
        <f>IF(ISERROR('Berechnungen 2'!BE411),"",'Berechnungen 2'!BE411)</f>
        <v>0</v>
      </c>
      <c r="AE208" s="200">
        <f>IF(ISERROR('Berechnungen 2'!BF411),"",'Berechnungen 2'!BF411)</f>
        <v>0</v>
      </c>
      <c r="AF208" s="200">
        <f>IF(ISERROR('Berechnungen 2'!BG411),"",'Berechnungen 2'!BG411)</f>
        <v>0</v>
      </c>
      <c r="AG208" s="199" t="str">
        <f>IF(ISNUMBER(A208),IF(ISERROR('Berechnungen 2'!BK411),"",'Berechnungen 2'!BK411),"")</f>
        <v/>
      </c>
      <c r="AH208" s="200">
        <f>IF(ISERROR('Berechnungen 2'!BL411),"",'Berechnungen 2'!BL411)</f>
        <v>0</v>
      </c>
      <c r="AI208" s="200">
        <f>IF(ISERROR('Berechnungen 2'!BM411),"",'Berechnungen 2'!BM411)</f>
        <v>0</v>
      </c>
    </row>
    <row r="209" spans="1:35" x14ac:dyDescent="0.2">
      <c r="A209" s="71" t="str">
        <f t="shared" si="73"/>
        <v/>
      </c>
      <c r="B209" s="193">
        <f t="shared" si="74"/>
        <v>197</v>
      </c>
      <c r="C209" s="192">
        <f ca="1">IF(ISERROR(LARGE('Berechnungen 1'!$A$12:$A$311,B209)),"",LARGE('Berechnungen 1'!$A$12:$A$311,B209))</f>
        <v>104</v>
      </c>
      <c r="D209" s="76" t="str">
        <f t="shared" si="71"/>
        <v/>
      </c>
      <c r="E209" s="76" t="str">
        <f t="shared" si="71"/>
        <v/>
      </c>
      <c r="F209" s="155" t="str">
        <f t="shared" si="61"/>
        <v/>
      </c>
      <c r="G209" s="204" t="str">
        <f t="shared" si="62"/>
        <v/>
      </c>
      <c r="H209" s="156" t="str">
        <f t="shared" si="63"/>
        <v/>
      </c>
      <c r="I209" s="155" t="str">
        <f t="shared" si="64"/>
        <v/>
      </c>
      <c r="J209" s="184">
        <f t="shared" ca="1" si="65"/>
        <v>999999</v>
      </c>
      <c r="K209" s="184">
        <f>IF(OR(ISBLANK('Etape 1'!E204),ISBLANK('Etape 1'!F204)),IF(AND(ISBLANK('Etape 1'!B204),ISBLANK('Etape 1'!C204),ISBLANK('Etape 1'!D204),ISBLANK('Etape 1'!E204),ISBLANK('Etape 1'!F204),ISBLANK('Etape 1'!G204),ISBLANK('Etape 1'!H204)),999,9999),IF(VLOOKUP($C209,Matrix_Berechnungen1.Rang.Pumpendaten.Zwischenresultate,$C$9,0)&gt;0,VLOOKUP($C209,Matrix_Berechnungen1.Rang.Pumpendaten.Zwischenresultate,K$9,0),""))</f>
        <v>999</v>
      </c>
      <c r="L209" s="184">
        <f t="shared" ca="1" si="72"/>
        <v>197</v>
      </c>
      <c r="M209" s="184">
        <f t="shared" ca="1" si="72"/>
        <v>0</v>
      </c>
      <c r="N209" s="84"/>
      <c r="O209" s="84"/>
      <c r="P209" s="84"/>
      <c r="Q209" s="69" t="str">
        <f t="shared" si="66"/>
        <v/>
      </c>
      <c r="R209" s="84"/>
      <c r="S209" s="65" t="str">
        <f t="shared" si="67"/>
        <v/>
      </c>
      <c r="T209" s="69" t="str">
        <f t="shared" si="68"/>
        <v/>
      </c>
      <c r="U209" s="84"/>
      <c r="V209" s="65" t="str">
        <f t="shared" si="69"/>
        <v/>
      </c>
      <c r="W209" s="108"/>
      <c r="X209" s="108"/>
      <c r="Y209" s="108"/>
      <c r="Z209" s="110" t="str">
        <f t="shared" si="70"/>
        <v/>
      </c>
      <c r="AA209" s="199">
        <f>IF(ISERROR('Berechnungen 2'!AR412),"",'Berechnungen 2'!AR412)</f>
        <v>0</v>
      </c>
      <c r="AB209" s="200">
        <f>IF(ISERROR('Berechnungen 2'!AS412),"",'Berechnungen 2'!AS412)</f>
        <v>0</v>
      </c>
      <c r="AC209" s="200">
        <f>IF(ISERROR('Berechnungen 2'!AT412),"",'Berechnungen 2'!AT412)</f>
        <v>0</v>
      </c>
      <c r="AD209" s="199">
        <f>IF(ISERROR('Berechnungen 2'!BE412),"",'Berechnungen 2'!BE412)</f>
        <v>0</v>
      </c>
      <c r="AE209" s="200">
        <f>IF(ISERROR('Berechnungen 2'!BF412),"",'Berechnungen 2'!BF412)</f>
        <v>0</v>
      </c>
      <c r="AF209" s="200">
        <f>IF(ISERROR('Berechnungen 2'!BG412),"",'Berechnungen 2'!BG412)</f>
        <v>0</v>
      </c>
      <c r="AG209" s="199" t="str">
        <f>IF(ISNUMBER(A209),IF(ISERROR('Berechnungen 2'!BK412),"",'Berechnungen 2'!BK412),"")</f>
        <v/>
      </c>
      <c r="AH209" s="200">
        <f>IF(ISERROR('Berechnungen 2'!BL412),"",'Berechnungen 2'!BL412)</f>
        <v>0</v>
      </c>
      <c r="AI209" s="200">
        <f>IF(ISERROR('Berechnungen 2'!BM412),"",'Berechnungen 2'!BM412)</f>
        <v>0</v>
      </c>
    </row>
    <row r="210" spans="1:35" x14ac:dyDescent="0.2">
      <c r="A210" s="71" t="str">
        <f t="shared" si="73"/>
        <v/>
      </c>
      <c r="B210" s="193">
        <f t="shared" si="74"/>
        <v>198</v>
      </c>
      <c r="C210" s="192">
        <f ca="1">IF(ISERROR(LARGE('Berechnungen 1'!$A$12:$A$311,B210)),"",LARGE('Berechnungen 1'!$A$12:$A$311,B210))</f>
        <v>103</v>
      </c>
      <c r="D210" s="76" t="str">
        <f t="shared" si="71"/>
        <v/>
      </c>
      <c r="E210" s="76" t="str">
        <f t="shared" si="71"/>
        <v/>
      </c>
      <c r="F210" s="155" t="str">
        <f t="shared" si="61"/>
        <v/>
      </c>
      <c r="G210" s="204" t="str">
        <f t="shared" si="62"/>
        <v/>
      </c>
      <c r="H210" s="156" t="str">
        <f t="shared" si="63"/>
        <v/>
      </c>
      <c r="I210" s="155" t="str">
        <f t="shared" si="64"/>
        <v/>
      </c>
      <c r="J210" s="184">
        <f t="shared" ca="1" si="65"/>
        <v>999999</v>
      </c>
      <c r="K210" s="184">
        <f>IF(OR(ISBLANK('Etape 1'!E205),ISBLANK('Etape 1'!F205)),IF(AND(ISBLANK('Etape 1'!B205),ISBLANK('Etape 1'!C205),ISBLANK('Etape 1'!D205),ISBLANK('Etape 1'!E205),ISBLANK('Etape 1'!F205),ISBLANK('Etape 1'!G205),ISBLANK('Etape 1'!H205)),999,9999),IF(VLOOKUP($C210,Matrix_Berechnungen1.Rang.Pumpendaten.Zwischenresultate,$C$9,0)&gt;0,VLOOKUP($C210,Matrix_Berechnungen1.Rang.Pumpendaten.Zwischenresultate,K$9,0),""))</f>
        <v>999</v>
      </c>
      <c r="L210" s="184">
        <f t="shared" ca="1" si="72"/>
        <v>198</v>
      </c>
      <c r="M210" s="184">
        <f t="shared" ca="1" si="72"/>
        <v>0</v>
      </c>
      <c r="N210" s="84"/>
      <c r="O210" s="84"/>
      <c r="P210" s="84"/>
      <c r="Q210" s="69" t="str">
        <f t="shared" si="66"/>
        <v/>
      </c>
      <c r="R210" s="84"/>
      <c r="S210" s="65" t="str">
        <f t="shared" si="67"/>
        <v/>
      </c>
      <c r="T210" s="69" t="str">
        <f t="shared" si="68"/>
        <v/>
      </c>
      <c r="U210" s="84"/>
      <c r="V210" s="65" t="str">
        <f t="shared" si="69"/>
        <v/>
      </c>
      <c r="W210" s="108"/>
      <c r="X210" s="108"/>
      <c r="Y210" s="108"/>
      <c r="Z210" s="110" t="str">
        <f t="shared" si="70"/>
        <v/>
      </c>
      <c r="AA210" s="199">
        <f>IF(ISERROR('Berechnungen 2'!AR413),"",'Berechnungen 2'!AR413)</f>
        <v>0</v>
      </c>
      <c r="AB210" s="200">
        <f>IF(ISERROR('Berechnungen 2'!AS413),"",'Berechnungen 2'!AS413)</f>
        <v>0</v>
      </c>
      <c r="AC210" s="200">
        <f>IF(ISERROR('Berechnungen 2'!AT413),"",'Berechnungen 2'!AT413)</f>
        <v>0</v>
      </c>
      <c r="AD210" s="199">
        <f>IF(ISERROR('Berechnungen 2'!BE413),"",'Berechnungen 2'!BE413)</f>
        <v>0</v>
      </c>
      <c r="AE210" s="200">
        <f>IF(ISERROR('Berechnungen 2'!BF413),"",'Berechnungen 2'!BF413)</f>
        <v>0</v>
      </c>
      <c r="AF210" s="200">
        <f>IF(ISERROR('Berechnungen 2'!BG413),"",'Berechnungen 2'!BG413)</f>
        <v>0</v>
      </c>
      <c r="AG210" s="199" t="str">
        <f>IF(ISNUMBER(A210),IF(ISERROR('Berechnungen 2'!BK413),"",'Berechnungen 2'!BK413),"")</f>
        <v/>
      </c>
      <c r="AH210" s="200">
        <f>IF(ISERROR('Berechnungen 2'!BL413),"",'Berechnungen 2'!BL413)</f>
        <v>0</v>
      </c>
      <c r="AI210" s="200">
        <f>IF(ISERROR('Berechnungen 2'!BM413),"",'Berechnungen 2'!BM413)</f>
        <v>0</v>
      </c>
    </row>
    <row r="211" spans="1:35" x14ac:dyDescent="0.2">
      <c r="A211" s="71" t="str">
        <f t="shared" si="73"/>
        <v/>
      </c>
      <c r="B211" s="193">
        <f t="shared" si="74"/>
        <v>199</v>
      </c>
      <c r="C211" s="192">
        <f ca="1">IF(ISERROR(LARGE('Berechnungen 1'!$A$12:$A$311,B211)),"",LARGE('Berechnungen 1'!$A$12:$A$311,B211))</f>
        <v>102</v>
      </c>
      <c r="D211" s="76" t="str">
        <f t="shared" si="71"/>
        <v/>
      </c>
      <c r="E211" s="76" t="str">
        <f t="shared" si="71"/>
        <v/>
      </c>
      <c r="F211" s="155" t="str">
        <f t="shared" si="61"/>
        <v/>
      </c>
      <c r="G211" s="204" t="str">
        <f t="shared" si="62"/>
        <v/>
      </c>
      <c r="H211" s="156" t="str">
        <f t="shared" si="63"/>
        <v/>
      </c>
      <c r="I211" s="155" t="str">
        <f t="shared" si="64"/>
        <v/>
      </c>
      <c r="J211" s="184">
        <f t="shared" ca="1" si="65"/>
        <v>999999</v>
      </c>
      <c r="K211" s="184">
        <f>IF(OR(ISBLANK('Etape 1'!E206),ISBLANK('Etape 1'!F206)),IF(AND(ISBLANK('Etape 1'!B206),ISBLANK('Etape 1'!C206),ISBLANK('Etape 1'!D206),ISBLANK('Etape 1'!E206),ISBLANK('Etape 1'!F206),ISBLANK('Etape 1'!G206),ISBLANK('Etape 1'!H206)),999,9999),IF(VLOOKUP($C211,Matrix_Berechnungen1.Rang.Pumpendaten.Zwischenresultate,$C$9,0)&gt;0,VLOOKUP($C211,Matrix_Berechnungen1.Rang.Pumpendaten.Zwischenresultate,K$9,0),""))</f>
        <v>999</v>
      </c>
      <c r="L211" s="184">
        <f t="shared" ca="1" si="72"/>
        <v>199</v>
      </c>
      <c r="M211" s="184">
        <f t="shared" ca="1" si="72"/>
        <v>0</v>
      </c>
      <c r="N211" s="84"/>
      <c r="O211" s="84"/>
      <c r="P211" s="84"/>
      <c r="Q211" s="69" t="str">
        <f t="shared" si="66"/>
        <v/>
      </c>
      <c r="R211" s="84"/>
      <c r="S211" s="65" t="str">
        <f t="shared" si="67"/>
        <v/>
      </c>
      <c r="T211" s="69" t="str">
        <f t="shared" si="68"/>
        <v/>
      </c>
      <c r="U211" s="84"/>
      <c r="V211" s="65" t="str">
        <f t="shared" si="69"/>
        <v/>
      </c>
      <c r="W211" s="108"/>
      <c r="X211" s="108"/>
      <c r="Y211" s="108"/>
      <c r="Z211" s="110" t="str">
        <f t="shared" si="70"/>
        <v/>
      </c>
      <c r="AA211" s="199">
        <f>IF(ISERROR('Berechnungen 2'!AR414),"",'Berechnungen 2'!AR414)</f>
        <v>0</v>
      </c>
      <c r="AB211" s="200">
        <f>IF(ISERROR('Berechnungen 2'!AS414),"",'Berechnungen 2'!AS414)</f>
        <v>0</v>
      </c>
      <c r="AC211" s="200">
        <f>IF(ISERROR('Berechnungen 2'!AT414),"",'Berechnungen 2'!AT414)</f>
        <v>0</v>
      </c>
      <c r="AD211" s="199">
        <f>IF(ISERROR('Berechnungen 2'!BE414),"",'Berechnungen 2'!BE414)</f>
        <v>0</v>
      </c>
      <c r="AE211" s="200">
        <f>IF(ISERROR('Berechnungen 2'!BF414),"",'Berechnungen 2'!BF414)</f>
        <v>0</v>
      </c>
      <c r="AF211" s="200">
        <f>IF(ISERROR('Berechnungen 2'!BG414),"",'Berechnungen 2'!BG414)</f>
        <v>0</v>
      </c>
      <c r="AG211" s="199" t="str">
        <f>IF(ISNUMBER(A211),IF(ISERROR('Berechnungen 2'!BK414),"",'Berechnungen 2'!BK414),"")</f>
        <v/>
      </c>
      <c r="AH211" s="200">
        <f>IF(ISERROR('Berechnungen 2'!BL414),"",'Berechnungen 2'!BL414)</f>
        <v>0</v>
      </c>
      <c r="AI211" s="200">
        <f>IF(ISERROR('Berechnungen 2'!BM414),"",'Berechnungen 2'!BM414)</f>
        <v>0</v>
      </c>
    </row>
    <row r="212" spans="1:35" x14ac:dyDescent="0.2">
      <c r="A212" s="71" t="str">
        <f t="shared" si="73"/>
        <v/>
      </c>
      <c r="B212" s="193">
        <f t="shared" si="74"/>
        <v>200</v>
      </c>
      <c r="C212" s="192">
        <f ca="1">IF(ISERROR(LARGE('Berechnungen 1'!$A$12:$A$311,B212)),"",LARGE('Berechnungen 1'!$A$12:$A$311,B212))</f>
        <v>101</v>
      </c>
      <c r="D212" s="76" t="str">
        <f t="shared" si="71"/>
        <v/>
      </c>
      <c r="E212" s="76" t="str">
        <f t="shared" si="71"/>
        <v/>
      </c>
      <c r="F212" s="155" t="str">
        <f t="shared" si="61"/>
        <v/>
      </c>
      <c r="G212" s="204" t="str">
        <f t="shared" si="62"/>
        <v/>
      </c>
      <c r="H212" s="156" t="str">
        <f t="shared" si="63"/>
        <v/>
      </c>
      <c r="I212" s="155" t="str">
        <f t="shared" si="64"/>
        <v/>
      </c>
      <c r="J212" s="184">
        <f t="shared" ca="1" si="65"/>
        <v>999999</v>
      </c>
      <c r="K212" s="184">
        <f>IF(OR(ISBLANK('Etape 1'!E207),ISBLANK('Etape 1'!F207)),IF(AND(ISBLANK('Etape 1'!B207),ISBLANK('Etape 1'!C207),ISBLANK('Etape 1'!D207),ISBLANK('Etape 1'!E207),ISBLANK('Etape 1'!F207),ISBLANK('Etape 1'!G207),ISBLANK('Etape 1'!H207)),999,9999),IF(VLOOKUP($C212,Matrix_Berechnungen1.Rang.Pumpendaten.Zwischenresultate,$C$9,0)&gt;0,VLOOKUP($C212,Matrix_Berechnungen1.Rang.Pumpendaten.Zwischenresultate,K$9,0),""))</f>
        <v>999</v>
      </c>
      <c r="L212" s="184">
        <f t="shared" ca="1" si="72"/>
        <v>200</v>
      </c>
      <c r="M212" s="184">
        <f t="shared" ca="1" si="72"/>
        <v>0</v>
      </c>
      <c r="N212" s="84"/>
      <c r="O212" s="84"/>
      <c r="P212" s="84"/>
      <c r="Q212" s="69" t="str">
        <f t="shared" si="66"/>
        <v/>
      </c>
      <c r="R212" s="84"/>
      <c r="S212" s="65" t="str">
        <f t="shared" si="67"/>
        <v/>
      </c>
      <c r="T212" s="69" t="str">
        <f t="shared" si="68"/>
        <v/>
      </c>
      <c r="U212" s="84"/>
      <c r="V212" s="65" t="str">
        <f t="shared" si="69"/>
        <v/>
      </c>
      <c r="W212" s="108"/>
      <c r="X212" s="108"/>
      <c r="Y212" s="108"/>
      <c r="Z212" s="110" t="str">
        <f t="shared" si="70"/>
        <v/>
      </c>
      <c r="AA212" s="199">
        <f>IF(ISERROR('Berechnungen 2'!AR415),"",'Berechnungen 2'!AR415)</f>
        <v>0</v>
      </c>
      <c r="AB212" s="200">
        <f>IF(ISERROR('Berechnungen 2'!AS415),"",'Berechnungen 2'!AS415)</f>
        <v>0</v>
      </c>
      <c r="AC212" s="200">
        <f>IF(ISERROR('Berechnungen 2'!AT415),"",'Berechnungen 2'!AT415)</f>
        <v>0</v>
      </c>
      <c r="AD212" s="199">
        <f>IF(ISERROR('Berechnungen 2'!BE415),"",'Berechnungen 2'!BE415)</f>
        <v>0</v>
      </c>
      <c r="AE212" s="200">
        <f>IF(ISERROR('Berechnungen 2'!BF415),"",'Berechnungen 2'!BF415)</f>
        <v>0</v>
      </c>
      <c r="AF212" s="200">
        <f>IF(ISERROR('Berechnungen 2'!BG415),"",'Berechnungen 2'!BG415)</f>
        <v>0</v>
      </c>
      <c r="AG212" s="199" t="str">
        <f>IF(ISNUMBER(A212),IF(ISERROR('Berechnungen 2'!BK415),"",'Berechnungen 2'!BK415),"")</f>
        <v/>
      </c>
      <c r="AH212" s="200">
        <f>IF(ISERROR('Berechnungen 2'!BL415),"",'Berechnungen 2'!BL415)</f>
        <v>0</v>
      </c>
      <c r="AI212" s="200">
        <f>IF(ISERROR('Berechnungen 2'!BM415),"",'Berechnungen 2'!BM415)</f>
        <v>0</v>
      </c>
    </row>
    <row r="213" spans="1:35" x14ac:dyDescent="0.2">
      <c r="A213" s="71" t="str">
        <f t="shared" si="73"/>
        <v/>
      </c>
      <c r="B213" s="193">
        <f t="shared" si="74"/>
        <v>201</v>
      </c>
      <c r="C213" s="192">
        <f ca="1">IF(ISERROR(LARGE('Berechnungen 1'!$A$12:$A$311,B213)),"",LARGE('Berechnungen 1'!$A$12:$A$311,B213))</f>
        <v>100</v>
      </c>
      <c r="D213" s="76" t="str">
        <f t="shared" ref="D213:E232" si="75">IF(ISNUMBER($A213),IF(VLOOKUP($C213,Matrix_Berechnungen1.Rang.Pumpendaten.Zwischenresultate,$C$9,0)&gt;0,IF(VLOOKUP($C213,Matrix_Berechnungen1.Rang.Pumpendaten.Zwischenresultate,D$9,0)=0,"",VLOOKUP($C213,Matrix_Berechnungen1.Rang.Pumpendaten.Zwischenresultate,D$9,0)),""),"")</f>
        <v/>
      </c>
      <c r="E213" s="76" t="str">
        <f t="shared" si="75"/>
        <v/>
      </c>
      <c r="F213" s="155" t="str">
        <f t="shared" si="61"/>
        <v/>
      </c>
      <c r="G213" s="204" t="str">
        <f t="shared" si="62"/>
        <v/>
      </c>
      <c r="H213" s="156" t="str">
        <f t="shared" si="63"/>
        <v/>
      </c>
      <c r="I213" s="155" t="str">
        <f t="shared" si="64"/>
        <v/>
      </c>
      <c r="J213" s="184">
        <f t="shared" ca="1" si="65"/>
        <v>999999</v>
      </c>
      <c r="K213" s="184">
        <f>IF(OR(ISBLANK('Etape 1'!E208),ISBLANK('Etape 1'!F208)),IF(AND(ISBLANK('Etape 1'!B208),ISBLANK('Etape 1'!C208),ISBLANK('Etape 1'!D208),ISBLANK('Etape 1'!E208),ISBLANK('Etape 1'!F208),ISBLANK('Etape 1'!G208),ISBLANK('Etape 1'!H208)),999,9999),IF(VLOOKUP($C213,Matrix_Berechnungen1.Rang.Pumpendaten.Zwischenresultate,$C$9,0)&gt;0,VLOOKUP($C213,Matrix_Berechnungen1.Rang.Pumpendaten.Zwischenresultate,K$9,0),""))</f>
        <v>999</v>
      </c>
      <c r="L213" s="184">
        <f t="shared" ref="L213:M232" ca="1" si="76">IF(VLOOKUP($C213,Matrix_Berechnungen1.Rang.Pumpendaten.Zwischenresultate,$C$9,0)&gt;0,VLOOKUP($C213,Matrix_Berechnungen1.Rang.Pumpendaten.Zwischenresultate,L$9,0),"")</f>
        <v>201</v>
      </c>
      <c r="M213" s="184">
        <f t="shared" ca="1" si="76"/>
        <v>0</v>
      </c>
      <c r="N213" s="84"/>
      <c r="O213" s="84"/>
      <c r="P213" s="84"/>
      <c r="Q213" s="69" t="str">
        <f t="shared" si="66"/>
        <v/>
      </c>
      <c r="R213" s="84"/>
      <c r="S213" s="65" t="str">
        <f t="shared" si="67"/>
        <v/>
      </c>
      <c r="T213" s="69" t="str">
        <f t="shared" si="68"/>
        <v/>
      </c>
      <c r="U213" s="84"/>
      <c r="V213" s="65" t="str">
        <f t="shared" si="69"/>
        <v/>
      </c>
      <c r="W213" s="108"/>
      <c r="X213" s="108"/>
      <c r="Y213" s="108"/>
      <c r="Z213" s="110" t="str">
        <f t="shared" si="70"/>
        <v/>
      </c>
      <c r="AA213" s="199">
        <f>IF(ISERROR('Berechnungen 2'!AR416),"",'Berechnungen 2'!AR416)</f>
        <v>0</v>
      </c>
      <c r="AB213" s="200">
        <f>IF(ISERROR('Berechnungen 2'!AS416),"",'Berechnungen 2'!AS416)</f>
        <v>0</v>
      </c>
      <c r="AC213" s="200">
        <f>IF(ISERROR('Berechnungen 2'!AT416),"",'Berechnungen 2'!AT416)</f>
        <v>0</v>
      </c>
      <c r="AD213" s="199">
        <f>IF(ISERROR('Berechnungen 2'!BE416),"",'Berechnungen 2'!BE416)</f>
        <v>0</v>
      </c>
      <c r="AE213" s="200">
        <f>IF(ISERROR('Berechnungen 2'!BF416),"",'Berechnungen 2'!BF416)</f>
        <v>0</v>
      </c>
      <c r="AF213" s="200">
        <f>IF(ISERROR('Berechnungen 2'!BG416),"",'Berechnungen 2'!BG416)</f>
        <v>0</v>
      </c>
      <c r="AG213" s="199" t="str">
        <f>IF(ISNUMBER(A213),IF(ISERROR('Berechnungen 2'!BK416),"",'Berechnungen 2'!BK416),"")</f>
        <v/>
      </c>
      <c r="AH213" s="200">
        <f>IF(ISERROR('Berechnungen 2'!BL416),"",'Berechnungen 2'!BL416)</f>
        <v>0</v>
      </c>
      <c r="AI213" s="200">
        <f>IF(ISERROR('Berechnungen 2'!BM416),"",'Berechnungen 2'!BM416)</f>
        <v>0</v>
      </c>
    </row>
    <row r="214" spans="1:35" x14ac:dyDescent="0.2">
      <c r="A214" s="71" t="str">
        <f t="shared" si="73"/>
        <v/>
      </c>
      <c r="B214" s="193">
        <f t="shared" si="74"/>
        <v>202</v>
      </c>
      <c r="C214" s="192">
        <f ca="1">IF(ISERROR(LARGE('Berechnungen 1'!$A$12:$A$311,B214)),"",LARGE('Berechnungen 1'!$A$12:$A$311,B214))</f>
        <v>99</v>
      </c>
      <c r="D214" s="76" t="str">
        <f t="shared" si="75"/>
        <v/>
      </c>
      <c r="E214" s="76" t="str">
        <f t="shared" si="75"/>
        <v/>
      </c>
      <c r="F214" s="155" t="str">
        <f t="shared" si="61"/>
        <v/>
      </c>
      <c r="G214" s="204" t="str">
        <f t="shared" si="62"/>
        <v/>
      </c>
      <c r="H214" s="156" t="str">
        <f t="shared" si="63"/>
        <v/>
      </c>
      <c r="I214" s="155" t="str">
        <f t="shared" si="64"/>
        <v/>
      </c>
      <c r="J214" s="184">
        <f t="shared" ca="1" si="65"/>
        <v>999999</v>
      </c>
      <c r="K214" s="184">
        <f>IF(OR(ISBLANK('Etape 1'!E209),ISBLANK('Etape 1'!F209)),IF(AND(ISBLANK('Etape 1'!B209),ISBLANK('Etape 1'!C209),ISBLANK('Etape 1'!D209),ISBLANK('Etape 1'!E209),ISBLANK('Etape 1'!F209),ISBLANK('Etape 1'!G209),ISBLANK('Etape 1'!H209)),999,9999),IF(VLOOKUP($C214,Matrix_Berechnungen1.Rang.Pumpendaten.Zwischenresultate,$C$9,0)&gt;0,VLOOKUP($C214,Matrix_Berechnungen1.Rang.Pumpendaten.Zwischenresultate,K$9,0),""))</f>
        <v>999</v>
      </c>
      <c r="L214" s="184">
        <f t="shared" ca="1" si="76"/>
        <v>202</v>
      </c>
      <c r="M214" s="184">
        <f t="shared" ca="1" si="76"/>
        <v>0</v>
      </c>
      <c r="N214" s="84"/>
      <c r="O214" s="84"/>
      <c r="P214" s="84"/>
      <c r="Q214" s="69" t="str">
        <f t="shared" si="66"/>
        <v/>
      </c>
      <c r="R214" s="84"/>
      <c r="S214" s="65" t="str">
        <f t="shared" si="67"/>
        <v/>
      </c>
      <c r="T214" s="69" t="str">
        <f t="shared" si="68"/>
        <v/>
      </c>
      <c r="U214" s="84"/>
      <c r="V214" s="65" t="str">
        <f t="shared" si="69"/>
        <v/>
      </c>
      <c r="W214" s="108"/>
      <c r="X214" s="108"/>
      <c r="Y214" s="108"/>
      <c r="Z214" s="110" t="str">
        <f t="shared" si="70"/>
        <v/>
      </c>
      <c r="AA214" s="199">
        <f>IF(ISERROR('Berechnungen 2'!AR417),"",'Berechnungen 2'!AR417)</f>
        <v>0</v>
      </c>
      <c r="AB214" s="200">
        <f>IF(ISERROR('Berechnungen 2'!AS417),"",'Berechnungen 2'!AS417)</f>
        <v>0</v>
      </c>
      <c r="AC214" s="200">
        <f>IF(ISERROR('Berechnungen 2'!AT417),"",'Berechnungen 2'!AT417)</f>
        <v>0</v>
      </c>
      <c r="AD214" s="199">
        <f>IF(ISERROR('Berechnungen 2'!BE417),"",'Berechnungen 2'!BE417)</f>
        <v>0</v>
      </c>
      <c r="AE214" s="200">
        <f>IF(ISERROR('Berechnungen 2'!BF417),"",'Berechnungen 2'!BF417)</f>
        <v>0</v>
      </c>
      <c r="AF214" s="200">
        <f>IF(ISERROR('Berechnungen 2'!BG417),"",'Berechnungen 2'!BG417)</f>
        <v>0</v>
      </c>
      <c r="AG214" s="199" t="str">
        <f>IF(ISNUMBER(A214),IF(ISERROR('Berechnungen 2'!BK417),"",'Berechnungen 2'!BK417),"")</f>
        <v/>
      </c>
      <c r="AH214" s="200">
        <f>IF(ISERROR('Berechnungen 2'!BL417),"",'Berechnungen 2'!BL417)</f>
        <v>0</v>
      </c>
      <c r="AI214" s="200">
        <f>IF(ISERROR('Berechnungen 2'!BM417),"",'Berechnungen 2'!BM417)</f>
        <v>0</v>
      </c>
    </row>
    <row r="215" spans="1:35" x14ac:dyDescent="0.2">
      <c r="A215" s="71" t="str">
        <f t="shared" si="73"/>
        <v/>
      </c>
      <c r="B215" s="193">
        <f t="shared" si="74"/>
        <v>203</v>
      </c>
      <c r="C215" s="192">
        <f ca="1">IF(ISERROR(LARGE('Berechnungen 1'!$A$12:$A$311,B215)),"",LARGE('Berechnungen 1'!$A$12:$A$311,B215))</f>
        <v>98</v>
      </c>
      <c r="D215" s="76" t="str">
        <f t="shared" si="75"/>
        <v/>
      </c>
      <c r="E215" s="76" t="str">
        <f t="shared" si="75"/>
        <v/>
      </c>
      <c r="F215" s="155" t="str">
        <f t="shared" si="61"/>
        <v/>
      </c>
      <c r="G215" s="204" t="str">
        <f t="shared" si="62"/>
        <v/>
      </c>
      <c r="H215" s="156" t="str">
        <f t="shared" si="63"/>
        <v/>
      </c>
      <c r="I215" s="155" t="str">
        <f t="shared" si="64"/>
        <v/>
      </c>
      <c r="J215" s="184">
        <f t="shared" ca="1" si="65"/>
        <v>999999</v>
      </c>
      <c r="K215" s="184">
        <f>IF(OR(ISBLANK('Etape 1'!E210),ISBLANK('Etape 1'!F210)),IF(AND(ISBLANK('Etape 1'!B210),ISBLANK('Etape 1'!C210),ISBLANK('Etape 1'!D210),ISBLANK('Etape 1'!E210),ISBLANK('Etape 1'!F210),ISBLANK('Etape 1'!G210),ISBLANK('Etape 1'!H210)),999,9999),IF(VLOOKUP($C215,Matrix_Berechnungen1.Rang.Pumpendaten.Zwischenresultate,$C$9,0)&gt;0,VLOOKUP($C215,Matrix_Berechnungen1.Rang.Pumpendaten.Zwischenresultate,K$9,0),""))</f>
        <v>999</v>
      </c>
      <c r="L215" s="184">
        <f t="shared" ca="1" si="76"/>
        <v>203</v>
      </c>
      <c r="M215" s="184">
        <f t="shared" ca="1" si="76"/>
        <v>0</v>
      </c>
      <c r="N215" s="84"/>
      <c r="O215" s="84"/>
      <c r="P215" s="84"/>
      <c r="Q215" s="69" t="str">
        <f t="shared" si="66"/>
        <v/>
      </c>
      <c r="R215" s="84"/>
      <c r="S215" s="65" t="str">
        <f t="shared" si="67"/>
        <v/>
      </c>
      <c r="T215" s="69" t="str">
        <f t="shared" si="68"/>
        <v/>
      </c>
      <c r="U215" s="84"/>
      <c r="V215" s="65" t="str">
        <f t="shared" si="69"/>
        <v/>
      </c>
      <c r="W215" s="108"/>
      <c r="X215" s="108"/>
      <c r="Y215" s="108"/>
      <c r="Z215" s="110" t="str">
        <f t="shared" si="70"/>
        <v/>
      </c>
      <c r="AA215" s="199">
        <f>IF(ISERROR('Berechnungen 2'!AR418),"",'Berechnungen 2'!AR418)</f>
        <v>0</v>
      </c>
      <c r="AB215" s="200">
        <f>IF(ISERROR('Berechnungen 2'!AS418),"",'Berechnungen 2'!AS418)</f>
        <v>0</v>
      </c>
      <c r="AC215" s="200">
        <f>IF(ISERROR('Berechnungen 2'!AT418),"",'Berechnungen 2'!AT418)</f>
        <v>0</v>
      </c>
      <c r="AD215" s="199">
        <f>IF(ISERROR('Berechnungen 2'!BE418),"",'Berechnungen 2'!BE418)</f>
        <v>0</v>
      </c>
      <c r="AE215" s="200">
        <f>IF(ISERROR('Berechnungen 2'!BF418),"",'Berechnungen 2'!BF418)</f>
        <v>0</v>
      </c>
      <c r="AF215" s="200">
        <f>IF(ISERROR('Berechnungen 2'!BG418),"",'Berechnungen 2'!BG418)</f>
        <v>0</v>
      </c>
      <c r="AG215" s="199" t="str">
        <f>IF(ISNUMBER(A215),IF(ISERROR('Berechnungen 2'!BK418),"",'Berechnungen 2'!BK418),"")</f>
        <v/>
      </c>
      <c r="AH215" s="200">
        <f>IF(ISERROR('Berechnungen 2'!BL418),"",'Berechnungen 2'!BL418)</f>
        <v>0</v>
      </c>
      <c r="AI215" s="200">
        <f>IF(ISERROR('Berechnungen 2'!BM418),"",'Berechnungen 2'!BM418)</f>
        <v>0</v>
      </c>
    </row>
    <row r="216" spans="1:35" x14ac:dyDescent="0.2">
      <c r="A216" s="71" t="str">
        <f t="shared" si="73"/>
        <v/>
      </c>
      <c r="B216" s="193">
        <f t="shared" si="74"/>
        <v>204</v>
      </c>
      <c r="C216" s="192">
        <f ca="1">IF(ISERROR(LARGE('Berechnungen 1'!$A$12:$A$311,B216)),"",LARGE('Berechnungen 1'!$A$12:$A$311,B216))</f>
        <v>97</v>
      </c>
      <c r="D216" s="76" t="str">
        <f t="shared" si="75"/>
        <v/>
      </c>
      <c r="E216" s="76" t="str">
        <f t="shared" si="75"/>
        <v/>
      </c>
      <c r="F216" s="155" t="str">
        <f t="shared" si="61"/>
        <v/>
      </c>
      <c r="G216" s="204" t="str">
        <f t="shared" si="62"/>
        <v/>
      </c>
      <c r="H216" s="156" t="str">
        <f t="shared" si="63"/>
        <v/>
      </c>
      <c r="I216" s="155" t="str">
        <f t="shared" si="64"/>
        <v/>
      </c>
      <c r="J216" s="184">
        <f t="shared" ca="1" si="65"/>
        <v>999999</v>
      </c>
      <c r="K216" s="184">
        <f>IF(OR(ISBLANK('Etape 1'!E211),ISBLANK('Etape 1'!F211)),IF(AND(ISBLANK('Etape 1'!B211),ISBLANK('Etape 1'!C211),ISBLANK('Etape 1'!D211),ISBLANK('Etape 1'!E211),ISBLANK('Etape 1'!F211),ISBLANK('Etape 1'!G211),ISBLANK('Etape 1'!H211)),999,9999),IF(VLOOKUP($C216,Matrix_Berechnungen1.Rang.Pumpendaten.Zwischenresultate,$C$9,0)&gt;0,VLOOKUP($C216,Matrix_Berechnungen1.Rang.Pumpendaten.Zwischenresultate,K$9,0),""))</f>
        <v>999</v>
      </c>
      <c r="L216" s="184">
        <f t="shared" ca="1" si="76"/>
        <v>204</v>
      </c>
      <c r="M216" s="184">
        <f t="shared" ca="1" si="76"/>
        <v>0</v>
      </c>
      <c r="N216" s="84"/>
      <c r="O216" s="84"/>
      <c r="P216" s="84"/>
      <c r="Q216" s="69" t="str">
        <f t="shared" si="66"/>
        <v/>
      </c>
      <c r="R216" s="84"/>
      <c r="S216" s="65" t="str">
        <f t="shared" si="67"/>
        <v/>
      </c>
      <c r="T216" s="69" t="str">
        <f t="shared" si="68"/>
        <v/>
      </c>
      <c r="U216" s="84"/>
      <c r="V216" s="65" t="str">
        <f t="shared" si="69"/>
        <v/>
      </c>
      <c r="W216" s="108"/>
      <c r="X216" s="108"/>
      <c r="Y216" s="108"/>
      <c r="Z216" s="110" t="str">
        <f t="shared" si="70"/>
        <v/>
      </c>
      <c r="AA216" s="199">
        <f>IF(ISERROR('Berechnungen 2'!AR419),"",'Berechnungen 2'!AR419)</f>
        <v>0</v>
      </c>
      <c r="AB216" s="200">
        <f>IF(ISERROR('Berechnungen 2'!AS419),"",'Berechnungen 2'!AS419)</f>
        <v>0</v>
      </c>
      <c r="AC216" s="200">
        <f>IF(ISERROR('Berechnungen 2'!AT419),"",'Berechnungen 2'!AT419)</f>
        <v>0</v>
      </c>
      <c r="AD216" s="199">
        <f>IF(ISERROR('Berechnungen 2'!BE419),"",'Berechnungen 2'!BE419)</f>
        <v>0</v>
      </c>
      <c r="AE216" s="200">
        <f>IF(ISERROR('Berechnungen 2'!BF419),"",'Berechnungen 2'!BF419)</f>
        <v>0</v>
      </c>
      <c r="AF216" s="200">
        <f>IF(ISERROR('Berechnungen 2'!BG419),"",'Berechnungen 2'!BG419)</f>
        <v>0</v>
      </c>
      <c r="AG216" s="199" t="str">
        <f>IF(ISNUMBER(A216),IF(ISERROR('Berechnungen 2'!BK419),"",'Berechnungen 2'!BK419),"")</f>
        <v/>
      </c>
      <c r="AH216" s="200">
        <f>IF(ISERROR('Berechnungen 2'!BL419),"",'Berechnungen 2'!BL419)</f>
        <v>0</v>
      </c>
      <c r="AI216" s="200">
        <f>IF(ISERROR('Berechnungen 2'!BM419),"",'Berechnungen 2'!BM419)</f>
        <v>0</v>
      </c>
    </row>
    <row r="217" spans="1:35" x14ac:dyDescent="0.2">
      <c r="A217" s="71" t="str">
        <f t="shared" si="73"/>
        <v/>
      </c>
      <c r="B217" s="193">
        <f t="shared" si="74"/>
        <v>205</v>
      </c>
      <c r="C217" s="192">
        <f ca="1">IF(ISERROR(LARGE('Berechnungen 1'!$A$12:$A$311,B217)),"",LARGE('Berechnungen 1'!$A$12:$A$311,B217))</f>
        <v>96</v>
      </c>
      <c r="D217" s="76" t="str">
        <f t="shared" si="75"/>
        <v/>
      </c>
      <c r="E217" s="76" t="str">
        <f t="shared" si="75"/>
        <v/>
      </c>
      <c r="F217" s="155" t="str">
        <f t="shared" si="61"/>
        <v/>
      </c>
      <c r="G217" s="204" t="str">
        <f t="shared" si="62"/>
        <v/>
      </c>
      <c r="H217" s="156" t="str">
        <f t="shared" si="63"/>
        <v/>
      </c>
      <c r="I217" s="155" t="str">
        <f t="shared" si="64"/>
        <v/>
      </c>
      <c r="J217" s="184">
        <f t="shared" ca="1" si="65"/>
        <v>999999</v>
      </c>
      <c r="K217" s="184">
        <f>IF(OR(ISBLANK('Etape 1'!E212),ISBLANK('Etape 1'!F212)),IF(AND(ISBLANK('Etape 1'!B212),ISBLANK('Etape 1'!C212),ISBLANK('Etape 1'!D212),ISBLANK('Etape 1'!E212),ISBLANK('Etape 1'!F212),ISBLANK('Etape 1'!G212),ISBLANK('Etape 1'!H212)),999,9999),IF(VLOOKUP($C217,Matrix_Berechnungen1.Rang.Pumpendaten.Zwischenresultate,$C$9,0)&gt;0,VLOOKUP($C217,Matrix_Berechnungen1.Rang.Pumpendaten.Zwischenresultate,K$9,0),""))</f>
        <v>999</v>
      </c>
      <c r="L217" s="184">
        <f t="shared" ca="1" si="76"/>
        <v>205</v>
      </c>
      <c r="M217" s="184">
        <f t="shared" ca="1" si="76"/>
        <v>0</v>
      </c>
      <c r="N217" s="84"/>
      <c r="O217" s="84"/>
      <c r="P217" s="84"/>
      <c r="Q217" s="69" t="str">
        <f t="shared" si="66"/>
        <v/>
      </c>
      <c r="R217" s="84"/>
      <c r="S217" s="65" t="str">
        <f t="shared" si="67"/>
        <v/>
      </c>
      <c r="T217" s="69" t="str">
        <f t="shared" si="68"/>
        <v/>
      </c>
      <c r="U217" s="84"/>
      <c r="V217" s="65" t="str">
        <f t="shared" si="69"/>
        <v/>
      </c>
      <c r="W217" s="108"/>
      <c r="X217" s="108"/>
      <c r="Y217" s="108"/>
      <c r="Z217" s="110" t="str">
        <f t="shared" si="70"/>
        <v/>
      </c>
      <c r="AA217" s="199">
        <f>IF(ISERROR('Berechnungen 2'!AR420),"",'Berechnungen 2'!AR420)</f>
        <v>0</v>
      </c>
      <c r="AB217" s="200">
        <f>IF(ISERROR('Berechnungen 2'!AS420),"",'Berechnungen 2'!AS420)</f>
        <v>0</v>
      </c>
      <c r="AC217" s="200">
        <f>IF(ISERROR('Berechnungen 2'!AT420),"",'Berechnungen 2'!AT420)</f>
        <v>0</v>
      </c>
      <c r="AD217" s="199">
        <f>IF(ISERROR('Berechnungen 2'!BE420),"",'Berechnungen 2'!BE420)</f>
        <v>0</v>
      </c>
      <c r="AE217" s="200">
        <f>IF(ISERROR('Berechnungen 2'!BF420),"",'Berechnungen 2'!BF420)</f>
        <v>0</v>
      </c>
      <c r="AF217" s="200">
        <f>IF(ISERROR('Berechnungen 2'!BG420),"",'Berechnungen 2'!BG420)</f>
        <v>0</v>
      </c>
      <c r="AG217" s="199" t="str">
        <f>IF(ISNUMBER(A217),IF(ISERROR('Berechnungen 2'!BK420),"",'Berechnungen 2'!BK420),"")</f>
        <v/>
      </c>
      <c r="AH217" s="200">
        <f>IF(ISERROR('Berechnungen 2'!BL420),"",'Berechnungen 2'!BL420)</f>
        <v>0</v>
      </c>
      <c r="AI217" s="200">
        <f>IF(ISERROR('Berechnungen 2'!BM420),"",'Berechnungen 2'!BM420)</f>
        <v>0</v>
      </c>
    </row>
    <row r="218" spans="1:35" x14ac:dyDescent="0.2">
      <c r="A218" s="71" t="str">
        <f t="shared" si="73"/>
        <v/>
      </c>
      <c r="B218" s="193">
        <f t="shared" si="74"/>
        <v>206</v>
      </c>
      <c r="C218" s="192">
        <f ca="1">IF(ISERROR(LARGE('Berechnungen 1'!$A$12:$A$311,B218)),"",LARGE('Berechnungen 1'!$A$12:$A$311,B218))</f>
        <v>95</v>
      </c>
      <c r="D218" s="76" t="str">
        <f t="shared" si="75"/>
        <v/>
      </c>
      <c r="E218" s="76" t="str">
        <f t="shared" si="75"/>
        <v/>
      </c>
      <c r="F218" s="155" t="str">
        <f t="shared" si="61"/>
        <v/>
      </c>
      <c r="G218" s="204" t="str">
        <f t="shared" si="62"/>
        <v/>
      </c>
      <c r="H218" s="156" t="str">
        <f t="shared" si="63"/>
        <v/>
      </c>
      <c r="I218" s="155" t="str">
        <f t="shared" si="64"/>
        <v/>
      </c>
      <c r="J218" s="184">
        <f t="shared" ca="1" si="65"/>
        <v>999999</v>
      </c>
      <c r="K218" s="184">
        <f>IF(OR(ISBLANK('Etape 1'!E213),ISBLANK('Etape 1'!F213)),IF(AND(ISBLANK('Etape 1'!B213),ISBLANK('Etape 1'!C213),ISBLANK('Etape 1'!D213),ISBLANK('Etape 1'!E213),ISBLANK('Etape 1'!F213),ISBLANK('Etape 1'!G213),ISBLANK('Etape 1'!H213)),999,9999),IF(VLOOKUP($C218,Matrix_Berechnungen1.Rang.Pumpendaten.Zwischenresultate,$C$9,0)&gt;0,VLOOKUP($C218,Matrix_Berechnungen1.Rang.Pumpendaten.Zwischenresultate,K$9,0),""))</f>
        <v>999</v>
      </c>
      <c r="L218" s="184">
        <f t="shared" ca="1" si="76"/>
        <v>206</v>
      </c>
      <c r="M218" s="184">
        <f t="shared" ca="1" si="76"/>
        <v>0</v>
      </c>
      <c r="N218" s="84"/>
      <c r="O218" s="84"/>
      <c r="P218" s="84"/>
      <c r="Q218" s="69" t="str">
        <f t="shared" si="66"/>
        <v/>
      </c>
      <c r="R218" s="84"/>
      <c r="S218" s="65" t="str">
        <f t="shared" si="67"/>
        <v/>
      </c>
      <c r="T218" s="69" t="str">
        <f t="shared" si="68"/>
        <v/>
      </c>
      <c r="U218" s="84"/>
      <c r="V218" s="65" t="str">
        <f t="shared" si="69"/>
        <v/>
      </c>
      <c r="W218" s="108"/>
      <c r="X218" s="108"/>
      <c r="Y218" s="108"/>
      <c r="Z218" s="110" t="str">
        <f t="shared" si="70"/>
        <v/>
      </c>
      <c r="AA218" s="199">
        <f>IF(ISERROR('Berechnungen 2'!AR421),"",'Berechnungen 2'!AR421)</f>
        <v>0</v>
      </c>
      <c r="AB218" s="200">
        <f>IF(ISERROR('Berechnungen 2'!AS421),"",'Berechnungen 2'!AS421)</f>
        <v>0</v>
      </c>
      <c r="AC218" s="200">
        <f>IF(ISERROR('Berechnungen 2'!AT421),"",'Berechnungen 2'!AT421)</f>
        <v>0</v>
      </c>
      <c r="AD218" s="199">
        <f>IF(ISERROR('Berechnungen 2'!BE421),"",'Berechnungen 2'!BE421)</f>
        <v>0</v>
      </c>
      <c r="AE218" s="200">
        <f>IF(ISERROR('Berechnungen 2'!BF421),"",'Berechnungen 2'!BF421)</f>
        <v>0</v>
      </c>
      <c r="AF218" s="200">
        <f>IF(ISERROR('Berechnungen 2'!BG421),"",'Berechnungen 2'!BG421)</f>
        <v>0</v>
      </c>
      <c r="AG218" s="199" t="str">
        <f>IF(ISNUMBER(A218),IF(ISERROR('Berechnungen 2'!BK421),"",'Berechnungen 2'!BK421),"")</f>
        <v/>
      </c>
      <c r="AH218" s="200">
        <f>IF(ISERROR('Berechnungen 2'!BL421),"",'Berechnungen 2'!BL421)</f>
        <v>0</v>
      </c>
      <c r="AI218" s="200">
        <f>IF(ISERROR('Berechnungen 2'!BM421),"",'Berechnungen 2'!BM421)</f>
        <v>0</v>
      </c>
    </row>
    <row r="219" spans="1:35" x14ac:dyDescent="0.2">
      <c r="A219" s="71" t="str">
        <f t="shared" si="73"/>
        <v/>
      </c>
      <c r="B219" s="193">
        <f t="shared" si="74"/>
        <v>207</v>
      </c>
      <c r="C219" s="192">
        <f ca="1">IF(ISERROR(LARGE('Berechnungen 1'!$A$12:$A$311,B219)),"",LARGE('Berechnungen 1'!$A$12:$A$311,B219))</f>
        <v>94</v>
      </c>
      <c r="D219" s="76" t="str">
        <f t="shared" si="75"/>
        <v/>
      </c>
      <c r="E219" s="76" t="str">
        <f t="shared" si="75"/>
        <v/>
      </c>
      <c r="F219" s="155" t="str">
        <f t="shared" si="61"/>
        <v/>
      </c>
      <c r="G219" s="204" t="str">
        <f t="shared" si="62"/>
        <v/>
      </c>
      <c r="H219" s="156" t="str">
        <f t="shared" si="63"/>
        <v/>
      </c>
      <c r="I219" s="155" t="str">
        <f t="shared" si="64"/>
        <v/>
      </c>
      <c r="J219" s="184">
        <f t="shared" ca="1" si="65"/>
        <v>999999</v>
      </c>
      <c r="K219" s="184">
        <f>IF(OR(ISBLANK('Etape 1'!E214),ISBLANK('Etape 1'!F214)),IF(AND(ISBLANK('Etape 1'!B214),ISBLANK('Etape 1'!C214),ISBLANK('Etape 1'!D214),ISBLANK('Etape 1'!E214),ISBLANK('Etape 1'!F214),ISBLANK('Etape 1'!G214),ISBLANK('Etape 1'!H214)),999,9999),IF(VLOOKUP($C219,Matrix_Berechnungen1.Rang.Pumpendaten.Zwischenresultate,$C$9,0)&gt;0,VLOOKUP($C219,Matrix_Berechnungen1.Rang.Pumpendaten.Zwischenresultate,K$9,0),""))</f>
        <v>999</v>
      </c>
      <c r="L219" s="184">
        <f t="shared" ca="1" si="76"/>
        <v>207</v>
      </c>
      <c r="M219" s="184">
        <f t="shared" ca="1" si="76"/>
        <v>0</v>
      </c>
      <c r="N219" s="84"/>
      <c r="O219" s="84"/>
      <c r="P219" s="84"/>
      <c r="Q219" s="69" t="str">
        <f t="shared" si="66"/>
        <v/>
      </c>
      <c r="R219" s="84"/>
      <c r="S219" s="65" t="str">
        <f t="shared" si="67"/>
        <v/>
      </c>
      <c r="T219" s="69" t="str">
        <f t="shared" si="68"/>
        <v/>
      </c>
      <c r="U219" s="84"/>
      <c r="V219" s="65" t="str">
        <f t="shared" si="69"/>
        <v/>
      </c>
      <c r="W219" s="108"/>
      <c r="X219" s="108"/>
      <c r="Y219" s="108"/>
      <c r="Z219" s="110" t="str">
        <f t="shared" si="70"/>
        <v/>
      </c>
      <c r="AA219" s="199">
        <f>IF(ISERROR('Berechnungen 2'!AR422),"",'Berechnungen 2'!AR422)</f>
        <v>0</v>
      </c>
      <c r="AB219" s="200">
        <f>IF(ISERROR('Berechnungen 2'!AS422),"",'Berechnungen 2'!AS422)</f>
        <v>0</v>
      </c>
      <c r="AC219" s="200">
        <f>IF(ISERROR('Berechnungen 2'!AT422),"",'Berechnungen 2'!AT422)</f>
        <v>0</v>
      </c>
      <c r="AD219" s="199">
        <f>IF(ISERROR('Berechnungen 2'!BE422),"",'Berechnungen 2'!BE422)</f>
        <v>0</v>
      </c>
      <c r="AE219" s="200">
        <f>IF(ISERROR('Berechnungen 2'!BF422),"",'Berechnungen 2'!BF422)</f>
        <v>0</v>
      </c>
      <c r="AF219" s="200">
        <f>IF(ISERROR('Berechnungen 2'!BG422),"",'Berechnungen 2'!BG422)</f>
        <v>0</v>
      </c>
      <c r="AG219" s="199" t="str">
        <f>IF(ISNUMBER(A219),IF(ISERROR('Berechnungen 2'!BK422),"",'Berechnungen 2'!BK422),"")</f>
        <v/>
      </c>
      <c r="AH219" s="200">
        <f>IF(ISERROR('Berechnungen 2'!BL422),"",'Berechnungen 2'!BL422)</f>
        <v>0</v>
      </c>
      <c r="AI219" s="200">
        <f>IF(ISERROR('Berechnungen 2'!BM422),"",'Berechnungen 2'!BM422)</f>
        <v>0</v>
      </c>
    </row>
    <row r="220" spans="1:35" x14ac:dyDescent="0.2">
      <c r="A220" s="71" t="str">
        <f t="shared" si="73"/>
        <v/>
      </c>
      <c r="B220" s="193">
        <f t="shared" si="74"/>
        <v>208</v>
      </c>
      <c r="C220" s="192">
        <f ca="1">IF(ISERROR(LARGE('Berechnungen 1'!$A$12:$A$311,B220)),"",LARGE('Berechnungen 1'!$A$12:$A$311,B220))</f>
        <v>93</v>
      </c>
      <c r="D220" s="76" t="str">
        <f t="shared" si="75"/>
        <v/>
      </c>
      <c r="E220" s="76" t="str">
        <f t="shared" si="75"/>
        <v/>
      </c>
      <c r="F220" s="155" t="str">
        <f t="shared" si="61"/>
        <v/>
      </c>
      <c r="G220" s="204" t="str">
        <f t="shared" si="62"/>
        <v/>
      </c>
      <c r="H220" s="156" t="str">
        <f t="shared" si="63"/>
        <v/>
      </c>
      <c r="I220" s="155" t="str">
        <f t="shared" si="64"/>
        <v/>
      </c>
      <c r="J220" s="184">
        <f t="shared" ca="1" si="65"/>
        <v>999999</v>
      </c>
      <c r="K220" s="184">
        <f>IF(OR(ISBLANK('Etape 1'!E215),ISBLANK('Etape 1'!F215)),IF(AND(ISBLANK('Etape 1'!B215),ISBLANK('Etape 1'!C215),ISBLANK('Etape 1'!D215),ISBLANK('Etape 1'!E215),ISBLANK('Etape 1'!F215),ISBLANK('Etape 1'!G215),ISBLANK('Etape 1'!H215)),999,9999),IF(VLOOKUP($C220,Matrix_Berechnungen1.Rang.Pumpendaten.Zwischenresultate,$C$9,0)&gt;0,VLOOKUP($C220,Matrix_Berechnungen1.Rang.Pumpendaten.Zwischenresultate,K$9,0),""))</f>
        <v>999</v>
      </c>
      <c r="L220" s="184">
        <f t="shared" ca="1" si="76"/>
        <v>208</v>
      </c>
      <c r="M220" s="184">
        <f t="shared" ca="1" si="76"/>
        <v>0</v>
      </c>
      <c r="N220" s="84"/>
      <c r="O220" s="84"/>
      <c r="P220" s="84"/>
      <c r="Q220" s="69" t="str">
        <f t="shared" si="66"/>
        <v/>
      </c>
      <c r="R220" s="84"/>
      <c r="S220" s="65" t="str">
        <f t="shared" si="67"/>
        <v/>
      </c>
      <c r="T220" s="69" t="str">
        <f t="shared" si="68"/>
        <v/>
      </c>
      <c r="U220" s="84"/>
      <c r="V220" s="65" t="str">
        <f t="shared" si="69"/>
        <v/>
      </c>
      <c r="W220" s="108"/>
      <c r="X220" s="108"/>
      <c r="Y220" s="108"/>
      <c r="Z220" s="110" t="str">
        <f t="shared" si="70"/>
        <v/>
      </c>
      <c r="AA220" s="199">
        <f>IF(ISERROR('Berechnungen 2'!AR423),"",'Berechnungen 2'!AR423)</f>
        <v>0</v>
      </c>
      <c r="AB220" s="200">
        <f>IF(ISERROR('Berechnungen 2'!AS423),"",'Berechnungen 2'!AS423)</f>
        <v>0</v>
      </c>
      <c r="AC220" s="200">
        <f>IF(ISERROR('Berechnungen 2'!AT423),"",'Berechnungen 2'!AT423)</f>
        <v>0</v>
      </c>
      <c r="AD220" s="199">
        <f>IF(ISERROR('Berechnungen 2'!BE423),"",'Berechnungen 2'!BE423)</f>
        <v>0</v>
      </c>
      <c r="AE220" s="200">
        <f>IF(ISERROR('Berechnungen 2'!BF423),"",'Berechnungen 2'!BF423)</f>
        <v>0</v>
      </c>
      <c r="AF220" s="200">
        <f>IF(ISERROR('Berechnungen 2'!BG423),"",'Berechnungen 2'!BG423)</f>
        <v>0</v>
      </c>
      <c r="AG220" s="199" t="str">
        <f>IF(ISNUMBER(A220),IF(ISERROR('Berechnungen 2'!BK423),"",'Berechnungen 2'!BK423),"")</f>
        <v/>
      </c>
      <c r="AH220" s="200">
        <f>IF(ISERROR('Berechnungen 2'!BL423),"",'Berechnungen 2'!BL423)</f>
        <v>0</v>
      </c>
      <c r="AI220" s="200">
        <f>IF(ISERROR('Berechnungen 2'!BM423),"",'Berechnungen 2'!BM423)</f>
        <v>0</v>
      </c>
    </row>
    <row r="221" spans="1:35" x14ac:dyDescent="0.2">
      <c r="A221" s="71" t="str">
        <f t="shared" si="73"/>
        <v/>
      </c>
      <c r="B221" s="193">
        <f t="shared" si="74"/>
        <v>209</v>
      </c>
      <c r="C221" s="192">
        <f ca="1">IF(ISERROR(LARGE('Berechnungen 1'!$A$12:$A$311,B221)),"",LARGE('Berechnungen 1'!$A$12:$A$311,B221))</f>
        <v>92</v>
      </c>
      <c r="D221" s="76" t="str">
        <f t="shared" si="75"/>
        <v/>
      </c>
      <c r="E221" s="76" t="str">
        <f t="shared" si="75"/>
        <v/>
      </c>
      <c r="F221" s="155" t="str">
        <f t="shared" si="61"/>
        <v/>
      </c>
      <c r="G221" s="204" t="str">
        <f t="shared" si="62"/>
        <v/>
      </c>
      <c r="H221" s="156" t="str">
        <f t="shared" si="63"/>
        <v/>
      </c>
      <c r="I221" s="155" t="str">
        <f t="shared" si="64"/>
        <v/>
      </c>
      <c r="J221" s="184">
        <f t="shared" ca="1" si="65"/>
        <v>999999</v>
      </c>
      <c r="K221" s="184">
        <f>IF(OR(ISBLANK('Etape 1'!E216),ISBLANK('Etape 1'!F216)),IF(AND(ISBLANK('Etape 1'!B216),ISBLANK('Etape 1'!C216),ISBLANK('Etape 1'!D216),ISBLANK('Etape 1'!E216),ISBLANK('Etape 1'!F216),ISBLANK('Etape 1'!G216),ISBLANK('Etape 1'!H216)),999,9999),IF(VLOOKUP($C221,Matrix_Berechnungen1.Rang.Pumpendaten.Zwischenresultate,$C$9,0)&gt;0,VLOOKUP($C221,Matrix_Berechnungen1.Rang.Pumpendaten.Zwischenresultate,K$9,0),""))</f>
        <v>999</v>
      </c>
      <c r="L221" s="184">
        <f t="shared" ca="1" si="76"/>
        <v>209</v>
      </c>
      <c r="M221" s="184">
        <f t="shared" ca="1" si="76"/>
        <v>0</v>
      </c>
      <c r="N221" s="84"/>
      <c r="O221" s="84"/>
      <c r="P221" s="84"/>
      <c r="Q221" s="69" t="str">
        <f t="shared" si="66"/>
        <v/>
      </c>
      <c r="R221" s="84"/>
      <c r="S221" s="65" t="str">
        <f t="shared" si="67"/>
        <v/>
      </c>
      <c r="T221" s="69" t="str">
        <f t="shared" si="68"/>
        <v/>
      </c>
      <c r="U221" s="84"/>
      <c r="V221" s="65" t="str">
        <f t="shared" si="69"/>
        <v/>
      </c>
      <c r="W221" s="108"/>
      <c r="X221" s="108"/>
      <c r="Y221" s="108"/>
      <c r="Z221" s="110" t="str">
        <f t="shared" si="70"/>
        <v/>
      </c>
      <c r="AA221" s="199">
        <f>IF(ISERROR('Berechnungen 2'!AR424),"",'Berechnungen 2'!AR424)</f>
        <v>0</v>
      </c>
      <c r="AB221" s="200">
        <f>IF(ISERROR('Berechnungen 2'!AS424),"",'Berechnungen 2'!AS424)</f>
        <v>0</v>
      </c>
      <c r="AC221" s="200">
        <f>IF(ISERROR('Berechnungen 2'!AT424),"",'Berechnungen 2'!AT424)</f>
        <v>0</v>
      </c>
      <c r="AD221" s="199">
        <f>IF(ISERROR('Berechnungen 2'!BE424),"",'Berechnungen 2'!BE424)</f>
        <v>0</v>
      </c>
      <c r="AE221" s="200">
        <f>IF(ISERROR('Berechnungen 2'!BF424),"",'Berechnungen 2'!BF424)</f>
        <v>0</v>
      </c>
      <c r="AF221" s="200">
        <f>IF(ISERROR('Berechnungen 2'!BG424),"",'Berechnungen 2'!BG424)</f>
        <v>0</v>
      </c>
      <c r="AG221" s="199" t="str">
        <f>IF(ISNUMBER(A221),IF(ISERROR('Berechnungen 2'!BK424),"",'Berechnungen 2'!BK424),"")</f>
        <v/>
      </c>
      <c r="AH221" s="200">
        <f>IF(ISERROR('Berechnungen 2'!BL424),"",'Berechnungen 2'!BL424)</f>
        <v>0</v>
      </c>
      <c r="AI221" s="200">
        <f>IF(ISERROR('Berechnungen 2'!BM424),"",'Berechnungen 2'!BM424)</f>
        <v>0</v>
      </c>
    </row>
    <row r="222" spans="1:35" x14ac:dyDescent="0.2">
      <c r="A222" s="71" t="str">
        <f t="shared" si="73"/>
        <v/>
      </c>
      <c r="B222" s="193">
        <f t="shared" si="74"/>
        <v>210</v>
      </c>
      <c r="C222" s="192">
        <f ca="1">IF(ISERROR(LARGE('Berechnungen 1'!$A$12:$A$311,B222)),"",LARGE('Berechnungen 1'!$A$12:$A$311,B222))</f>
        <v>91</v>
      </c>
      <c r="D222" s="76" t="str">
        <f t="shared" si="75"/>
        <v/>
      </c>
      <c r="E222" s="76" t="str">
        <f t="shared" si="75"/>
        <v/>
      </c>
      <c r="F222" s="155" t="str">
        <f t="shared" si="61"/>
        <v/>
      </c>
      <c r="G222" s="204" t="str">
        <f t="shared" si="62"/>
        <v/>
      </c>
      <c r="H222" s="156" t="str">
        <f t="shared" si="63"/>
        <v/>
      </c>
      <c r="I222" s="155" t="str">
        <f t="shared" si="64"/>
        <v/>
      </c>
      <c r="J222" s="184">
        <f t="shared" ca="1" si="65"/>
        <v>999999</v>
      </c>
      <c r="K222" s="184">
        <f>IF(OR(ISBLANK('Etape 1'!E217),ISBLANK('Etape 1'!F217)),IF(AND(ISBLANK('Etape 1'!B217),ISBLANK('Etape 1'!C217),ISBLANK('Etape 1'!D217),ISBLANK('Etape 1'!E217),ISBLANK('Etape 1'!F217),ISBLANK('Etape 1'!G217),ISBLANK('Etape 1'!H217)),999,9999),IF(VLOOKUP($C222,Matrix_Berechnungen1.Rang.Pumpendaten.Zwischenresultate,$C$9,0)&gt;0,VLOOKUP($C222,Matrix_Berechnungen1.Rang.Pumpendaten.Zwischenresultate,K$9,0),""))</f>
        <v>999</v>
      </c>
      <c r="L222" s="184">
        <f t="shared" ca="1" si="76"/>
        <v>210</v>
      </c>
      <c r="M222" s="184">
        <f t="shared" ca="1" si="76"/>
        <v>0</v>
      </c>
      <c r="N222" s="84"/>
      <c r="O222" s="84"/>
      <c r="P222" s="84"/>
      <c r="Q222" s="69" t="str">
        <f t="shared" si="66"/>
        <v/>
      </c>
      <c r="R222" s="84"/>
      <c r="S222" s="65" t="str">
        <f t="shared" si="67"/>
        <v/>
      </c>
      <c r="T222" s="69" t="str">
        <f t="shared" si="68"/>
        <v/>
      </c>
      <c r="U222" s="84"/>
      <c r="V222" s="65" t="str">
        <f t="shared" si="69"/>
        <v/>
      </c>
      <c r="W222" s="108"/>
      <c r="X222" s="108"/>
      <c r="Y222" s="108"/>
      <c r="Z222" s="110" t="str">
        <f t="shared" si="70"/>
        <v/>
      </c>
      <c r="AA222" s="199">
        <f>IF(ISERROR('Berechnungen 2'!AR425),"",'Berechnungen 2'!AR425)</f>
        <v>0</v>
      </c>
      <c r="AB222" s="200">
        <f>IF(ISERROR('Berechnungen 2'!AS425),"",'Berechnungen 2'!AS425)</f>
        <v>0</v>
      </c>
      <c r="AC222" s="200">
        <f>IF(ISERROR('Berechnungen 2'!AT425),"",'Berechnungen 2'!AT425)</f>
        <v>0</v>
      </c>
      <c r="AD222" s="199">
        <f>IF(ISERROR('Berechnungen 2'!BE425),"",'Berechnungen 2'!BE425)</f>
        <v>0</v>
      </c>
      <c r="AE222" s="200">
        <f>IF(ISERROR('Berechnungen 2'!BF425),"",'Berechnungen 2'!BF425)</f>
        <v>0</v>
      </c>
      <c r="AF222" s="200">
        <f>IF(ISERROR('Berechnungen 2'!BG425),"",'Berechnungen 2'!BG425)</f>
        <v>0</v>
      </c>
      <c r="AG222" s="199" t="str">
        <f>IF(ISNUMBER(A222),IF(ISERROR('Berechnungen 2'!BK425),"",'Berechnungen 2'!BK425),"")</f>
        <v/>
      </c>
      <c r="AH222" s="200">
        <f>IF(ISERROR('Berechnungen 2'!BL425),"",'Berechnungen 2'!BL425)</f>
        <v>0</v>
      </c>
      <c r="AI222" s="200">
        <f>IF(ISERROR('Berechnungen 2'!BM425),"",'Berechnungen 2'!BM425)</f>
        <v>0</v>
      </c>
    </row>
    <row r="223" spans="1:35" x14ac:dyDescent="0.2">
      <c r="A223" s="71" t="str">
        <f t="shared" si="73"/>
        <v/>
      </c>
      <c r="B223" s="193">
        <f t="shared" si="74"/>
        <v>211</v>
      </c>
      <c r="C223" s="192">
        <f ca="1">IF(ISERROR(LARGE('Berechnungen 1'!$A$12:$A$311,B223)),"",LARGE('Berechnungen 1'!$A$12:$A$311,B223))</f>
        <v>90</v>
      </c>
      <c r="D223" s="76" t="str">
        <f t="shared" si="75"/>
        <v/>
      </c>
      <c r="E223" s="76" t="str">
        <f t="shared" si="75"/>
        <v/>
      </c>
      <c r="F223" s="155" t="str">
        <f t="shared" si="61"/>
        <v/>
      </c>
      <c r="G223" s="204" t="str">
        <f t="shared" si="62"/>
        <v/>
      </c>
      <c r="H223" s="156" t="str">
        <f t="shared" si="63"/>
        <v/>
      </c>
      <c r="I223" s="155" t="str">
        <f t="shared" si="64"/>
        <v/>
      </c>
      <c r="J223" s="184">
        <f t="shared" ca="1" si="65"/>
        <v>999999</v>
      </c>
      <c r="K223" s="184">
        <f>IF(OR(ISBLANK('Etape 1'!E218),ISBLANK('Etape 1'!F218)),IF(AND(ISBLANK('Etape 1'!B218),ISBLANK('Etape 1'!C218),ISBLANK('Etape 1'!D218),ISBLANK('Etape 1'!E218),ISBLANK('Etape 1'!F218),ISBLANK('Etape 1'!G218),ISBLANK('Etape 1'!H218)),999,9999),IF(VLOOKUP($C223,Matrix_Berechnungen1.Rang.Pumpendaten.Zwischenresultate,$C$9,0)&gt;0,VLOOKUP($C223,Matrix_Berechnungen1.Rang.Pumpendaten.Zwischenresultate,K$9,0),""))</f>
        <v>999</v>
      </c>
      <c r="L223" s="184">
        <f t="shared" ca="1" si="76"/>
        <v>211</v>
      </c>
      <c r="M223" s="184">
        <f t="shared" ca="1" si="76"/>
        <v>0</v>
      </c>
      <c r="N223" s="84"/>
      <c r="O223" s="84"/>
      <c r="P223" s="84"/>
      <c r="Q223" s="69" t="str">
        <f t="shared" si="66"/>
        <v/>
      </c>
      <c r="R223" s="84"/>
      <c r="S223" s="65" t="str">
        <f t="shared" si="67"/>
        <v/>
      </c>
      <c r="T223" s="69" t="str">
        <f t="shared" si="68"/>
        <v/>
      </c>
      <c r="U223" s="84"/>
      <c r="V223" s="65" t="str">
        <f t="shared" si="69"/>
        <v/>
      </c>
      <c r="W223" s="108"/>
      <c r="X223" s="108"/>
      <c r="Y223" s="108"/>
      <c r="Z223" s="110" t="str">
        <f t="shared" si="70"/>
        <v/>
      </c>
      <c r="AA223" s="199">
        <f>IF(ISERROR('Berechnungen 2'!AR426),"",'Berechnungen 2'!AR426)</f>
        <v>0</v>
      </c>
      <c r="AB223" s="200">
        <f>IF(ISERROR('Berechnungen 2'!AS426),"",'Berechnungen 2'!AS426)</f>
        <v>0</v>
      </c>
      <c r="AC223" s="200">
        <f>IF(ISERROR('Berechnungen 2'!AT426),"",'Berechnungen 2'!AT426)</f>
        <v>0</v>
      </c>
      <c r="AD223" s="199">
        <f>IF(ISERROR('Berechnungen 2'!BE426),"",'Berechnungen 2'!BE426)</f>
        <v>0</v>
      </c>
      <c r="AE223" s="200">
        <f>IF(ISERROR('Berechnungen 2'!BF426),"",'Berechnungen 2'!BF426)</f>
        <v>0</v>
      </c>
      <c r="AF223" s="200">
        <f>IF(ISERROR('Berechnungen 2'!BG426),"",'Berechnungen 2'!BG426)</f>
        <v>0</v>
      </c>
      <c r="AG223" s="199" t="str">
        <f>IF(ISNUMBER(A223),IF(ISERROR('Berechnungen 2'!BK426),"",'Berechnungen 2'!BK426),"")</f>
        <v/>
      </c>
      <c r="AH223" s="200">
        <f>IF(ISERROR('Berechnungen 2'!BL426),"",'Berechnungen 2'!BL426)</f>
        <v>0</v>
      </c>
      <c r="AI223" s="200">
        <f>IF(ISERROR('Berechnungen 2'!BM426),"",'Berechnungen 2'!BM426)</f>
        <v>0</v>
      </c>
    </row>
    <row r="224" spans="1:35" x14ac:dyDescent="0.2">
      <c r="A224" s="71" t="str">
        <f t="shared" si="73"/>
        <v/>
      </c>
      <c r="B224" s="193">
        <f t="shared" si="74"/>
        <v>212</v>
      </c>
      <c r="C224" s="192">
        <f ca="1">IF(ISERROR(LARGE('Berechnungen 1'!$A$12:$A$311,B224)),"",LARGE('Berechnungen 1'!$A$12:$A$311,B224))</f>
        <v>89</v>
      </c>
      <c r="D224" s="76" t="str">
        <f t="shared" si="75"/>
        <v/>
      </c>
      <c r="E224" s="76" t="str">
        <f t="shared" si="75"/>
        <v/>
      </c>
      <c r="F224" s="155" t="str">
        <f t="shared" si="61"/>
        <v/>
      </c>
      <c r="G224" s="204" t="str">
        <f t="shared" si="62"/>
        <v/>
      </c>
      <c r="H224" s="156" t="str">
        <f t="shared" si="63"/>
        <v/>
      </c>
      <c r="I224" s="155" t="str">
        <f t="shared" si="64"/>
        <v/>
      </c>
      <c r="J224" s="184">
        <f t="shared" ca="1" si="65"/>
        <v>999999</v>
      </c>
      <c r="K224" s="184">
        <f>IF(OR(ISBLANK('Etape 1'!E219),ISBLANK('Etape 1'!F219)),IF(AND(ISBLANK('Etape 1'!B219),ISBLANK('Etape 1'!C219),ISBLANK('Etape 1'!D219),ISBLANK('Etape 1'!E219),ISBLANK('Etape 1'!F219),ISBLANK('Etape 1'!G219),ISBLANK('Etape 1'!H219)),999,9999),IF(VLOOKUP($C224,Matrix_Berechnungen1.Rang.Pumpendaten.Zwischenresultate,$C$9,0)&gt;0,VLOOKUP($C224,Matrix_Berechnungen1.Rang.Pumpendaten.Zwischenresultate,K$9,0),""))</f>
        <v>999</v>
      </c>
      <c r="L224" s="184">
        <f t="shared" ca="1" si="76"/>
        <v>212</v>
      </c>
      <c r="M224" s="184">
        <f t="shared" ca="1" si="76"/>
        <v>0</v>
      </c>
      <c r="N224" s="84"/>
      <c r="O224" s="84"/>
      <c r="P224" s="84"/>
      <c r="Q224" s="69" t="str">
        <f t="shared" si="66"/>
        <v/>
      </c>
      <c r="R224" s="84"/>
      <c r="S224" s="65" t="str">
        <f t="shared" si="67"/>
        <v/>
      </c>
      <c r="T224" s="69" t="str">
        <f t="shared" si="68"/>
        <v/>
      </c>
      <c r="U224" s="84"/>
      <c r="V224" s="65" t="str">
        <f t="shared" si="69"/>
        <v/>
      </c>
      <c r="W224" s="108"/>
      <c r="X224" s="108"/>
      <c r="Y224" s="108"/>
      <c r="Z224" s="110" t="str">
        <f t="shared" si="70"/>
        <v/>
      </c>
      <c r="AA224" s="199">
        <f>IF(ISERROR('Berechnungen 2'!AR427),"",'Berechnungen 2'!AR427)</f>
        <v>0</v>
      </c>
      <c r="AB224" s="200">
        <f>IF(ISERROR('Berechnungen 2'!AS427),"",'Berechnungen 2'!AS427)</f>
        <v>0</v>
      </c>
      <c r="AC224" s="200">
        <f>IF(ISERROR('Berechnungen 2'!AT427),"",'Berechnungen 2'!AT427)</f>
        <v>0</v>
      </c>
      <c r="AD224" s="199">
        <f>IF(ISERROR('Berechnungen 2'!BE427),"",'Berechnungen 2'!BE427)</f>
        <v>0</v>
      </c>
      <c r="AE224" s="200">
        <f>IF(ISERROR('Berechnungen 2'!BF427),"",'Berechnungen 2'!BF427)</f>
        <v>0</v>
      </c>
      <c r="AF224" s="200">
        <f>IF(ISERROR('Berechnungen 2'!BG427),"",'Berechnungen 2'!BG427)</f>
        <v>0</v>
      </c>
      <c r="AG224" s="199" t="str">
        <f>IF(ISNUMBER(A224),IF(ISERROR('Berechnungen 2'!BK427),"",'Berechnungen 2'!BK427),"")</f>
        <v/>
      </c>
      <c r="AH224" s="200">
        <f>IF(ISERROR('Berechnungen 2'!BL427),"",'Berechnungen 2'!BL427)</f>
        <v>0</v>
      </c>
      <c r="AI224" s="200">
        <f>IF(ISERROR('Berechnungen 2'!BM427),"",'Berechnungen 2'!BM427)</f>
        <v>0</v>
      </c>
    </row>
    <row r="225" spans="1:35" x14ac:dyDescent="0.2">
      <c r="A225" s="71" t="str">
        <f t="shared" si="73"/>
        <v/>
      </c>
      <c r="B225" s="193">
        <f t="shared" si="74"/>
        <v>213</v>
      </c>
      <c r="C225" s="192">
        <f ca="1">IF(ISERROR(LARGE('Berechnungen 1'!$A$12:$A$311,B225)),"",LARGE('Berechnungen 1'!$A$12:$A$311,B225))</f>
        <v>88</v>
      </c>
      <c r="D225" s="76" t="str">
        <f t="shared" si="75"/>
        <v/>
      </c>
      <c r="E225" s="76" t="str">
        <f t="shared" si="75"/>
        <v/>
      </c>
      <c r="F225" s="155" t="str">
        <f t="shared" si="61"/>
        <v/>
      </c>
      <c r="G225" s="204" t="str">
        <f t="shared" si="62"/>
        <v/>
      </c>
      <c r="H225" s="156" t="str">
        <f t="shared" si="63"/>
        <v/>
      </c>
      <c r="I225" s="155" t="str">
        <f t="shared" si="64"/>
        <v/>
      </c>
      <c r="J225" s="184">
        <f t="shared" ca="1" si="65"/>
        <v>999999</v>
      </c>
      <c r="K225" s="184">
        <f>IF(OR(ISBLANK('Etape 1'!E220),ISBLANK('Etape 1'!F220)),IF(AND(ISBLANK('Etape 1'!B220),ISBLANK('Etape 1'!C220),ISBLANK('Etape 1'!D220),ISBLANK('Etape 1'!E220),ISBLANK('Etape 1'!F220),ISBLANK('Etape 1'!G220),ISBLANK('Etape 1'!H220)),999,9999),IF(VLOOKUP($C225,Matrix_Berechnungen1.Rang.Pumpendaten.Zwischenresultate,$C$9,0)&gt;0,VLOOKUP($C225,Matrix_Berechnungen1.Rang.Pumpendaten.Zwischenresultate,K$9,0),""))</f>
        <v>999</v>
      </c>
      <c r="L225" s="184">
        <f t="shared" ca="1" si="76"/>
        <v>213</v>
      </c>
      <c r="M225" s="184">
        <f t="shared" ca="1" si="76"/>
        <v>0</v>
      </c>
      <c r="N225" s="84"/>
      <c r="O225" s="84"/>
      <c r="P225" s="84"/>
      <c r="Q225" s="69" t="str">
        <f t="shared" si="66"/>
        <v/>
      </c>
      <c r="R225" s="84"/>
      <c r="S225" s="65" t="str">
        <f t="shared" si="67"/>
        <v/>
      </c>
      <c r="T225" s="69" t="str">
        <f t="shared" si="68"/>
        <v/>
      </c>
      <c r="U225" s="84"/>
      <c r="V225" s="65" t="str">
        <f t="shared" si="69"/>
        <v/>
      </c>
      <c r="W225" s="108"/>
      <c r="X225" s="108"/>
      <c r="Y225" s="108"/>
      <c r="Z225" s="110" t="str">
        <f t="shared" si="70"/>
        <v/>
      </c>
      <c r="AA225" s="199">
        <f>IF(ISERROR('Berechnungen 2'!AR428),"",'Berechnungen 2'!AR428)</f>
        <v>0</v>
      </c>
      <c r="AB225" s="200">
        <f>IF(ISERROR('Berechnungen 2'!AS428),"",'Berechnungen 2'!AS428)</f>
        <v>0</v>
      </c>
      <c r="AC225" s="200">
        <f>IF(ISERROR('Berechnungen 2'!AT428),"",'Berechnungen 2'!AT428)</f>
        <v>0</v>
      </c>
      <c r="AD225" s="199">
        <f>IF(ISERROR('Berechnungen 2'!BE428),"",'Berechnungen 2'!BE428)</f>
        <v>0</v>
      </c>
      <c r="AE225" s="200">
        <f>IF(ISERROR('Berechnungen 2'!BF428),"",'Berechnungen 2'!BF428)</f>
        <v>0</v>
      </c>
      <c r="AF225" s="200">
        <f>IF(ISERROR('Berechnungen 2'!BG428),"",'Berechnungen 2'!BG428)</f>
        <v>0</v>
      </c>
      <c r="AG225" s="199" t="str">
        <f>IF(ISNUMBER(A225),IF(ISERROR('Berechnungen 2'!BK428),"",'Berechnungen 2'!BK428),"")</f>
        <v/>
      </c>
      <c r="AH225" s="200">
        <f>IF(ISERROR('Berechnungen 2'!BL428),"",'Berechnungen 2'!BL428)</f>
        <v>0</v>
      </c>
      <c r="AI225" s="200">
        <f>IF(ISERROR('Berechnungen 2'!BM428),"",'Berechnungen 2'!BM428)</f>
        <v>0</v>
      </c>
    </row>
    <row r="226" spans="1:35" x14ac:dyDescent="0.2">
      <c r="A226" s="71" t="str">
        <f t="shared" si="73"/>
        <v/>
      </c>
      <c r="B226" s="193">
        <f t="shared" si="74"/>
        <v>214</v>
      </c>
      <c r="C226" s="192">
        <f ca="1">IF(ISERROR(LARGE('Berechnungen 1'!$A$12:$A$311,B226)),"",LARGE('Berechnungen 1'!$A$12:$A$311,B226))</f>
        <v>87</v>
      </c>
      <c r="D226" s="76" t="str">
        <f t="shared" si="75"/>
        <v/>
      </c>
      <c r="E226" s="76" t="str">
        <f t="shared" si="75"/>
        <v/>
      </c>
      <c r="F226" s="155" t="str">
        <f t="shared" si="61"/>
        <v/>
      </c>
      <c r="G226" s="204" t="str">
        <f t="shared" si="62"/>
        <v/>
      </c>
      <c r="H226" s="156" t="str">
        <f t="shared" si="63"/>
        <v/>
      </c>
      <c r="I226" s="155" t="str">
        <f t="shared" si="64"/>
        <v/>
      </c>
      <c r="J226" s="184">
        <f t="shared" ca="1" si="65"/>
        <v>999999</v>
      </c>
      <c r="K226" s="184">
        <f>IF(OR(ISBLANK('Etape 1'!E221),ISBLANK('Etape 1'!F221)),IF(AND(ISBLANK('Etape 1'!B221),ISBLANK('Etape 1'!C221),ISBLANK('Etape 1'!D221),ISBLANK('Etape 1'!E221),ISBLANK('Etape 1'!F221),ISBLANK('Etape 1'!G221),ISBLANK('Etape 1'!H221)),999,9999),IF(VLOOKUP($C226,Matrix_Berechnungen1.Rang.Pumpendaten.Zwischenresultate,$C$9,0)&gt;0,VLOOKUP($C226,Matrix_Berechnungen1.Rang.Pumpendaten.Zwischenresultate,K$9,0),""))</f>
        <v>999</v>
      </c>
      <c r="L226" s="184">
        <f t="shared" ca="1" si="76"/>
        <v>214</v>
      </c>
      <c r="M226" s="184">
        <f t="shared" ca="1" si="76"/>
        <v>0</v>
      </c>
      <c r="N226" s="84"/>
      <c r="O226" s="84"/>
      <c r="P226" s="84"/>
      <c r="Q226" s="69" t="str">
        <f t="shared" si="66"/>
        <v/>
      </c>
      <c r="R226" s="84"/>
      <c r="S226" s="65" t="str">
        <f t="shared" si="67"/>
        <v/>
      </c>
      <c r="T226" s="69" t="str">
        <f t="shared" si="68"/>
        <v/>
      </c>
      <c r="U226" s="84"/>
      <c r="V226" s="65" t="str">
        <f t="shared" si="69"/>
        <v/>
      </c>
      <c r="W226" s="108"/>
      <c r="X226" s="108"/>
      <c r="Y226" s="108"/>
      <c r="Z226" s="110" t="str">
        <f t="shared" si="70"/>
        <v/>
      </c>
      <c r="AA226" s="199">
        <f>IF(ISERROR('Berechnungen 2'!AR429),"",'Berechnungen 2'!AR429)</f>
        <v>0</v>
      </c>
      <c r="AB226" s="200">
        <f>IF(ISERROR('Berechnungen 2'!AS429),"",'Berechnungen 2'!AS429)</f>
        <v>0</v>
      </c>
      <c r="AC226" s="200">
        <f>IF(ISERROR('Berechnungen 2'!AT429),"",'Berechnungen 2'!AT429)</f>
        <v>0</v>
      </c>
      <c r="AD226" s="199">
        <f>IF(ISERROR('Berechnungen 2'!BE429),"",'Berechnungen 2'!BE429)</f>
        <v>0</v>
      </c>
      <c r="AE226" s="200">
        <f>IF(ISERROR('Berechnungen 2'!BF429),"",'Berechnungen 2'!BF429)</f>
        <v>0</v>
      </c>
      <c r="AF226" s="200">
        <f>IF(ISERROR('Berechnungen 2'!BG429),"",'Berechnungen 2'!BG429)</f>
        <v>0</v>
      </c>
      <c r="AG226" s="199" t="str">
        <f>IF(ISNUMBER(A226),IF(ISERROR('Berechnungen 2'!BK429),"",'Berechnungen 2'!BK429),"")</f>
        <v/>
      </c>
      <c r="AH226" s="200">
        <f>IF(ISERROR('Berechnungen 2'!BL429),"",'Berechnungen 2'!BL429)</f>
        <v>0</v>
      </c>
      <c r="AI226" s="200">
        <f>IF(ISERROR('Berechnungen 2'!BM429),"",'Berechnungen 2'!BM429)</f>
        <v>0</v>
      </c>
    </row>
    <row r="227" spans="1:35" x14ac:dyDescent="0.2">
      <c r="A227" s="71" t="str">
        <f t="shared" si="73"/>
        <v/>
      </c>
      <c r="B227" s="193">
        <f t="shared" si="74"/>
        <v>215</v>
      </c>
      <c r="C227" s="192">
        <f ca="1">IF(ISERROR(LARGE('Berechnungen 1'!$A$12:$A$311,B227)),"",LARGE('Berechnungen 1'!$A$12:$A$311,B227))</f>
        <v>86</v>
      </c>
      <c r="D227" s="76" t="str">
        <f t="shared" si="75"/>
        <v/>
      </c>
      <c r="E227" s="76" t="str">
        <f t="shared" si="75"/>
        <v/>
      </c>
      <c r="F227" s="155" t="str">
        <f t="shared" si="61"/>
        <v/>
      </c>
      <c r="G227" s="204" t="str">
        <f t="shared" si="62"/>
        <v/>
      </c>
      <c r="H227" s="156" t="str">
        <f t="shared" si="63"/>
        <v/>
      </c>
      <c r="I227" s="155" t="str">
        <f t="shared" si="64"/>
        <v/>
      </c>
      <c r="J227" s="184">
        <f t="shared" ca="1" si="65"/>
        <v>999999</v>
      </c>
      <c r="K227" s="184">
        <f>IF(OR(ISBLANK('Etape 1'!E222),ISBLANK('Etape 1'!F222)),IF(AND(ISBLANK('Etape 1'!B222),ISBLANK('Etape 1'!C222),ISBLANK('Etape 1'!D222),ISBLANK('Etape 1'!E222),ISBLANK('Etape 1'!F222),ISBLANK('Etape 1'!G222),ISBLANK('Etape 1'!H222)),999,9999),IF(VLOOKUP($C227,Matrix_Berechnungen1.Rang.Pumpendaten.Zwischenresultate,$C$9,0)&gt;0,VLOOKUP($C227,Matrix_Berechnungen1.Rang.Pumpendaten.Zwischenresultate,K$9,0),""))</f>
        <v>999</v>
      </c>
      <c r="L227" s="184">
        <f t="shared" ca="1" si="76"/>
        <v>215</v>
      </c>
      <c r="M227" s="184">
        <f t="shared" ca="1" si="76"/>
        <v>0</v>
      </c>
      <c r="N227" s="84"/>
      <c r="O227" s="84"/>
      <c r="P227" s="84"/>
      <c r="Q227" s="69" t="str">
        <f t="shared" si="66"/>
        <v/>
      </c>
      <c r="R227" s="84"/>
      <c r="S227" s="65" t="str">
        <f t="shared" si="67"/>
        <v/>
      </c>
      <c r="T227" s="69" t="str">
        <f t="shared" si="68"/>
        <v/>
      </c>
      <c r="U227" s="84"/>
      <c r="V227" s="65" t="str">
        <f t="shared" si="69"/>
        <v/>
      </c>
      <c r="W227" s="108"/>
      <c r="X227" s="108"/>
      <c r="Y227" s="108"/>
      <c r="Z227" s="110" t="str">
        <f t="shared" si="70"/>
        <v/>
      </c>
      <c r="AA227" s="199">
        <f>IF(ISERROR('Berechnungen 2'!AR430),"",'Berechnungen 2'!AR430)</f>
        <v>0</v>
      </c>
      <c r="AB227" s="200">
        <f>IF(ISERROR('Berechnungen 2'!AS430),"",'Berechnungen 2'!AS430)</f>
        <v>0</v>
      </c>
      <c r="AC227" s="200">
        <f>IF(ISERROR('Berechnungen 2'!AT430),"",'Berechnungen 2'!AT430)</f>
        <v>0</v>
      </c>
      <c r="AD227" s="199">
        <f>IF(ISERROR('Berechnungen 2'!BE430),"",'Berechnungen 2'!BE430)</f>
        <v>0</v>
      </c>
      <c r="AE227" s="200">
        <f>IF(ISERROR('Berechnungen 2'!BF430),"",'Berechnungen 2'!BF430)</f>
        <v>0</v>
      </c>
      <c r="AF227" s="200">
        <f>IF(ISERROR('Berechnungen 2'!BG430),"",'Berechnungen 2'!BG430)</f>
        <v>0</v>
      </c>
      <c r="AG227" s="199" t="str">
        <f>IF(ISNUMBER(A227),IF(ISERROR('Berechnungen 2'!BK430),"",'Berechnungen 2'!BK430),"")</f>
        <v/>
      </c>
      <c r="AH227" s="200">
        <f>IF(ISERROR('Berechnungen 2'!BL430),"",'Berechnungen 2'!BL430)</f>
        <v>0</v>
      </c>
      <c r="AI227" s="200">
        <f>IF(ISERROR('Berechnungen 2'!BM430),"",'Berechnungen 2'!BM430)</f>
        <v>0</v>
      </c>
    </row>
    <row r="228" spans="1:35" x14ac:dyDescent="0.2">
      <c r="A228" s="71" t="str">
        <f t="shared" si="73"/>
        <v/>
      </c>
      <c r="B228" s="193">
        <f t="shared" si="74"/>
        <v>216</v>
      </c>
      <c r="C228" s="192">
        <f ca="1">IF(ISERROR(LARGE('Berechnungen 1'!$A$12:$A$311,B228)),"",LARGE('Berechnungen 1'!$A$12:$A$311,B228))</f>
        <v>85</v>
      </c>
      <c r="D228" s="76" t="str">
        <f t="shared" si="75"/>
        <v/>
      </c>
      <c r="E228" s="76" t="str">
        <f t="shared" si="75"/>
        <v/>
      </c>
      <c r="F228" s="155" t="str">
        <f t="shared" si="61"/>
        <v/>
      </c>
      <c r="G228" s="204" t="str">
        <f t="shared" si="62"/>
        <v/>
      </c>
      <c r="H228" s="156" t="str">
        <f t="shared" si="63"/>
        <v/>
      </c>
      <c r="I228" s="155" t="str">
        <f t="shared" si="64"/>
        <v/>
      </c>
      <c r="J228" s="184">
        <f t="shared" ca="1" si="65"/>
        <v>999999</v>
      </c>
      <c r="K228" s="184">
        <f>IF(OR(ISBLANK('Etape 1'!E223),ISBLANK('Etape 1'!F223)),IF(AND(ISBLANK('Etape 1'!B223),ISBLANK('Etape 1'!C223),ISBLANK('Etape 1'!D223),ISBLANK('Etape 1'!E223),ISBLANK('Etape 1'!F223),ISBLANK('Etape 1'!G223),ISBLANK('Etape 1'!H223)),999,9999),IF(VLOOKUP($C228,Matrix_Berechnungen1.Rang.Pumpendaten.Zwischenresultate,$C$9,0)&gt;0,VLOOKUP($C228,Matrix_Berechnungen1.Rang.Pumpendaten.Zwischenresultate,K$9,0),""))</f>
        <v>999</v>
      </c>
      <c r="L228" s="184">
        <f t="shared" ca="1" si="76"/>
        <v>216</v>
      </c>
      <c r="M228" s="184">
        <f t="shared" ca="1" si="76"/>
        <v>0</v>
      </c>
      <c r="N228" s="84"/>
      <c r="O228" s="84"/>
      <c r="P228" s="84"/>
      <c r="Q228" s="69" t="str">
        <f t="shared" si="66"/>
        <v/>
      </c>
      <c r="R228" s="84"/>
      <c r="S228" s="65" t="str">
        <f t="shared" si="67"/>
        <v/>
      </c>
      <c r="T228" s="69" t="str">
        <f t="shared" si="68"/>
        <v/>
      </c>
      <c r="U228" s="84"/>
      <c r="V228" s="65" t="str">
        <f t="shared" si="69"/>
        <v/>
      </c>
      <c r="W228" s="108"/>
      <c r="X228" s="108"/>
      <c r="Y228" s="108"/>
      <c r="Z228" s="110" t="str">
        <f t="shared" si="70"/>
        <v/>
      </c>
      <c r="AA228" s="199">
        <f>IF(ISERROR('Berechnungen 2'!AR431),"",'Berechnungen 2'!AR431)</f>
        <v>0</v>
      </c>
      <c r="AB228" s="200">
        <f>IF(ISERROR('Berechnungen 2'!AS431),"",'Berechnungen 2'!AS431)</f>
        <v>0</v>
      </c>
      <c r="AC228" s="200">
        <f>IF(ISERROR('Berechnungen 2'!AT431),"",'Berechnungen 2'!AT431)</f>
        <v>0</v>
      </c>
      <c r="AD228" s="199">
        <f>IF(ISERROR('Berechnungen 2'!BE431),"",'Berechnungen 2'!BE431)</f>
        <v>0</v>
      </c>
      <c r="AE228" s="200">
        <f>IF(ISERROR('Berechnungen 2'!BF431),"",'Berechnungen 2'!BF431)</f>
        <v>0</v>
      </c>
      <c r="AF228" s="200">
        <f>IF(ISERROR('Berechnungen 2'!BG431),"",'Berechnungen 2'!BG431)</f>
        <v>0</v>
      </c>
      <c r="AG228" s="199" t="str">
        <f>IF(ISNUMBER(A228),IF(ISERROR('Berechnungen 2'!BK431),"",'Berechnungen 2'!BK431),"")</f>
        <v/>
      </c>
      <c r="AH228" s="200">
        <f>IF(ISERROR('Berechnungen 2'!BL431),"",'Berechnungen 2'!BL431)</f>
        <v>0</v>
      </c>
      <c r="AI228" s="200">
        <f>IF(ISERROR('Berechnungen 2'!BM431),"",'Berechnungen 2'!BM431)</f>
        <v>0</v>
      </c>
    </row>
    <row r="229" spans="1:35" x14ac:dyDescent="0.2">
      <c r="A229" s="71" t="str">
        <f t="shared" si="73"/>
        <v/>
      </c>
      <c r="B229" s="193">
        <f t="shared" si="74"/>
        <v>217</v>
      </c>
      <c r="C229" s="192">
        <f ca="1">IF(ISERROR(LARGE('Berechnungen 1'!$A$12:$A$311,B229)),"",LARGE('Berechnungen 1'!$A$12:$A$311,B229))</f>
        <v>84</v>
      </c>
      <c r="D229" s="76" t="str">
        <f t="shared" si="75"/>
        <v/>
      </c>
      <c r="E229" s="76" t="str">
        <f t="shared" si="75"/>
        <v/>
      </c>
      <c r="F229" s="155" t="str">
        <f t="shared" si="61"/>
        <v/>
      </c>
      <c r="G229" s="204" t="str">
        <f t="shared" si="62"/>
        <v/>
      </c>
      <c r="H229" s="156" t="str">
        <f t="shared" si="63"/>
        <v/>
      </c>
      <c r="I229" s="155" t="str">
        <f t="shared" si="64"/>
        <v/>
      </c>
      <c r="J229" s="184">
        <f t="shared" ca="1" si="65"/>
        <v>999999</v>
      </c>
      <c r="K229" s="184">
        <f>IF(OR(ISBLANK('Etape 1'!E224),ISBLANK('Etape 1'!F224)),IF(AND(ISBLANK('Etape 1'!B224),ISBLANK('Etape 1'!C224),ISBLANK('Etape 1'!D224),ISBLANK('Etape 1'!E224),ISBLANK('Etape 1'!F224),ISBLANK('Etape 1'!G224),ISBLANK('Etape 1'!H224)),999,9999),IF(VLOOKUP($C229,Matrix_Berechnungen1.Rang.Pumpendaten.Zwischenresultate,$C$9,0)&gt;0,VLOOKUP($C229,Matrix_Berechnungen1.Rang.Pumpendaten.Zwischenresultate,K$9,0),""))</f>
        <v>999</v>
      </c>
      <c r="L229" s="184">
        <f t="shared" ca="1" si="76"/>
        <v>217</v>
      </c>
      <c r="M229" s="184">
        <f t="shared" ca="1" si="76"/>
        <v>0</v>
      </c>
      <c r="N229" s="84"/>
      <c r="O229" s="84"/>
      <c r="P229" s="84"/>
      <c r="Q229" s="69" t="str">
        <f t="shared" si="66"/>
        <v/>
      </c>
      <c r="R229" s="84"/>
      <c r="S229" s="65" t="str">
        <f t="shared" si="67"/>
        <v/>
      </c>
      <c r="T229" s="69" t="str">
        <f t="shared" si="68"/>
        <v/>
      </c>
      <c r="U229" s="84"/>
      <c r="V229" s="65" t="str">
        <f t="shared" si="69"/>
        <v/>
      </c>
      <c r="W229" s="108"/>
      <c r="X229" s="108"/>
      <c r="Y229" s="108"/>
      <c r="Z229" s="110" t="str">
        <f t="shared" si="70"/>
        <v/>
      </c>
      <c r="AA229" s="199">
        <f>IF(ISERROR('Berechnungen 2'!AR432),"",'Berechnungen 2'!AR432)</f>
        <v>0</v>
      </c>
      <c r="AB229" s="200">
        <f>IF(ISERROR('Berechnungen 2'!AS432),"",'Berechnungen 2'!AS432)</f>
        <v>0</v>
      </c>
      <c r="AC229" s="200">
        <f>IF(ISERROR('Berechnungen 2'!AT432),"",'Berechnungen 2'!AT432)</f>
        <v>0</v>
      </c>
      <c r="AD229" s="199">
        <f>IF(ISERROR('Berechnungen 2'!BE432),"",'Berechnungen 2'!BE432)</f>
        <v>0</v>
      </c>
      <c r="AE229" s="200">
        <f>IF(ISERROR('Berechnungen 2'!BF432),"",'Berechnungen 2'!BF432)</f>
        <v>0</v>
      </c>
      <c r="AF229" s="200">
        <f>IF(ISERROR('Berechnungen 2'!BG432),"",'Berechnungen 2'!BG432)</f>
        <v>0</v>
      </c>
      <c r="AG229" s="199" t="str">
        <f>IF(ISNUMBER(A229),IF(ISERROR('Berechnungen 2'!BK432),"",'Berechnungen 2'!BK432),"")</f>
        <v/>
      </c>
      <c r="AH229" s="200">
        <f>IF(ISERROR('Berechnungen 2'!BL432),"",'Berechnungen 2'!BL432)</f>
        <v>0</v>
      </c>
      <c r="AI229" s="200">
        <f>IF(ISERROR('Berechnungen 2'!BM432),"",'Berechnungen 2'!BM432)</f>
        <v>0</v>
      </c>
    </row>
    <row r="230" spans="1:35" x14ac:dyDescent="0.2">
      <c r="A230" s="71" t="str">
        <f t="shared" si="73"/>
        <v/>
      </c>
      <c r="B230" s="193">
        <f t="shared" si="74"/>
        <v>218</v>
      </c>
      <c r="C230" s="192">
        <f ca="1">IF(ISERROR(LARGE('Berechnungen 1'!$A$12:$A$311,B230)),"",LARGE('Berechnungen 1'!$A$12:$A$311,B230))</f>
        <v>83</v>
      </c>
      <c r="D230" s="76" t="str">
        <f t="shared" si="75"/>
        <v/>
      </c>
      <c r="E230" s="76" t="str">
        <f t="shared" si="75"/>
        <v/>
      </c>
      <c r="F230" s="155" t="str">
        <f t="shared" si="61"/>
        <v/>
      </c>
      <c r="G230" s="204" t="str">
        <f t="shared" si="62"/>
        <v/>
      </c>
      <c r="H230" s="156" t="str">
        <f t="shared" si="63"/>
        <v/>
      </c>
      <c r="I230" s="155" t="str">
        <f t="shared" si="64"/>
        <v/>
      </c>
      <c r="J230" s="184">
        <f t="shared" ca="1" si="65"/>
        <v>999999</v>
      </c>
      <c r="K230" s="184">
        <f>IF(OR(ISBLANK('Etape 1'!E225),ISBLANK('Etape 1'!F225)),IF(AND(ISBLANK('Etape 1'!B225),ISBLANK('Etape 1'!C225),ISBLANK('Etape 1'!D225),ISBLANK('Etape 1'!E225),ISBLANK('Etape 1'!F225),ISBLANK('Etape 1'!G225),ISBLANK('Etape 1'!H225)),999,9999),IF(VLOOKUP($C230,Matrix_Berechnungen1.Rang.Pumpendaten.Zwischenresultate,$C$9,0)&gt;0,VLOOKUP($C230,Matrix_Berechnungen1.Rang.Pumpendaten.Zwischenresultate,K$9,0),""))</f>
        <v>999</v>
      </c>
      <c r="L230" s="184">
        <f t="shared" ca="1" si="76"/>
        <v>218</v>
      </c>
      <c r="M230" s="184">
        <f t="shared" ca="1" si="76"/>
        <v>0</v>
      </c>
      <c r="N230" s="84"/>
      <c r="O230" s="84"/>
      <c r="P230" s="84"/>
      <c r="Q230" s="69" t="str">
        <f t="shared" si="66"/>
        <v/>
      </c>
      <c r="R230" s="84"/>
      <c r="S230" s="65" t="str">
        <f t="shared" si="67"/>
        <v/>
      </c>
      <c r="T230" s="69" t="str">
        <f t="shared" si="68"/>
        <v/>
      </c>
      <c r="U230" s="84"/>
      <c r="V230" s="65" t="str">
        <f t="shared" si="69"/>
        <v/>
      </c>
      <c r="W230" s="108"/>
      <c r="X230" s="108"/>
      <c r="Y230" s="108"/>
      <c r="Z230" s="110" t="str">
        <f t="shared" si="70"/>
        <v/>
      </c>
      <c r="AA230" s="199">
        <f>IF(ISERROR('Berechnungen 2'!AR433),"",'Berechnungen 2'!AR433)</f>
        <v>0</v>
      </c>
      <c r="AB230" s="200">
        <f>IF(ISERROR('Berechnungen 2'!AS433),"",'Berechnungen 2'!AS433)</f>
        <v>0</v>
      </c>
      <c r="AC230" s="200">
        <f>IF(ISERROR('Berechnungen 2'!AT433),"",'Berechnungen 2'!AT433)</f>
        <v>0</v>
      </c>
      <c r="AD230" s="199">
        <f>IF(ISERROR('Berechnungen 2'!BE433),"",'Berechnungen 2'!BE433)</f>
        <v>0</v>
      </c>
      <c r="AE230" s="200">
        <f>IF(ISERROR('Berechnungen 2'!BF433),"",'Berechnungen 2'!BF433)</f>
        <v>0</v>
      </c>
      <c r="AF230" s="200">
        <f>IF(ISERROR('Berechnungen 2'!BG433),"",'Berechnungen 2'!BG433)</f>
        <v>0</v>
      </c>
      <c r="AG230" s="199" t="str">
        <f>IF(ISNUMBER(A230),IF(ISERROR('Berechnungen 2'!BK433),"",'Berechnungen 2'!BK433),"")</f>
        <v/>
      </c>
      <c r="AH230" s="200">
        <f>IF(ISERROR('Berechnungen 2'!BL433),"",'Berechnungen 2'!BL433)</f>
        <v>0</v>
      </c>
      <c r="AI230" s="200">
        <f>IF(ISERROR('Berechnungen 2'!BM433),"",'Berechnungen 2'!BM433)</f>
        <v>0</v>
      </c>
    </row>
    <row r="231" spans="1:35" x14ac:dyDescent="0.2">
      <c r="A231" s="71" t="str">
        <f t="shared" si="73"/>
        <v/>
      </c>
      <c r="B231" s="193">
        <f t="shared" si="74"/>
        <v>219</v>
      </c>
      <c r="C231" s="192">
        <f ca="1">IF(ISERROR(LARGE('Berechnungen 1'!$A$12:$A$311,B231)),"",LARGE('Berechnungen 1'!$A$12:$A$311,B231))</f>
        <v>82</v>
      </c>
      <c r="D231" s="76" t="str">
        <f t="shared" si="75"/>
        <v/>
      </c>
      <c r="E231" s="76" t="str">
        <f t="shared" si="75"/>
        <v/>
      </c>
      <c r="F231" s="155" t="str">
        <f t="shared" si="61"/>
        <v/>
      </c>
      <c r="G231" s="204" t="str">
        <f t="shared" si="62"/>
        <v/>
      </c>
      <c r="H231" s="156" t="str">
        <f t="shared" si="63"/>
        <v/>
      </c>
      <c r="I231" s="155" t="str">
        <f t="shared" si="64"/>
        <v/>
      </c>
      <c r="J231" s="184">
        <f t="shared" ca="1" si="65"/>
        <v>999999</v>
      </c>
      <c r="K231" s="184">
        <f>IF(OR(ISBLANK('Etape 1'!E226),ISBLANK('Etape 1'!F226)),IF(AND(ISBLANK('Etape 1'!B226),ISBLANK('Etape 1'!C226),ISBLANK('Etape 1'!D226),ISBLANK('Etape 1'!E226),ISBLANK('Etape 1'!F226),ISBLANK('Etape 1'!G226),ISBLANK('Etape 1'!H226)),999,9999),IF(VLOOKUP($C231,Matrix_Berechnungen1.Rang.Pumpendaten.Zwischenresultate,$C$9,0)&gt;0,VLOOKUP($C231,Matrix_Berechnungen1.Rang.Pumpendaten.Zwischenresultate,K$9,0),""))</f>
        <v>999</v>
      </c>
      <c r="L231" s="184">
        <f t="shared" ca="1" si="76"/>
        <v>219</v>
      </c>
      <c r="M231" s="184">
        <f t="shared" ca="1" si="76"/>
        <v>0</v>
      </c>
      <c r="N231" s="84"/>
      <c r="O231" s="84"/>
      <c r="P231" s="84"/>
      <c r="Q231" s="69" t="str">
        <f t="shared" si="66"/>
        <v/>
      </c>
      <c r="R231" s="84"/>
      <c r="S231" s="65" t="str">
        <f t="shared" si="67"/>
        <v/>
      </c>
      <c r="T231" s="69" t="str">
        <f t="shared" si="68"/>
        <v/>
      </c>
      <c r="U231" s="84"/>
      <c r="V231" s="65" t="str">
        <f t="shared" si="69"/>
        <v/>
      </c>
      <c r="W231" s="108"/>
      <c r="X231" s="108"/>
      <c r="Y231" s="108"/>
      <c r="Z231" s="110" t="str">
        <f t="shared" si="70"/>
        <v/>
      </c>
      <c r="AA231" s="199">
        <f>IF(ISERROR('Berechnungen 2'!AR434),"",'Berechnungen 2'!AR434)</f>
        <v>0</v>
      </c>
      <c r="AB231" s="200">
        <f>IF(ISERROR('Berechnungen 2'!AS434),"",'Berechnungen 2'!AS434)</f>
        <v>0</v>
      </c>
      <c r="AC231" s="200">
        <f>IF(ISERROR('Berechnungen 2'!AT434),"",'Berechnungen 2'!AT434)</f>
        <v>0</v>
      </c>
      <c r="AD231" s="199">
        <f>IF(ISERROR('Berechnungen 2'!BE434),"",'Berechnungen 2'!BE434)</f>
        <v>0</v>
      </c>
      <c r="AE231" s="200">
        <f>IF(ISERROR('Berechnungen 2'!BF434),"",'Berechnungen 2'!BF434)</f>
        <v>0</v>
      </c>
      <c r="AF231" s="200">
        <f>IF(ISERROR('Berechnungen 2'!BG434),"",'Berechnungen 2'!BG434)</f>
        <v>0</v>
      </c>
      <c r="AG231" s="199" t="str">
        <f>IF(ISNUMBER(A231),IF(ISERROR('Berechnungen 2'!BK434),"",'Berechnungen 2'!BK434),"")</f>
        <v/>
      </c>
      <c r="AH231" s="200">
        <f>IF(ISERROR('Berechnungen 2'!BL434),"",'Berechnungen 2'!BL434)</f>
        <v>0</v>
      </c>
      <c r="AI231" s="200">
        <f>IF(ISERROR('Berechnungen 2'!BM434),"",'Berechnungen 2'!BM434)</f>
        <v>0</v>
      </c>
    </row>
    <row r="232" spans="1:35" x14ac:dyDescent="0.2">
      <c r="A232" s="71" t="str">
        <f t="shared" si="73"/>
        <v/>
      </c>
      <c r="B232" s="193">
        <f t="shared" si="74"/>
        <v>220</v>
      </c>
      <c r="C232" s="192">
        <f ca="1">IF(ISERROR(LARGE('Berechnungen 1'!$A$12:$A$311,B232)),"",LARGE('Berechnungen 1'!$A$12:$A$311,B232))</f>
        <v>81</v>
      </c>
      <c r="D232" s="76" t="str">
        <f t="shared" si="75"/>
        <v/>
      </c>
      <c r="E232" s="76" t="str">
        <f t="shared" si="75"/>
        <v/>
      </c>
      <c r="F232" s="155" t="str">
        <f t="shared" si="61"/>
        <v/>
      </c>
      <c r="G232" s="204" t="str">
        <f t="shared" si="62"/>
        <v/>
      </c>
      <c r="H232" s="156" t="str">
        <f t="shared" si="63"/>
        <v/>
      </c>
      <c r="I232" s="155" t="str">
        <f t="shared" si="64"/>
        <v/>
      </c>
      <c r="J232" s="184">
        <f t="shared" ca="1" si="65"/>
        <v>999999</v>
      </c>
      <c r="K232" s="184">
        <f>IF(OR(ISBLANK('Etape 1'!E227),ISBLANK('Etape 1'!F227)),IF(AND(ISBLANK('Etape 1'!B227),ISBLANK('Etape 1'!C227),ISBLANK('Etape 1'!D227),ISBLANK('Etape 1'!E227),ISBLANK('Etape 1'!F227),ISBLANK('Etape 1'!G227),ISBLANK('Etape 1'!H227)),999,9999),IF(VLOOKUP($C232,Matrix_Berechnungen1.Rang.Pumpendaten.Zwischenresultate,$C$9,0)&gt;0,VLOOKUP($C232,Matrix_Berechnungen1.Rang.Pumpendaten.Zwischenresultate,K$9,0),""))</f>
        <v>999</v>
      </c>
      <c r="L232" s="184">
        <f t="shared" ca="1" si="76"/>
        <v>220</v>
      </c>
      <c r="M232" s="184">
        <f t="shared" ca="1" si="76"/>
        <v>0</v>
      </c>
      <c r="N232" s="84"/>
      <c r="O232" s="84"/>
      <c r="P232" s="84"/>
      <c r="Q232" s="69" t="str">
        <f t="shared" si="66"/>
        <v/>
      </c>
      <c r="R232" s="84"/>
      <c r="S232" s="65" t="str">
        <f t="shared" si="67"/>
        <v/>
      </c>
      <c r="T232" s="69" t="str">
        <f t="shared" si="68"/>
        <v/>
      </c>
      <c r="U232" s="84"/>
      <c r="V232" s="65" t="str">
        <f t="shared" si="69"/>
        <v/>
      </c>
      <c r="W232" s="108"/>
      <c r="X232" s="108"/>
      <c r="Y232" s="108"/>
      <c r="Z232" s="110" t="str">
        <f t="shared" si="70"/>
        <v/>
      </c>
      <c r="AA232" s="199">
        <f>IF(ISERROR('Berechnungen 2'!AR435),"",'Berechnungen 2'!AR435)</f>
        <v>0</v>
      </c>
      <c r="AB232" s="200">
        <f>IF(ISERROR('Berechnungen 2'!AS435),"",'Berechnungen 2'!AS435)</f>
        <v>0</v>
      </c>
      <c r="AC232" s="200">
        <f>IF(ISERROR('Berechnungen 2'!AT435),"",'Berechnungen 2'!AT435)</f>
        <v>0</v>
      </c>
      <c r="AD232" s="199">
        <f>IF(ISERROR('Berechnungen 2'!BE435),"",'Berechnungen 2'!BE435)</f>
        <v>0</v>
      </c>
      <c r="AE232" s="200">
        <f>IF(ISERROR('Berechnungen 2'!BF435),"",'Berechnungen 2'!BF435)</f>
        <v>0</v>
      </c>
      <c r="AF232" s="200">
        <f>IF(ISERROR('Berechnungen 2'!BG435),"",'Berechnungen 2'!BG435)</f>
        <v>0</v>
      </c>
      <c r="AG232" s="199" t="str">
        <f>IF(ISNUMBER(A232),IF(ISERROR('Berechnungen 2'!BK435),"",'Berechnungen 2'!BK435),"")</f>
        <v/>
      </c>
      <c r="AH232" s="200">
        <f>IF(ISERROR('Berechnungen 2'!BL435),"",'Berechnungen 2'!BL435)</f>
        <v>0</v>
      </c>
      <c r="AI232" s="200">
        <f>IF(ISERROR('Berechnungen 2'!BM435),"",'Berechnungen 2'!BM435)</f>
        <v>0</v>
      </c>
    </row>
    <row r="233" spans="1:35" x14ac:dyDescent="0.2">
      <c r="A233" s="71" t="str">
        <f t="shared" si="73"/>
        <v/>
      </c>
      <c r="B233" s="193">
        <f t="shared" si="74"/>
        <v>221</v>
      </c>
      <c r="C233" s="192">
        <f ca="1">IF(ISERROR(LARGE('Berechnungen 1'!$A$12:$A$311,B233)),"",LARGE('Berechnungen 1'!$A$12:$A$311,B233))</f>
        <v>80</v>
      </c>
      <c r="D233" s="76" t="str">
        <f t="shared" ref="D233:E252" si="77">IF(ISNUMBER($A233),IF(VLOOKUP($C233,Matrix_Berechnungen1.Rang.Pumpendaten.Zwischenresultate,$C$9,0)&gt;0,IF(VLOOKUP($C233,Matrix_Berechnungen1.Rang.Pumpendaten.Zwischenresultate,D$9,0)=0,"",VLOOKUP($C233,Matrix_Berechnungen1.Rang.Pumpendaten.Zwischenresultate,D$9,0)),""),"")</f>
        <v/>
      </c>
      <c r="E233" s="76" t="str">
        <f t="shared" si="77"/>
        <v/>
      </c>
      <c r="F233" s="155" t="str">
        <f t="shared" si="61"/>
        <v/>
      </c>
      <c r="G233" s="204" t="str">
        <f t="shared" si="62"/>
        <v/>
      </c>
      <c r="H233" s="156" t="str">
        <f t="shared" si="63"/>
        <v/>
      </c>
      <c r="I233" s="155" t="str">
        <f t="shared" si="64"/>
        <v/>
      </c>
      <c r="J233" s="184">
        <f t="shared" ca="1" si="65"/>
        <v>999999</v>
      </c>
      <c r="K233" s="184">
        <f>IF(OR(ISBLANK('Etape 1'!E228),ISBLANK('Etape 1'!F228)),IF(AND(ISBLANK('Etape 1'!B228),ISBLANK('Etape 1'!C228),ISBLANK('Etape 1'!D228),ISBLANK('Etape 1'!E228),ISBLANK('Etape 1'!F228),ISBLANK('Etape 1'!G228),ISBLANK('Etape 1'!H228)),999,9999),IF(VLOOKUP($C233,Matrix_Berechnungen1.Rang.Pumpendaten.Zwischenresultate,$C$9,0)&gt;0,VLOOKUP($C233,Matrix_Berechnungen1.Rang.Pumpendaten.Zwischenresultate,K$9,0),""))</f>
        <v>999</v>
      </c>
      <c r="L233" s="184">
        <f t="shared" ref="L233:M252" ca="1" si="78">IF(VLOOKUP($C233,Matrix_Berechnungen1.Rang.Pumpendaten.Zwischenresultate,$C$9,0)&gt;0,VLOOKUP($C233,Matrix_Berechnungen1.Rang.Pumpendaten.Zwischenresultate,L$9,0),"")</f>
        <v>221</v>
      </c>
      <c r="M233" s="184">
        <f t="shared" ca="1" si="78"/>
        <v>0</v>
      </c>
      <c r="N233" s="84"/>
      <c r="O233" s="84"/>
      <c r="P233" s="84"/>
      <c r="Q233" s="69" t="str">
        <f t="shared" si="66"/>
        <v/>
      </c>
      <c r="R233" s="84"/>
      <c r="S233" s="65" t="str">
        <f t="shared" si="67"/>
        <v/>
      </c>
      <c r="T233" s="69" t="str">
        <f t="shared" si="68"/>
        <v/>
      </c>
      <c r="U233" s="84"/>
      <c r="V233" s="65" t="str">
        <f t="shared" si="69"/>
        <v/>
      </c>
      <c r="W233" s="108"/>
      <c r="X233" s="108"/>
      <c r="Y233" s="108"/>
      <c r="Z233" s="110" t="str">
        <f t="shared" si="70"/>
        <v/>
      </c>
      <c r="AA233" s="199">
        <f>IF(ISERROR('Berechnungen 2'!AR436),"",'Berechnungen 2'!AR436)</f>
        <v>0</v>
      </c>
      <c r="AB233" s="200">
        <f>IF(ISERROR('Berechnungen 2'!AS436),"",'Berechnungen 2'!AS436)</f>
        <v>0</v>
      </c>
      <c r="AC233" s="200">
        <f>IF(ISERROR('Berechnungen 2'!AT436),"",'Berechnungen 2'!AT436)</f>
        <v>0</v>
      </c>
      <c r="AD233" s="199">
        <f>IF(ISERROR('Berechnungen 2'!BE436),"",'Berechnungen 2'!BE436)</f>
        <v>0</v>
      </c>
      <c r="AE233" s="200">
        <f>IF(ISERROR('Berechnungen 2'!BF436),"",'Berechnungen 2'!BF436)</f>
        <v>0</v>
      </c>
      <c r="AF233" s="200">
        <f>IF(ISERROR('Berechnungen 2'!BG436),"",'Berechnungen 2'!BG436)</f>
        <v>0</v>
      </c>
      <c r="AG233" s="199" t="str">
        <f>IF(ISNUMBER(A233),IF(ISERROR('Berechnungen 2'!BK436),"",'Berechnungen 2'!BK436),"")</f>
        <v/>
      </c>
      <c r="AH233" s="200">
        <f>IF(ISERROR('Berechnungen 2'!BL436),"",'Berechnungen 2'!BL436)</f>
        <v>0</v>
      </c>
      <c r="AI233" s="200">
        <f>IF(ISERROR('Berechnungen 2'!BM436),"",'Berechnungen 2'!BM436)</f>
        <v>0</v>
      </c>
    </row>
    <row r="234" spans="1:35" x14ac:dyDescent="0.2">
      <c r="A234" s="71" t="str">
        <f t="shared" si="73"/>
        <v/>
      </c>
      <c r="B234" s="193">
        <f t="shared" si="74"/>
        <v>222</v>
      </c>
      <c r="C234" s="192">
        <f ca="1">IF(ISERROR(LARGE('Berechnungen 1'!$A$12:$A$311,B234)),"",LARGE('Berechnungen 1'!$A$12:$A$311,B234))</f>
        <v>79</v>
      </c>
      <c r="D234" s="76" t="str">
        <f t="shared" si="77"/>
        <v/>
      </c>
      <c r="E234" s="76" t="str">
        <f t="shared" si="77"/>
        <v/>
      </c>
      <c r="F234" s="155" t="str">
        <f t="shared" si="61"/>
        <v/>
      </c>
      <c r="G234" s="204" t="str">
        <f t="shared" si="62"/>
        <v/>
      </c>
      <c r="H234" s="156" t="str">
        <f t="shared" si="63"/>
        <v/>
      </c>
      <c r="I234" s="155" t="str">
        <f t="shared" si="64"/>
        <v/>
      </c>
      <c r="J234" s="184">
        <f t="shared" ca="1" si="65"/>
        <v>999999</v>
      </c>
      <c r="K234" s="184">
        <f>IF(OR(ISBLANK('Etape 1'!E229),ISBLANK('Etape 1'!F229)),IF(AND(ISBLANK('Etape 1'!B229),ISBLANK('Etape 1'!C229),ISBLANK('Etape 1'!D229),ISBLANK('Etape 1'!E229),ISBLANK('Etape 1'!F229),ISBLANK('Etape 1'!G229),ISBLANK('Etape 1'!H229)),999,9999),IF(VLOOKUP($C234,Matrix_Berechnungen1.Rang.Pumpendaten.Zwischenresultate,$C$9,0)&gt;0,VLOOKUP($C234,Matrix_Berechnungen1.Rang.Pumpendaten.Zwischenresultate,K$9,0),""))</f>
        <v>999</v>
      </c>
      <c r="L234" s="184">
        <f t="shared" ca="1" si="78"/>
        <v>222</v>
      </c>
      <c r="M234" s="184">
        <f t="shared" ca="1" si="78"/>
        <v>0</v>
      </c>
      <c r="N234" s="84"/>
      <c r="O234" s="84"/>
      <c r="P234" s="84"/>
      <c r="Q234" s="69" t="str">
        <f t="shared" si="66"/>
        <v/>
      </c>
      <c r="R234" s="84"/>
      <c r="S234" s="65" t="str">
        <f t="shared" si="67"/>
        <v/>
      </c>
      <c r="T234" s="69" t="str">
        <f t="shared" si="68"/>
        <v/>
      </c>
      <c r="U234" s="84"/>
      <c r="V234" s="65" t="str">
        <f t="shared" si="69"/>
        <v/>
      </c>
      <c r="W234" s="108"/>
      <c r="X234" s="108"/>
      <c r="Y234" s="108"/>
      <c r="Z234" s="110" t="str">
        <f t="shared" si="70"/>
        <v/>
      </c>
      <c r="AA234" s="199">
        <f>IF(ISERROR('Berechnungen 2'!AR437),"",'Berechnungen 2'!AR437)</f>
        <v>0</v>
      </c>
      <c r="AB234" s="200">
        <f>IF(ISERROR('Berechnungen 2'!AS437),"",'Berechnungen 2'!AS437)</f>
        <v>0</v>
      </c>
      <c r="AC234" s="200">
        <f>IF(ISERROR('Berechnungen 2'!AT437),"",'Berechnungen 2'!AT437)</f>
        <v>0</v>
      </c>
      <c r="AD234" s="199">
        <f>IF(ISERROR('Berechnungen 2'!BE437),"",'Berechnungen 2'!BE437)</f>
        <v>0</v>
      </c>
      <c r="AE234" s="200">
        <f>IF(ISERROR('Berechnungen 2'!BF437),"",'Berechnungen 2'!BF437)</f>
        <v>0</v>
      </c>
      <c r="AF234" s="200">
        <f>IF(ISERROR('Berechnungen 2'!BG437),"",'Berechnungen 2'!BG437)</f>
        <v>0</v>
      </c>
      <c r="AG234" s="199" t="str">
        <f>IF(ISNUMBER(A234),IF(ISERROR('Berechnungen 2'!BK437),"",'Berechnungen 2'!BK437),"")</f>
        <v/>
      </c>
      <c r="AH234" s="200">
        <f>IF(ISERROR('Berechnungen 2'!BL437),"",'Berechnungen 2'!BL437)</f>
        <v>0</v>
      </c>
      <c r="AI234" s="200">
        <f>IF(ISERROR('Berechnungen 2'!BM437),"",'Berechnungen 2'!BM437)</f>
        <v>0</v>
      </c>
    </row>
    <row r="235" spans="1:35" x14ac:dyDescent="0.2">
      <c r="A235" s="71" t="str">
        <f t="shared" si="73"/>
        <v/>
      </c>
      <c r="B235" s="193">
        <f t="shared" si="74"/>
        <v>223</v>
      </c>
      <c r="C235" s="192">
        <f ca="1">IF(ISERROR(LARGE('Berechnungen 1'!$A$12:$A$311,B235)),"",LARGE('Berechnungen 1'!$A$12:$A$311,B235))</f>
        <v>78</v>
      </c>
      <c r="D235" s="76" t="str">
        <f t="shared" si="77"/>
        <v/>
      </c>
      <c r="E235" s="76" t="str">
        <f t="shared" si="77"/>
        <v/>
      </c>
      <c r="F235" s="155" t="str">
        <f t="shared" si="61"/>
        <v/>
      </c>
      <c r="G235" s="204" t="str">
        <f t="shared" si="62"/>
        <v/>
      </c>
      <c r="H235" s="156" t="str">
        <f t="shared" si="63"/>
        <v/>
      </c>
      <c r="I235" s="155" t="str">
        <f t="shared" si="64"/>
        <v/>
      </c>
      <c r="J235" s="184">
        <f t="shared" ca="1" si="65"/>
        <v>999999</v>
      </c>
      <c r="K235" s="184">
        <f>IF(OR(ISBLANK('Etape 1'!E230),ISBLANK('Etape 1'!F230)),IF(AND(ISBLANK('Etape 1'!B230),ISBLANK('Etape 1'!C230),ISBLANK('Etape 1'!D230),ISBLANK('Etape 1'!E230),ISBLANK('Etape 1'!F230),ISBLANK('Etape 1'!G230),ISBLANK('Etape 1'!H230)),999,9999),IF(VLOOKUP($C235,Matrix_Berechnungen1.Rang.Pumpendaten.Zwischenresultate,$C$9,0)&gt;0,VLOOKUP($C235,Matrix_Berechnungen1.Rang.Pumpendaten.Zwischenresultate,K$9,0),""))</f>
        <v>999</v>
      </c>
      <c r="L235" s="184">
        <f t="shared" ca="1" si="78"/>
        <v>223</v>
      </c>
      <c r="M235" s="184">
        <f t="shared" ca="1" si="78"/>
        <v>0</v>
      </c>
      <c r="N235" s="84"/>
      <c r="O235" s="84"/>
      <c r="P235" s="84"/>
      <c r="Q235" s="69" t="str">
        <f t="shared" si="66"/>
        <v/>
      </c>
      <c r="R235" s="84"/>
      <c r="S235" s="65" t="str">
        <f t="shared" si="67"/>
        <v/>
      </c>
      <c r="T235" s="69" t="str">
        <f t="shared" si="68"/>
        <v/>
      </c>
      <c r="U235" s="84"/>
      <c r="V235" s="65" t="str">
        <f t="shared" si="69"/>
        <v/>
      </c>
      <c r="W235" s="108"/>
      <c r="X235" s="108"/>
      <c r="Y235" s="108"/>
      <c r="Z235" s="110" t="str">
        <f t="shared" si="70"/>
        <v/>
      </c>
      <c r="AA235" s="199">
        <f>IF(ISERROR('Berechnungen 2'!AR438),"",'Berechnungen 2'!AR438)</f>
        <v>0</v>
      </c>
      <c r="AB235" s="200">
        <f>IF(ISERROR('Berechnungen 2'!AS438),"",'Berechnungen 2'!AS438)</f>
        <v>0</v>
      </c>
      <c r="AC235" s="200">
        <f>IF(ISERROR('Berechnungen 2'!AT438),"",'Berechnungen 2'!AT438)</f>
        <v>0</v>
      </c>
      <c r="AD235" s="199">
        <f>IF(ISERROR('Berechnungen 2'!BE438),"",'Berechnungen 2'!BE438)</f>
        <v>0</v>
      </c>
      <c r="AE235" s="200">
        <f>IF(ISERROR('Berechnungen 2'!BF438),"",'Berechnungen 2'!BF438)</f>
        <v>0</v>
      </c>
      <c r="AF235" s="200">
        <f>IF(ISERROR('Berechnungen 2'!BG438),"",'Berechnungen 2'!BG438)</f>
        <v>0</v>
      </c>
      <c r="AG235" s="199" t="str">
        <f>IF(ISNUMBER(A235),IF(ISERROR('Berechnungen 2'!BK438),"",'Berechnungen 2'!BK438),"")</f>
        <v/>
      </c>
      <c r="AH235" s="200">
        <f>IF(ISERROR('Berechnungen 2'!BL438),"",'Berechnungen 2'!BL438)</f>
        <v>0</v>
      </c>
      <c r="AI235" s="200">
        <f>IF(ISERROR('Berechnungen 2'!BM438),"",'Berechnungen 2'!BM438)</f>
        <v>0</v>
      </c>
    </row>
    <row r="236" spans="1:35" x14ac:dyDescent="0.2">
      <c r="A236" s="71" t="str">
        <f t="shared" si="73"/>
        <v/>
      </c>
      <c r="B236" s="193">
        <f t="shared" si="74"/>
        <v>224</v>
      </c>
      <c r="C236" s="192">
        <f ca="1">IF(ISERROR(LARGE('Berechnungen 1'!$A$12:$A$311,B236)),"",LARGE('Berechnungen 1'!$A$12:$A$311,B236))</f>
        <v>77</v>
      </c>
      <c r="D236" s="76" t="str">
        <f t="shared" si="77"/>
        <v/>
      </c>
      <c r="E236" s="76" t="str">
        <f t="shared" si="77"/>
        <v/>
      </c>
      <c r="F236" s="155" t="str">
        <f t="shared" si="61"/>
        <v/>
      </c>
      <c r="G236" s="204" t="str">
        <f t="shared" si="62"/>
        <v/>
      </c>
      <c r="H236" s="156" t="str">
        <f t="shared" si="63"/>
        <v/>
      </c>
      <c r="I236" s="155" t="str">
        <f t="shared" si="64"/>
        <v/>
      </c>
      <c r="J236" s="184">
        <f t="shared" ca="1" si="65"/>
        <v>999999</v>
      </c>
      <c r="K236" s="184">
        <f>IF(OR(ISBLANK('Etape 1'!E231),ISBLANK('Etape 1'!F231)),IF(AND(ISBLANK('Etape 1'!B231),ISBLANK('Etape 1'!C231),ISBLANK('Etape 1'!D231),ISBLANK('Etape 1'!E231),ISBLANK('Etape 1'!F231),ISBLANK('Etape 1'!G231),ISBLANK('Etape 1'!H231)),999,9999),IF(VLOOKUP($C236,Matrix_Berechnungen1.Rang.Pumpendaten.Zwischenresultate,$C$9,0)&gt;0,VLOOKUP($C236,Matrix_Berechnungen1.Rang.Pumpendaten.Zwischenresultate,K$9,0),""))</f>
        <v>999</v>
      </c>
      <c r="L236" s="184">
        <f t="shared" ca="1" si="78"/>
        <v>224</v>
      </c>
      <c r="M236" s="184">
        <f t="shared" ca="1" si="78"/>
        <v>0</v>
      </c>
      <c r="N236" s="84"/>
      <c r="O236" s="84"/>
      <c r="P236" s="84"/>
      <c r="Q236" s="69" t="str">
        <f t="shared" si="66"/>
        <v/>
      </c>
      <c r="R236" s="84"/>
      <c r="S236" s="65" t="str">
        <f t="shared" si="67"/>
        <v/>
      </c>
      <c r="T236" s="69" t="str">
        <f t="shared" si="68"/>
        <v/>
      </c>
      <c r="U236" s="84"/>
      <c r="V236" s="65" t="str">
        <f t="shared" si="69"/>
        <v/>
      </c>
      <c r="W236" s="108"/>
      <c r="X236" s="108"/>
      <c r="Y236" s="108"/>
      <c r="Z236" s="110" t="str">
        <f t="shared" si="70"/>
        <v/>
      </c>
      <c r="AA236" s="199">
        <f>IF(ISERROR('Berechnungen 2'!AR439),"",'Berechnungen 2'!AR439)</f>
        <v>0</v>
      </c>
      <c r="AB236" s="200">
        <f>IF(ISERROR('Berechnungen 2'!AS439),"",'Berechnungen 2'!AS439)</f>
        <v>0</v>
      </c>
      <c r="AC236" s="200">
        <f>IF(ISERROR('Berechnungen 2'!AT439),"",'Berechnungen 2'!AT439)</f>
        <v>0</v>
      </c>
      <c r="AD236" s="199">
        <f>IF(ISERROR('Berechnungen 2'!BE439),"",'Berechnungen 2'!BE439)</f>
        <v>0</v>
      </c>
      <c r="AE236" s="200">
        <f>IF(ISERROR('Berechnungen 2'!BF439),"",'Berechnungen 2'!BF439)</f>
        <v>0</v>
      </c>
      <c r="AF236" s="200">
        <f>IF(ISERROR('Berechnungen 2'!BG439),"",'Berechnungen 2'!BG439)</f>
        <v>0</v>
      </c>
      <c r="AG236" s="199" t="str">
        <f>IF(ISNUMBER(A236),IF(ISERROR('Berechnungen 2'!BK439),"",'Berechnungen 2'!BK439),"")</f>
        <v/>
      </c>
      <c r="AH236" s="200">
        <f>IF(ISERROR('Berechnungen 2'!BL439),"",'Berechnungen 2'!BL439)</f>
        <v>0</v>
      </c>
      <c r="AI236" s="200">
        <f>IF(ISERROR('Berechnungen 2'!BM439),"",'Berechnungen 2'!BM439)</f>
        <v>0</v>
      </c>
    </row>
    <row r="237" spans="1:35" x14ac:dyDescent="0.2">
      <c r="A237" s="71" t="str">
        <f t="shared" si="73"/>
        <v/>
      </c>
      <c r="B237" s="193">
        <f t="shared" si="74"/>
        <v>225</v>
      </c>
      <c r="C237" s="192">
        <f ca="1">IF(ISERROR(LARGE('Berechnungen 1'!$A$12:$A$311,B237)),"",LARGE('Berechnungen 1'!$A$12:$A$311,B237))</f>
        <v>76</v>
      </c>
      <c r="D237" s="76" t="str">
        <f t="shared" si="77"/>
        <v/>
      </c>
      <c r="E237" s="76" t="str">
        <f t="shared" si="77"/>
        <v/>
      </c>
      <c r="F237" s="155" t="str">
        <f t="shared" si="61"/>
        <v/>
      </c>
      <c r="G237" s="204" t="str">
        <f t="shared" si="62"/>
        <v/>
      </c>
      <c r="H237" s="156" t="str">
        <f t="shared" si="63"/>
        <v/>
      </c>
      <c r="I237" s="155" t="str">
        <f t="shared" si="64"/>
        <v/>
      </c>
      <c r="J237" s="184">
        <f t="shared" ca="1" si="65"/>
        <v>999999</v>
      </c>
      <c r="K237" s="184">
        <f>IF(OR(ISBLANK('Etape 1'!E232),ISBLANK('Etape 1'!F232)),IF(AND(ISBLANK('Etape 1'!B232),ISBLANK('Etape 1'!C232),ISBLANK('Etape 1'!D232),ISBLANK('Etape 1'!E232),ISBLANK('Etape 1'!F232),ISBLANK('Etape 1'!G232),ISBLANK('Etape 1'!H232)),999,9999),IF(VLOOKUP($C237,Matrix_Berechnungen1.Rang.Pumpendaten.Zwischenresultate,$C$9,0)&gt;0,VLOOKUP($C237,Matrix_Berechnungen1.Rang.Pumpendaten.Zwischenresultate,K$9,0),""))</f>
        <v>999</v>
      </c>
      <c r="L237" s="184">
        <f t="shared" ca="1" si="78"/>
        <v>225</v>
      </c>
      <c r="M237" s="184">
        <f t="shared" ca="1" si="78"/>
        <v>0</v>
      </c>
      <c r="N237" s="84"/>
      <c r="O237" s="84"/>
      <c r="P237" s="84"/>
      <c r="Q237" s="69" t="str">
        <f t="shared" si="66"/>
        <v/>
      </c>
      <c r="R237" s="84"/>
      <c r="S237" s="65" t="str">
        <f t="shared" si="67"/>
        <v/>
      </c>
      <c r="T237" s="69" t="str">
        <f t="shared" si="68"/>
        <v/>
      </c>
      <c r="U237" s="84"/>
      <c r="V237" s="65" t="str">
        <f t="shared" si="69"/>
        <v/>
      </c>
      <c r="W237" s="108"/>
      <c r="X237" s="108"/>
      <c r="Y237" s="108"/>
      <c r="Z237" s="110" t="str">
        <f t="shared" si="70"/>
        <v/>
      </c>
      <c r="AA237" s="199">
        <f>IF(ISERROR('Berechnungen 2'!AR440),"",'Berechnungen 2'!AR440)</f>
        <v>0</v>
      </c>
      <c r="AB237" s="200">
        <f>IF(ISERROR('Berechnungen 2'!AS440),"",'Berechnungen 2'!AS440)</f>
        <v>0</v>
      </c>
      <c r="AC237" s="200">
        <f>IF(ISERROR('Berechnungen 2'!AT440),"",'Berechnungen 2'!AT440)</f>
        <v>0</v>
      </c>
      <c r="AD237" s="199">
        <f>IF(ISERROR('Berechnungen 2'!BE440),"",'Berechnungen 2'!BE440)</f>
        <v>0</v>
      </c>
      <c r="AE237" s="200">
        <f>IF(ISERROR('Berechnungen 2'!BF440),"",'Berechnungen 2'!BF440)</f>
        <v>0</v>
      </c>
      <c r="AF237" s="200">
        <f>IF(ISERROR('Berechnungen 2'!BG440),"",'Berechnungen 2'!BG440)</f>
        <v>0</v>
      </c>
      <c r="AG237" s="199" t="str">
        <f>IF(ISNUMBER(A237),IF(ISERROR('Berechnungen 2'!BK440),"",'Berechnungen 2'!BK440),"")</f>
        <v/>
      </c>
      <c r="AH237" s="200">
        <f>IF(ISERROR('Berechnungen 2'!BL440),"",'Berechnungen 2'!BL440)</f>
        <v>0</v>
      </c>
      <c r="AI237" s="200">
        <f>IF(ISERROR('Berechnungen 2'!BM440),"",'Berechnungen 2'!BM440)</f>
        <v>0</v>
      </c>
    </row>
    <row r="238" spans="1:35" x14ac:dyDescent="0.2">
      <c r="A238" s="71" t="str">
        <f t="shared" si="73"/>
        <v/>
      </c>
      <c r="B238" s="193">
        <f t="shared" si="74"/>
        <v>226</v>
      </c>
      <c r="C238" s="192">
        <f ca="1">IF(ISERROR(LARGE('Berechnungen 1'!$A$12:$A$311,B238)),"",LARGE('Berechnungen 1'!$A$12:$A$311,B238))</f>
        <v>75</v>
      </c>
      <c r="D238" s="76" t="str">
        <f t="shared" si="77"/>
        <v/>
      </c>
      <c r="E238" s="76" t="str">
        <f t="shared" si="77"/>
        <v/>
      </c>
      <c r="F238" s="155" t="str">
        <f t="shared" si="61"/>
        <v/>
      </c>
      <c r="G238" s="204" t="str">
        <f t="shared" si="62"/>
        <v/>
      </c>
      <c r="H238" s="156" t="str">
        <f t="shared" si="63"/>
        <v/>
      </c>
      <c r="I238" s="155" t="str">
        <f t="shared" si="64"/>
        <v/>
      </c>
      <c r="J238" s="184">
        <f t="shared" ca="1" si="65"/>
        <v>999999</v>
      </c>
      <c r="K238" s="184">
        <f>IF(OR(ISBLANK('Etape 1'!E233),ISBLANK('Etape 1'!F233)),IF(AND(ISBLANK('Etape 1'!B233),ISBLANK('Etape 1'!C233),ISBLANK('Etape 1'!D233),ISBLANK('Etape 1'!E233),ISBLANK('Etape 1'!F233),ISBLANK('Etape 1'!G233),ISBLANK('Etape 1'!H233)),999,9999),IF(VLOOKUP($C238,Matrix_Berechnungen1.Rang.Pumpendaten.Zwischenresultate,$C$9,0)&gt;0,VLOOKUP($C238,Matrix_Berechnungen1.Rang.Pumpendaten.Zwischenresultate,K$9,0),""))</f>
        <v>999</v>
      </c>
      <c r="L238" s="184">
        <f t="shared" ca="1" si="78"/>
        <v>226</v>
      </c>
      <c r="M238" s="184">
        <f t="shared" ca="1" si="78"/>
        <v>0</v>
      </c>
      <c r="N238" s="84"/>
      <c r="O238" s="84"/>
      <c r="P238" s="84"/>
      <c r="Q238" s="69" t="str">
        <f t="shared" si="66"/>
        <v/>
      </c>
      <c r="R238" s="84"/>
      <c r="S238" s="65" t="str">
        <f t="shared" si="67"/>
        <v/>
      </c>
      <c r="T238" s="69" t="str">
        <f t="shared" si="68"/>
        <v/>
      </c>
      <c r="U238" s="84"/>
      <c r="V238" s="65" t="str">
        <f t="shared" si="69"/>
        <v/>
      </c>
      <c r="W238" s="108"/>
      <c r="X238" s="108"/>
      <c r="Y238" s="108"/>
      <c r="Z238" s="110" t="str">
        <f t="shared" si="70"/>
        <v/>
      </c>
      <c r="AA238" s="199">
        <f>IF(ISERROR('Berechnungen 2'!AR441),"",'Berechnungen 2'!AR441)</f>
        <v>0</v>
      </c>
      <c r="AB238" s="200">
        <f>IF(ISERROR('Berechnungen 2'!AS441),"",'Berechnungen 2'!AS441)</f>
        <v>0</v>
      </c>
      <c r="AC238" s="200">
        <f>IF(ISERROR('Berechnungen 2'!AT441),"",'Berechnungen 2'!AT441)</f>
        <v>0</v>
      </c>
      <c r="AD238" s="199">
        <f>IF(ISERROR('Berechnungen 2'!BE441),"",'Berechnungen 2'!BE441)</f>
        <v>0</v>
      </c>
      <c r="AE238" s="200">
        <f>IF(ISERROR('Berechnungen 2'!BF441),"",'Berechnungen 2'!BF441)</f>
        <v>0</v>
      </c>
      <c r="AF238" s="200">
        <f>IF(ISERROR('Berechnungen 2'!BG441),"",'Berechnungen 2'!BG441)</f>
        <v>0</v>
      </c>
      <c r="AG238" s="199" t="str">
        <f>IF(ISNUMBER(A238),IF(ISERROR('Berechnungen 2'!BK441),"",'Berechnungen 2'!BK441),"")</f>
        <v/>
      </c>
      <c r="AH238" s="200">
        <f>IF(ISERROR('Berechnungen 2'!BL441),"",'Berechnungen 2'!BL441)</f>
        <v>0</v>
      </c>
      <c r="AI238" s="200">
        <f>IF(ISERROR('Berechnungen 2'!BM441),"",'Berechnungen 2'!BM441)</f>
        <v>0</v>
      </c>
    </row>
    <row r="239" spans="1:35" x14ac:dyDescent="0.2">
      <c r="A239" s="71" t="str">
        <f t="shared" si="73"/>
        <v/>
      </c>
      <c r="B239" s="193">
        <f t="shared" si="74"/>
        <v>227</v>
      </c>
      <c r="C239" s="192">
        <f ca="1">IF(ISERROR(LARGE('Berechnungen 1'!$A$12:$A$311,B239)),"",LARGE('Berechnungen 1'!$A$12:$A$311,B239))</f>
        <v>74</v>
      </c>
      <c r="D239" s="76" t="str">
        <f t="shared" si="77"/>
        <v/>
      </c>
      <c r="E239" s="76" t="str">
        <f t="shared" si="77"/>
        <v/>
      </c>
      <c r="F239" s="155" t="str">
        <f t="shared" ref="F239:F302" si="79">IF(ISNUMBER(A239),IF(VLOOKUP($C239,Matrix_Berechnungen1.Rang.Pumpendaten.Zwischenresultate,C$9,0)&gt;0,IF(VLOOKUP($C239,Matrix_Berechnungen1.Rang.Pumpendaten.Zwischenresultate,F$9,0)=0,"",VLOOKUP($C239,Matrix_Berechnungen1.Rang.Pumpendaten.Zwischenresultate,F$9,0)),""),"")</f>
        <v/>
      </c>
      <c r="G239" s="204" t="str">
        <f t="shared" ref="G239:G302" si="80">IF(ISNUMBER(A239),IF(VLOOKUP($C239,Matrix_Berechnungen1.Rang.Pumpendaten.Zwischenresultate,C$9,0)&gt;0,IF(VLOOKUP($C239,Matrix_Berechnungen1.Rang.Pumpendaten.Zwischenresultate,G$9,0)=0,"",VLOOKUP($C239,Matrix_Berechnungen1.Rang.Pumpendaten.Zwischenresultate,G$9,0)),""),"")</f>
        <v/>
      </c>
      <c r="H239" s="156" t="str">
        <f t="shared" ref="H239:H302" si="81">IF(ISNUMBER(A239),IF(VLOOKUP($C239,Matrix_Berechnungen1.Rang.Pumpendaten.Zwischenresultate,C$9,0)&gt;0,IF(VLOOKUP($C239,Matrix_Berechnungen1.Rang.Pumpendaten.Zwischenresultate,H$9,0)=0,"",VLOOKUP($C239,Matrix_Berechnungen1.Rang.Pumpendaten.Zwischenresultate,H$9,0)),""),"")</f>
        <v/>
      </c>
      <c r="I239" s="155" t="str">
        <f t="shared" ref="I239:I302" si="82">IF(ISNUMBER(A239),IF(VLOOKUP($C239,Matrix_Berechnungen1.Rang.Pumpendaten.Zwischenresultate,C$9,0)&gt;0,IF(VLOOKUP($C239,Matrix_Berechnungen1.Rang.Pumpendaten.Zwischenresultate,I$9,0)=0,"",VLOOKUP($C239,Matrix_Berechnungen1.Rang.Pumpendaten.Zwischenresultate,I$9,0)),""),"")</f>
        <v/>
      </c>
      <c r="J239" s="184">
        <f t="shared" ref="J239:J302" ca="1" si="83">IF(VLOOKUP($C239,Matrix_Berechnungen1.Rang.Pumpendaten.Zwischenresultate,C$9,0)&gt;0,VLOOKUP($C239,Matrix_Berechnungen1.Rang.Pumpendaten.Zwischenresultate,J$9,0),"")</f>
        <v>999999</v>
      </c>
      <c r="K239" s="184">
        <f>IF(OR(ISBLANK('Etape 1'!E234),ISBLANK('Etape 1'!F234)),IF(AND(ISBLANK('Etape 1'!B234),ISBLANK('Etape 1'!C234),ISBLANK('Etape 1'!D234),ISBLANK('Etape 1'!E234),ISBLANK('Etape 1'!F234),ISBLANK('Etape 1'!G234),ISBLANK('Etape 1'!H234)),999,9999),IF(VLOOKUP($C239,Matrix_Berechnungen1.Rang.Pumpendaten.Zwischenresultate,$C$9,0)&gt;0,VLOOKUP($C239,Matrix_Berechnungen1.Rang.Pumpendaten.Zwischenresultate,K$9,0),""))</f>
        <v>999</v>
      </c>
      <c r="L239" s="184">
        <f t="shared" ca="1" si="78"/>
        <v>227</v>
      </c>
      <c r="M239" s="184">
        <f t="shared" ca="1" si="78"/>
        <v>0</v>
      </c>
      <c r="N239" s="84"/>
      <c r="O239" s="84"/>
      <c r="P239" s="84"/>
      <c r="Q239" s="69" t="str">
        <f t="shared" ref="Q239:Q302" si="84">IF(ISNUMBER(A239),St.Wert_Motor.Pole.Anzahl,"")</f>
        <v/>
      </c>
      <c r="R239" s="84"/>
      <c r="S239" s="65" t="str">
        <f t="shared" ref="S239:S302" si="85">IF(ISBLANK(R239),Q239,R239)</f>
        <v/>
      </c>
      <c r="T239" s="69" t="str">
        <f t="shared" ref="T239:T302" si="86">IF(ISNUMBER(A239),VLOOKUP($C239,Matrix_Berechnungen1.Rang.Pumpendaten.Zwischenresultate,T$9,0),"")</f>
        <v/>
      </c>
      <c r="U239" s="84"/>
      <c r="V239" s="65" t="str">
        <f t="shared" ref="V239:V302" si="87">IF(ISBLANK(U239),T239,U239)</f>
        <v/>
      </c>
      <c r="W239" s="108"/>
      <c r="X239" s="108"/>
      <c r="Y239" s="108"/>
      <c r="Z239" s="110" t="str">
        <f t="shared" ref="Z239:Z302" si="88">IF(ISNUMBER(A239),IF(ISNUMBER(H239),H239-SUM(W239:Y239),0-SUM(W239:Y239)),"")</f>
        <v/>
      </c>
      <c r="AA239" s="199">
        <f>IF(ISERROR('Berechnungen 2'!AR442),"",'Berechnungen 2'!AR442)</f>
        <v>0</v>
      </c>
      <c r="AB239" s="200">
        <f>IF(ISERROR('Berechnungen 2'!AS442),"",'Berechnungen 2'!AS442)</f>
        <v>0</v>
      </c>
      <c r="AC239" s="200">
        <f>IF(ISERROR('Berechnungen 2'!AT442),"",'Berechnungen 2'!AT442)</f>
        <v>0</v>
      </c>
      <c r="AD239" s="199">
        <f>IF(ISERROR('Berechnungen 2'!BE442),"",'Berechnungen 2'!BE442)</f>
        <v>0</v>
      </c>
      <c r="AE239" s="200">
        <f>IF(ISERROR('Berechnungen 2'!BF442),"",'Berechnungen 2'!BF442)</f>
        <v>0</v>
      </c>
      <c r="AF239" s="200">
        <f>IF(ISERROR('Berechnungen 2'!BG442),"",'Berechnungen 2'!BG442)</f>
        <v>0</v>
      </c>
      <c r="AG239" s="199" t="str">
        <f>IF(ISNUMBER(A239),IF(ISERROR('Berechnungen 2'!BK442),"",'Berechnungen 2'!BK442),"")</f>
        <v/>
      </c>
      <c r="AH239" s="200">
        <f>IF(ISERROR('Berechnungen 2'!BL442),"",'Berechnungen 2'!BL442)</f>
        <v>0</v>
      </c>
      <c r="AI239" s="200">
        <f>IF(ISERROR('Berechnungen 2'!BM442),"",'Berechnungen 2'!BM442)</f>
        <v>0</v>
      </c>
    </row>
    <row r="240" spans="1:35" x14ac:dyDescent="0.2">
      <c r="A240" s="71" t="str">
        <f t="shared" si="73"/>
        <v/>
      </c>
      <c r="B240" s="193">
        <f t="shared" si="74"/>
        <v>228</v>
      </c>
      <c r="C240" s="192">
        <f ca="1">IF(ISERROR(LARGE('Berechnungen 1'!$A$12:$A$311,B240)),"",LARGE('Berechnungen 1'!$A$12:$A$311,B240))</f>
        <v>73</v>
      </c>
      <c r="D240" s="76" t="str">
        <f t="shared" si="77"/>
        <v/>
      </c>
      <c r="E240" s="76" t="str">
        <f t="shared" si="77"/>
        <v/>
      </c>
      <c r="F240" s="155" t="str">
        <f t="shared" si="79"/>
        <v/>
      </c>
      <c r="G240" s="204" t="str">
        <f t="shared" si="80"/>
        <v/>
      </c>
      <c r="H240" s="156" t="str">
        <f t="shared" si="81"/>
        <v/>
      </c>
      <c r="I240" s="155" t="str">
        <f t="shared" si="82"/>
        <v/>
      </c>
      <c r="J240" s="184">
        <f t="shared" ca="1" si="83"/>
        <v>999999</v>
      </c>
      <c r="K240" s="184">
        <f>IF(OR(ISBLANK('Etape 1'!E235),ISBLANK('Etape 1'!F235)),IF(AND(ISBLANK('Etape 1'!B235),ISBLANK('Etape 1'!C235),ISBLANK('Etape 1'!D235),ISBLANK('Etape 1'!E235),ISBLANK('Etape 1'!F235),ISBLANK('Etape 1'!G235),ISBLANK('Etape 1'!H235)),999,9999),IF(VLOOKUP($C240,Matrix_Berechnungen1.Rang.Pumpendaten.Zwischenresultate,$C$9,0)&gt;0,VLOOKUP($C240,Matrix_Berechnungen1.Rang.Pumpendaten.Zwischenresultate,K$9,0),""))</f>
        <v>999</v>
      </c>
      <c r="L240" s="184">
        <f t="shared" ca="1" si="78"/>
        <v>228</v>
      </c>
      <c r="M240" s="184">
        <f t="shared" ca="1" si="78"/>
        <v>0</v>
      </c>
      <c r="N240" s="84"/>
      <c r="O240" s="84"/>
      <c r="P240" s="84"/>
      <c r="Q240" s="69" t="str">
        <f t="shared" si="84"/>
        <v/>
      </c>
      <c r="R240" s="84"/>
      <c r="S240" s="65" t="str">
        <f t="shared" si="85"/>
        <v/>
      </c>
      <c r="T240" s="69" t="str">
        <f t="shared" si="86"/>
        <v/>
      </c>
      <c r="U240" s="84"/>
      <c r="V240" s="65" t="str">
        <f t="shared" si="87"/>
        <v/>
      </c>
      <c r="W240" s="108"/>
      <c r="X240" s="108"/>
      <c r="Y240" s="108"/>
      <c r="Z240" s="110" t="str">
        <f t="shared" si="88"/>
        <v/>
      </c>
      <c r="AA240" s="199">
        <f>IF(ISERROR('Berechnungen 2'!AR443),"",'Berechnungen 2'!AR443)</f>
        <v>0</v>
      </c>
      <c r="AB240" s="200">
        <f>IF(ISERROR('Berechnungen 2'!AS443),"",'Berechnungen 2'!AS443)</f>
        <v>0</v>
      </c>
      <c r="AC240" s="200">
        <f>IF(ISERROR('Berechnungen 2'!AT443),"",'Berechnungen 2'!AT443)</f>
        <v>0</v>
      </c>
      <c r="AD240" s="199">
        <f>IF(ISERROR('Berechnungen 2'!BE443),"",'Berechnungen 2'!BE443)</f>
        <v>0</v>
      </c>
      <c r="AE240" s="200">
        <f>IF(ISERROR('Berechnungen 2'!BF443),"",'Berechnungen 2'!BF443)</f>
        <v>0</v>
      </c>
      <c r="AF240" s="200">
        <f>IF(ISERROR('Berechnungen 2'!BG443),"",'Berechnungen 2'!BG443)</f>
        <v>0</v>
      </c>
      <c r="AG240" s="199" t="str">
        <f>IF(ISNUMBER(A240),IF(ISERROR('Berechnungen 2'!BK443),"",'Berechnungen 2'!BK443),"")</f>
        <v/>
      </c>
      <c r="AH240" s="200">
        <f>IF(ISERROR('Berechnungen 2'!BL443),"",'Berechnungen 2'!BL443)</f>
        <v>0</v>
      </c>
      <c r="AI240" s="200">
        <f>IF(ISERROR('Berechnungen 2'!BM443),"",'Berechnungen 2'!BM443)</f>
        <v>0</v>
      </c>
    </row>
    <row r="241" spans="1:35" x14ac:dyDescent="0.2">
      <c r="A241" s="71" t="str">
        <f t="shared" si="73"/>
        <v/>
      </c>
      <c r="B241" s="193">
        <f t="shared" si="74"/>
        <v>229</v>
      </c>
      <c r="C241" s="192">
        <f ca="1">IF(ISERROR(LARGE('Berechnungen 1'!$A$12:$A$311,B241)),"",LARGE('Berechnungen 1'!$A$12:$A$311,B241))</f>
        <v>72</v>
      </c>
      <c r="D241" s="76" t="str">
        <f t="shared" si="77"/>
        <v/>
      </c>
      <c r="E241" s="76" t="str">
        <f t="shared" si="77"/>
        <v/>
      </c>
      <c r="F241" s="155" t="str">
        <f t="shared" si="79"/>
        <v/>
      </c>
      <c r="G241" s="204" t="str">
        <f t="shared" si="80"/>
        <v/>
      </c>
      <c r="H241" s="156" t="str">
        <f t="shared" si="81"/>
        <v/>
      </c>
      <c r="I241" s="155" t="str">
        <f t="shared" si="82"/>
        <v/>
      </c>
      <c r="J241" s="184">
        <f t="shared" ca="1" si="83"/>
        <v>999999</v>
      </c>
      <c r="K241" s="184">
        <f>IF(OR(ISBLANK('Etape 1'!E236),ISBLANK('Etape 1'!F236)),IF(AND(ISBLANK('Etape 1'!B236),ISBLANK('Etape 1'!C236),ISBLANK('Etape 1'!D236),ISBLANK('Etape 1'!E236),ISBLANK('Etape 1'!F236),ISBLANK('Etape 1'!G236),ISBLANK('Etape 1'!H236)),999,9999),IF(VLOOKUP($C241,Matrix_Berechnungen1.Rang.Pumpendaten.Zwischenresultate,$C$9,0)&gt;0,VLOOKUP($C241,Matrix_Berechnungen1.Rang.Pumpendaten.Zwischenresultate,K$9,0),""))</f>
        <v>999</v>
      </c>
      <c r="L241" s="184">
        <f t="shared" ca="1" si="78"/>
        <v>229</v>
      </c>
      <c r="M241" s="184">
        <f t="shared" ca="1" si="78"/>
        <v>0</v>
      </c>
      <c r="N241" s="84"/>
      <c r="O241" s="84"/>
      <c r="P241" s="84"/>
      <c r="Q241" s="69" t="str">
        <f t="shared" si="84"/>
        <v/>
      </c>
      <c r="R241" s="84"/>
      <c r="S241" s="65" t="str">
        <f t="shared" si="85"/>
        <v/>
      </c>
      <c r="T241" s="69" t="str">
        <f t="shared" si="86"/>
        <v/>
      </c>
      <c r="U241" s="84"/>
      <c r="V241" s="65" t="str">
        <f t="shared" si="87"/>
        <v/>
      </c>
      <c r="W241" s="108"/>
      <c r="X241" s="108"/>
      <c r="Y241" s="108"/>
      <c r="Z241" s="110" t="str">
        <f t="shared" si="88"/>
        <v/>
      </c>
      <c r="AA241" s="199">
        <f>IF(ISERROR('Berechnungen 2'!AR444),"",'Berechnungen 2'!AR444)</f>
        <v>0</v>
      </c>
      <c r="AB241" s="200">
        <f>IF(ISERROR('Berechnungen 2'!AS444),"",'Berechnungen 2'!AS444)</f>
        <v>0</v>
      </c>
      <c r="AC241" s="200">
        <f>IF(ISERROR('Berechnungen 2'!AT444),"",'Berechnungen 2'!AT444)</f>
        <v>0</v>
      </c>
      <c r="AD241" s="199">
        <f>IF(ISERROR('Berechnungen 2'!BE444),"",'Berechnungen 2'!BE444)</f>
        <v>0</v>
      </c>
      <c r="AE241" s="200">
        <f>IF(ISERROR('Berechnungen 2'!BF444),"",'Berechnungen 2'!BF444)</f>
        <v>0</v>
      </c>
      <c r="AF241" s="200">
        <f>IF(ISERROR('Berechnungen 2'!BG444),"",'Berechnungen 2'!BG444)</f>
        <v>0</v>
      </c>
      <c r="AG241" s="199" t="str">
        <f>IF(ISNUMBER(A241),IF(ISERROR('Berechnungen 2'!BK444),"",'Berechnungen 2'!BK444),"")</f>
        <v/>
      </c>
      <c r="AH241" s="200">
        <f>IF(ISERROR('Berechnungen 2'!BL444),"",'Berechnungen 2'!BL444)</f>
        <v>0</v>
      </c>
      <c r="AI241" s="200">
        <f>IF(ISERROR('Berechnungen 2'!BM444),"",'Berechnungen 2'!BM444)</f>
        <v>0</v>
      </c>
    </row>
    <row r="242" spans="1:35" x14ac:dyDescent="0.2">
      <c r="A242" s="71" t="str">
        <f t="shared" si="73"/>
        <v/>
      </c>
      <c r="B242" s="193">
        <f t="shared" si="74"/>
        <v>230</v>
      </c>
      <c r="C242" s="192">
        <f ca="1">IF(ISERROR(LARGE('Berechnungen 1'!$A$12:$A$311,B242)),"",LARGE('Berechnungen 1'!$A$12:$A$311,B242))</f>
        <v>71</v>
      </c>
      <c r="D242" s="76" t="str">
        <f t="shared" si="77"/>
        <v/>
      </c>
      <c r="E242" s="76" t="str">
        <f t="shared" si="77"/>
        <v/>
      </c>
      <c r="F242" s="155" t="str">
        <f t="shared" si="79"/>
        <v/>
      </c>
      <c r="G242" s="204" t="str">
        <f t="shared" si="80"/>
        <v/>
      </c>
      <c r="H242" s="156" t="str">
        <f t="shared" si="81"/>
        <v/>
      </c>
      <c r="I242" s="155" t="str">
        <f t="shared" si="82"/>
        <v/>
      </c>
      <c r="J242" s="184">
        <f t="shared" ca="1" si="83"/>
        <v>999999</v>
      </c>
      <c r="K242" s="184">
        <f>IF(OR(ISBLANK('Etape 1'!E237),ISBLANK('Etape 1'!F237)),IF(AND(ISBLANK('Etape 1'!B237),ISBLANK('Etape 1'!C237),ISBLANK('Etape 1'!D237),ISBLANK('Etape 1'!E237),ISBLANK('Etape 1'!F237),ISBLANK('Etape 1'!G237),ISBLANK('Etape 1'!H237)),999,9999),IF(VLOOKUP($C242,Matrix_Berechnungen1.Rang.Pumpendaten.Zwischenresultate,$C$9,0)&gt;0,VLOOKUP($C242,Matrix_Berechnungen1.Rang.Pumpendaten.Zwischenresultate,K$9,0),""))</f>
        <v>999</v>
      </c>
      <c r="L242" s="184">
        <f t="shared" ca="1" si="78"/>
        <v>230</v>
      </c>
      <c r="M242" s="184">
        <f t="shared" ca="1" si="78"/>
        <v>0</v>
      </c>
      <c r="N242" s="84"/>
      <c r="O242" s="84"/>
      <c r="P242" s="84"/>
      <c r="Q242" s="69" t="str">
        <f t="shared" si="84"/>
        <v/>
      </c>
      <c r="R242" s="84"/>
      <c r="S242" s="65" t="str">
        <f t="shared" si="85"/>
        <v/>
      </c>
      <c r="T242" s="69" t="str">
        <f t="shared" si="86"/>
        <v/>
      </c>
      <c r="U242" s="84"/>
      <c r="V242" s="65" t="str">
        <f t="shared" si="87"/>
        <v/>
      </c>
      <c r="W242" s="108"/>
      <c r="X242" s="108"/>
      <c r="Y242" s="108"/>
      <c r="Z242" s="110" t="str">
        <f t="shared" si="88"/>
        <v/>
      </c>
      <c r="AA242" s="199">
        <f>IF(ISERROR('Berechnungen 2'!AR445),"",'Berechnungen 2'!AR445)</f>
        <v>0</v>
      </c>
      <c r="AB242" s="200">
        <f>IF(ISERROR('Berechnungen 2'!AS445),"",'Berechnungen 2'!AS445)</f>
        <v>0</v>
      </c>
      <c r="AC242" s="200">
        <f>IF(ISERROR('Berechnungen 2'!AT445),"",'Berechnungen 2'!AT445)</f>
        <v>0</v>
      </c>
      <c r="AD242" s="199">
        <f>IF(ISERROR('Berechnungen 2'!BE445),"",'Berechnungen 2'!BE445)</f>
        <v>0</v>
      </c>
      <c r="AE242" s="200">
        <f>IF(ISERROR('Berechnungen 2'!BF445),"",'Berechnungen 2'!BF445)</f>
        <v>0</v>
      </c>
      <c r="AF242" s="200">
        <f>IF(ISERROR('Berechnungen 2'!BG445),"",'Berechnungen 2'!BG445)</f>
        <v>0</v>
      </c>
      <c r="AG242" s="199" t="str">
        <f>IF(ISNUMBER(A242),IF(ISERROR('Berechnungen 2'!BK445),"",'Berechnungen 2'!BK445),"")</f>
        <v/>
      </c>
      <c r="AH242" s="200">
        <f>IF(ISERROR('Berechnungen 2'!BL445),"",'Berechnungen 2'!BL445)</f>
        <v>0</v>
      </c>
      <c r="AI242" s="200">
        <f>IF(ISERROR('Berechnungen 2'!BM445),"",'Berechnungen 2'!BM445)</f>
        <v>0</v>
      </c>
    </row>
    <row r="243" spans="1:35" x14ac:dyDescent="0.2">
      <c r="A243" s="71" t="str">
        <f t="shared" si="73"/>
        <v/>
      </c>
      <c r="B243" s="193">
        <f t="shared" si="74"/>
        <v>231</v>
      </c>
      <c r="C243" s="192">
        <f ca="1">IF(ISERROR(LARGE('Berechnungen 1'!$A$12:$A$311,B243)),"",LARGE('Berechnungen 1'!$A$12:$A$311,B243))</f>
        <v>70</v>
      </c>
      <c r="D243" s="76" t="str">
        <f t="shared" si="77"/>
        <v/>
      </c>
      <c r="E243" s="76" t="str">
        <f t="shared" si="77"/>
        <v/>
      </c>
      <c r="F243" s="155" t="str">
        <f t="shared" si="79"/>
        <v/>
      </c>
      <c r="G243" s="204" t="str">
        <f t="shared" si="80"/>
        <v/>
      </c>
      <c r="H243" s="156" t="str">
        <f t="shared" si="81"/>
        <v/>
      </c>
      <c r="I243" s="155" t="str">
        <f t="shared" si="82"/>
        <v/>
      </c>
      <c r="J243" s="184">
        <f t="shared" ca="1" si="83"/>
        <v>999999</v>
      </c>
      <c r="K243" s="184">
        <f>IF(OR(ISBLANK('Etape 1'!E238),ISBLANK('Etape 1'!F238)),IF(AND(ISBLANK('Etape 1'!B238),ISBLANK('Etape 1'!C238),ISBLANK('Etape 1'!D238),ISBLANK('Etape 1'!E238),ISBLANK('Etape 1'!F238),ISBLANK('Etape 1'!G238),ISBLANK('Etape 1'!H238)),999,9999),IF(VLOOKUP($C243,Matrix_Berechnungen1.Rang.Pumpendaten.Zwischenresultate,$C$9,0)&gt;0,VLOOKUP($C243,Matrix_Berechnungen1.Rang.Pumpendaten.Zwischenresultate,K$9,0),""))</f>
        <v>999</v>
      </c>
      <c r="L243" s="184">
        <f t="shared" ca="1" si="78"/>
        <v>231</v>
      </c>
      <c r="M243" s="184">
        <f t="shared" ca="1" si="78"/>
        <v>0</v>
      </c>
      <c r="N243" s="84"/>
      <c r="O243" s="84"/>
      <c r="P243" s="84"/>
      <c r="Q243" s="69" t="str">
        <f t="shared" si="84"/>
        <v/>
      </c>
      <c r="R243" s="84"/>
      <c r="S243" s="65" t="str">
        <f t="shared" si="85"/>
        <v/>
      </c>
      <c r="T243" s="69" t="str">
        <f t="shared" si="86"/>
        <v/>
      </c>
      <c r="U243" s="84"/>
      <c r="V243" s="65" t="str">
        <f t="shared" si="87"/>
        <v/>
      </c>
      <c r="W243" s="108"/>
      <c r="X243" s="108"/>
      <c r="Y243" s="108"/>
      <c r="Z243" s="110" t="str">
        <f t="shared" si="88"/>
        <v/>
      </c>
      <c r="AA243" s="199">
        <f>IF(ISERROR('Berechnungen 2'!AR446),"",'Berechnungen 2'!AR446)</f>
        <v>0</v>
      </c>
      <c r="AB243" s="200">
        <f>IF(ISERROR('Berechnungen 2'!AS446),"",'Berechnungen 2'!AS446)</f>
        <v>0</v>
      </c>
      <c r="AC243" s="200">
        <f>IF(ISERROR('Berechnungen 2'!AT446),"",'Berechnungen 2'!AT446)</f>
        <v>0</v>
      </c>
      <c r="AD243" s="199">
        <f>IF(ISERROR('Berechnungen 2'!BE446),"",'Berechnungen 2'!BE446)</f>
        <v>0</v>
      </c>
      <c r="AE243" s="200">
        <f>IF(ISERROR('Berechnungen 2'!BF446),"",'Berechnungen 2'!BF446)</f>
        <v>0</v>
      </c>
      <c r="AF243" s="200">
        <f>IF(ISERROR('Berechnungen 2'!BG446),"",'Berechnungen 2'!BG446)</f>
        <v>0</v>
      </c>
      <c r="AG243" s="199" t="str">
        <f>IF(ISNUMBER(A243),IF(ISERROR('Berechnungen 2'!BK446),"",'Berechnungen 2'!BK446),"")</f>
        <v/>
      </c>
      <c r="AH243" s="200">
        <f>IF(ISERROR('Berechnungen 2'!BL446),"",'Berechnungen 2'!BL446)</f>
        <v>0</v>
      </c>
      <c r="AI243" s="200">
        <f>IF(ISERROR('Berechnungen 2'!BM446),"",'Berechnungen 2'!BM446)</f>
        <v>0</v>
      </c>
    </row>
    <row r="244" spans="1:35" x14ac:dyDescent="0.2">
      <c r="A244" s="71" t="str">
        <f t="shared" si="73"/>
        <v/>
      </c>
      <c r="B244" s="193">
        <f t="shared" si="74"/>
        <v>232</v>
      </c>
      <c r="C244" s="192">
        <f ca="1">IF(ISERROR(LARGE('Berechnungen 1'!$A$12:$A$311,B244)),"",LARGE('Berechnungen 1'!$A$12:$A$311,B244))</f>
        <v>69</v>
      </c>
      <c r="D244" s="76" t="str">
        <f t="shared" si="77"/>
        <v/>
      </c>
      <c r="E244" s="76" t="str">
        <f t="shared" si="77"/>
        <v/>
      </c>
      <c r="F244" s="155" t="str">
        <f t="shared" si="79"/>
        <v/>
      </c>
      <c r="G244" s="204" t="str">
        <f t="shared" si="80"/>
        <v/>
      </c>
      <c r="H244" s="156" t="str">
        <f t="shared" si="81"/>
        <v/>
      </c>
      <c r="I244" s="155" t="str">
        <f t="shared" si="82"/>
        <v/>
      </c>
      <c r="J244" s="184">
        <f t="shared" ca="1" si="83"/>
        <v>999999</v>
      </c>
      <c r="K244" s="184">
        <f>IF(OR(ISBLANK('Etape 1'!E239),ISBLANK('Etape 1'!F239)),IF(AND(ISBLANK('Etape 1'!B239),ISBLANK('Etape 1'!C239),ISBLANK('Etape 1'!D239),ISBLANK('Etape 1'!E239),ISBLANK('Etape 1'!F239),ISBLANK('Etape 1'!G239),ISBLANK('Etape 1'!H239)),999,9999),IF(VLOOKUP($C244,Matrix_Berechnungen1.Rang.Pumpendaten.Zwischenresultate,$C$9,0)&gt;0,VLOOKUP($C244,Matrix_Berechnungen1.Rang.Pumpendaten.Zwischenresultate,K$9,0),""))</f>
        <v>999</v>
      </c>
      <c r="L244" s="184">
        <f t="shared" ca="1" si="78"/>
        <v>232</v>
      </c>
      <c r="M244" s="184">
        <f t="shared" ca="1" si="78"/>
        <v>0</v>
      </c>
      <c r="N244" s="84"/>
      <c r="O244" s="84"/>
      <c r="P244" s="84"/>
      <c r="Q244" s="69" t="str">
        <f t="shared" si="84"/>
        <v/>
      </c>
      <c r="R244" s="84"/>
      <c r="S244" s="65" t="str">
        <f t="shared" si="85"/>
        <v/>
      </c>
      <c r="T244" s="69" t="str">
        <f t="shared" si="86"/>
        <v/>
      </c>
      <c r="U244" s="84"/>
      <c r="V244" s="65" t="str">
        <f t="shared" si="87"/>
        <v/>
      </c>
      <c r="W244" s="108"/>
      <c r="X244" s="108"/>
      <c r="Y244" s="108"/>
      <c r="Z244" s="110" t="str">
        <f t="shared" si="88"/>
        <v/>
      </c>
      <c r="AA244" s="199">
        <f>IF(ISERROR('Berechnungen 2'!AR447),"",'Berechnungen 2'!AR447)</f>
        <v>0</v>
      </c>
      <c r="AB244" s="200">
        <f>IF(ISERROR('Berechnungen 2'!AS447),"",'Berechnungen 2'!AS447)</f>
        <v>0</v>
      </c>
      <c r="AC244" s="200">
        <f>IF(ISERROR('Berechnungen 2'!AT447),"",'Berechnungen 2'!AT447)</f>
        <v>0</v>
      </c>
      <c r="AD244" s="199">
        <f>IF(ISERROR('Berechnungen 2'!BE447),"",'Berechnungen 2'!BE447)</f>
        <v>0</v>
      </c>
      <c r="AE244" s="200">
        <f>IF(ISERROR('Berechnungen 2'!BF447),"",'Berechnungen 2'!BF447)</f>
        <v>0</v>
      </c>
      <c r="AF244" s="200">
        <f>IF(ISERROR('Berechnungen 2'!BG447),"",'Berechnungen 2'!BG447)</f>
        <v>0</v>
      </c>
      <c r="AG244" s="199" t="str">
        <f>IF(ISNUMBER(A244),IF(ISERROR('Berechnungen 2'!BK447),"",'Berechnungen 2'!BK447),"")</f>
        <v/>
      </c>
      <c r="AH244" s="200">
        <f>IF(ISERROR('Berechnungen 2'!BL447),"",'Berechnungen 2'!BL447)</f>
        <v>0</v>
      </c>
      <c r="AI244" s="200">
        <f>IF(ISERROR('Berechnungen 2'!BM447),"",'Berechnungen 2'!BM447)</f>
        <v>0</v>
      </c>
    </row>
    <row r="245" spans="1:35" x14ac:dyDescent="0.2">
      <c r="A245" s="71" t="str">
        <f t="shared" si="73"/>
        <v/>
      </c>
      <c r="B245" s="193">
        <f t="shared" si="74"/>
        <v>233</v>
      </c>
      <c r="C245" s="192">
        <f ca="1">IF(ISERROR(LARGE('Berechnungen 1'!$A$12:$A$311,B245)),"",LARGE('Berechnungen 1'!$A$12:$A$311,B245))</f>
        <v>68</v>
      </c>
      <c r="D245" s="76" t="str">
        <f t="shared" si="77"/>
        <v/>
      </c>
      <c r="E245" s="76" t="str">
        <f t="shared" si="77"/>
        <v/>
      </c>
      <c r="F245" s="155" t="str">
        <f t="shared" si="79"/>
        <v/>
      </c>
      <c r="G245" s="204" t="str">
        <f t="shared" si="80"/>
        <v/>
      </c>
      <c r="H245" s="156" t="str">
        <f t="shared" si="81"/>
        <v/>
      </c>
      <c r="I245" s="155" t="str">
        <f t="shared" si="82"/>
        <v/>
      </c>
      <c r="J245" s="184">
        <f t="shared" ca="1" si="83"/>
        <v>999999</v>
      </c>
      <c r="K245" s="184">
        <f>IF(OR(ISBLANK('Etape 1'!E240),ISBLANK('Etape 1'!F240)),IF(AND(ISBLANK('Etape 1'!B240),ISBLANK('Etape 1'!C240),ISBLANK('Etape 1'!D240),ISBLANK('Etape 1'!E240),ISBLANK('Etape 1'!F240),ISBLANK('Etape 1'!G240),ISBLANK('Etape 1'!H240)),999,9999),IF(VLOOKUP($C245,Matrix_Berechnungen1.Rang.Pumpendaten.Zwischenresultate,$C$9,0)&gt;0,VLOOKUP($C245,Matrix_Berechnungen1.Rang.Pumpendaten.Zwischenresultate,K$9,0),""))</f>
        <v>999</v>
      </c>
      <c r="L245" s="184">
        <f t="shared" ca="1" si="78"/>
        <v>233</v>
      </c>
      <c r="M245" s="184">
        <f t="shared" ca="1" si="78"/>
        <v>0</v>
      </c>
      <c r="N245" s="84"/>
      <c r="O245" s="84"/>
      <c r="P245" s="84"/>
      <c r="Q245" s="69" t="str">
        <f t="shared" si="84"/>
        <v/>
      </c>
      <c r="R245" s="84"/>
      <c r="S245" s="65" t="str">
        <f t="shared" si="85"/>
        <v/>
      </c>
      <c r="T245" s="69" t="str">
        <f t="shared" si="86"/>
        <v/>
      </c>
      <c r="U245" s="84"/>
      <c r="V245" s="65" t="str">
        <f t="shared" si="87"/>
        <v/>
      </c>
      <c r="W245" s="108"/>
      <c r="X245" s="108"/>
      <c r="Y245" s="108"/>
      <c r="Z245" s="110" t="str">
        <f t="shared" si="88"/>
        <v/>
      </c>
      <c r="AA245" s="199">
        <f>IF(ISERROR('Berechnungen 2'!AR448),"",'Berechnungen 2'!AR448)</f>
        <v>0</v>
      </c>
      <c r="AB245" s="200">
        <f>IF(ISERROR('Berechnungen 2'!AS448),"",'Berechnungen 2'!AS448)</f>
        <v>0</v>
      </c>
      <c r="AC245" s="200">
        <f>IF(ISERROR('Berechnungen 2'!AT448),"",'Berechnungen 2'!AT448)</f>
        <v>0</v>
      </c>
      <c r="AD245" s="199">
        <f>IF(ISERROR('Berechnungen 2'!BE448),"",'Berechnungen 2'!BE448)</f>
        <v>0</v>
      </c>
      <c r="AE245" s="200">
        <f>IF(ISERROR('Berechnungen 2'!BF448),"",'Berechnungen 2'!BF448)</f>
        <v>0</v>
      </c>
      <c r="AF245" s="200">
        <f>IF(ISERROR('Berechnungen 2'!BG448),"",'Berechnungen 2'!BG448)</f>
        <v>0</v>
      </c>
      <c r="AG245" s="199" t="str">
        <f>IF(ISNUMBER(A245),IF(ISERROR('Berechnungen 2'!BK448),"",'Berechnungen 2'!BK448),"")</f>
        <v/>
      </c>
      <c r="AH245" s="200">
        <f>IF(ISERROR('Berechnungen 2'!BL448),"",'Berechnungen 2'!BL448)</f>
        <v>0</v>
      </c>
      <c r="AI245" s="200">
        <f>IF(ISERROR('Berechnungen 2'!BM448),"",'Berechnungen 2'!BM448)</f>
        <v>0</v>
      </c>
    </row>
    <row r="246" spans="1:35" x14ac:dyDescent="0.2">
      <c r="A246" s="71" t="str">
        <f t="shared" si="73"/>
        <v/>
      </c>
      <c r="B246" s="193">
        <f t="shared" si="74"/>
        <v>234</v>
      </c>
      <c r="C246" s="192">
        <f ca="1">IF(ISERROR(LARGE('Berechnungen 1'!$A$12:$A$311,B246)),"",LARGE('Berechnungen 1'!$A$12:$A$311,B246))</f>
        <v>67</v>
      </c>
      <c r="D246" s="76" t="str">
        <f t="shared" si="77"/>
        <v/>
      </c>
      <c r="E246" s="76" t="str">
        <f t="shared" si="77"/>
        <v/>
      </c>
      <c r="F246" s="155" t="str">
        <f t="shared" si="79"/>
        <v/>
      </c>
      <c r="G246" s="204" t="str">
        <f t="shared" si="80"/>
        <v/>
      </c>
      <c r="H246" s="156" t="str">
        <f t="shared" si="81"/>
        <v/>
      </c>
      <c r="I246" s="155" t="str">
        <f t="shared" si="82"/>
        <v/>
      </c>
      <c r="J246" s="184">
        <f t="shared" ca="1" si="83"/>
        <v>999999</v>
      </c>
      <c r="K246" s="184">
        <f>IF(OR(ISBLANK('Etape 1'!E241),ISBLANK('Etape 1'!F241)),IF(AND(ISBLANK('Etape 1'!B241),ISBLANK('Etape 1'!C241),ISBLANK('Etape 1'!D241),ISBLANK('Etape 1'!E241),ISBLANK('Etape 1'!F241),ISBLANK('Etape 1'!G241),ISBLANK('Etape 1'!H241)),999,9999),IF(VLOOKUP($C246,Matrix_Berechnungen1.Rang.Pumpendaten.Zwischenresultate,$C$9,0)&gt;0,VLOOKUP($C246,Matrix_Berechnungen1.Rang.Pumpendaten.Zwischenresultate,K$9,0),""))</f>
        <v>999</v>
      </c>
      <c r="L246" s="184">
        <f t="shared" ca="1" si="78"/>
        <v>234</v>
      </c>
      <c r="M246" s="184">
        <f t="shared" ca="1" si="78"/>
        <v>0</v>
      </c>
      <c r="N246" s="84"/>
      <c r="O246" s="84"/>
      <c r="P246" s="84"/>
      <c r="Q246" s="69" t="str">
        <f t="shared" si="84"/>
        <v/>
      </c>
      <c r="R246" s="84"/>
      <c r="S246" s="65" t="str">
        <f t="shared" si="85"/>
        <v/>
      </c>
      <c r="T246" s="69" t="str">
        <f t="shared" si="86"/>
        <v/>
      </c>
      <c r="U246" s="84"/>
      <c r="V246" s="65" t="str">
        <f t="shared" si="87"/>
        <v/>
      </c>
      <c r="W246" s="108"/>
      <c r="X246" s="108"/>
      <c r="Y246" s="108"/>
      <c r="Z246" s="110" t="str">
        <f t="shared" si="88"/>
        <v/>
      </c>
      <c r="AA246" s="199">
        <f>IF(ISERROR('Berechnungen 2'!AR449),"",'Berechnungen 2'!AR449)</f>
        <v>0</v>
      </c>
      <c r="AB246" s="200">
        <f>IF(ISERROR('Berechnungen 2'!AS449),"",'Berechnungen 2'!AS449)</f>
        <v>0</v>
      </c>
      <c r="AC246" s="200">
        <f>IF(ISERROR('Berechnungen 2'!AT449),"",'Berechnungen 2'!AT449)</f>
        <v>0</v>
      </c>
      <c r="AD246" s="199">
        <f>IF(ISERROR('Berechnungen 2'!BE449),"",'Berechnungen 2'!BE449)</f>
        <v>0</v>
      </c>
      <c r="AE246" s="200">
        <f>IF(ISERROR('Berechnungen 2'!BF449),"",'Berechnungen 2'!BF449)</f>
        <v>0</v>
      </c>
      <c r="AF246" s="200">
        <f>IF(ISERROR('Berechnungen 2'!BG449),"",'Berechnungen 2'!BG449)</f>
        <v>0</v>
      </c>
      <c r="AG246" s="199" t="str">
        <f>IF(ISNUMBER(A246),IF(ISERROR('Berechnungen 2'!BK449),"",'Berechnungen 2'!BK449),"")</f>
        <v/>
      </c>
      <c r="AH246" s="200">
        <f>IF(ISERROR('Berechnungen 2'!BL449),"",'Berechnungen 2'!BL449)</f>
        <v>0</v>
      </c>
      <c r="AI246" s="200">
        <f>IF(ISERROR('Berechnungen 2'!BM449),"",'Berechnungen 2'!BM449)</f>
        <v>0</v>
      </c>
    </row>
    <row r="247" spans="1:35" x14ac:dyDescent="0.2">
      <c r="A247" s="71" t="str">
        <f t="shared" si="73"/>
        <v/>
      </c>
      <c r="B247" s="193">
        <f t="shared" si="74"/>
        <v>235</v>
      </c>
      <c r="C247" s="192">
        <f ca="1">IF(ISERROR(LARGE('Berechnungen 1'!$A$12:$A$311,B247)),"",LARGE('Berechnungen 1'!$A$12:$A$311,B247))</f>
        <v>66</v>
      </c>
      <c r="D247" s="76" t="str">
        <f t="shared" si="77"/>
        <v/>
      </c>
      <c r="E247" s="76" t="str">
        <f t="shared" si="77"/>
        <v/>
      </c>
      <c r="F247" s="155" t="str">
        <f t="shared" si="79"/>
        <v/>
      </c>
      <c r="G247" s="204" t="str">
        <f t="shared" si="80"/>
        <v/>
      </c>
      <c r="H247" s="156" t="str">
        <f t="shared" si="81"/>
        <v/>
      </c>
      <c r="I247" s="155" t="str">
        <f t="shared" si="82"/>
        <v/>
      </c>
      <c r="J247" s="184">
        <f t="shared" ca="1" si="83"/>
        <v>999999</v>
      </c>
      <c r="K247" s="184">
        <f>IF(OR(ISBLANK('Etape 1'!E242),ISBLANK('Etape 1'!F242)),IF(AND(ISBLANK('Etape 1'!B242),ISBLANK('Etape 1'!C242),ISBLANK('Etape 1'!D242),ISBLANK('Etape 1'!E242),ISBLANK('Etape 1'!F242),ISBLANK('Etape 1'!G242),ISBLANK('Etape 1'!H242)),999,9999),IF(VLOOKUP($C247,Matrix_Berechnungen1.Rang.Pumpendaten.Zwischenresultate,$C$9,0)&gt;0,VLOOKUP($C247,Matrix_Berechnungen1.Rang.Pumpendaten.Zwischenresultate,K$9,0),""))</f>
        <v>999</v>
      </c>
      <c r="L247" s="184">
        <f t="shared" ca="1" si="78"/>
        <v>235</v>
      </c>
      <c r="M247" s="184">
        <f t="shared" ca="1" si="78"/>
        <v>0</v>
      </c>
      <c r="N247" s="84"/>
      <c r="O247" s="84"/>
      <c r="P247" s="84"/>
      <c r="Q247" s="69" t="str">
        <f t="shared" si="84"/>
        <v/>
      </c>
      <c r="R247" s="84"/>
      <c r="S247" s="65" t="str">
        <f t="shared" si="85"/>
        <v/>
      </c>
      <c r="T247" s="69" t="str">
        <f t="shared" si="86"/>
        <v/>
      </c>
      <c r="U247" s="84"/>
      <c r="V247" s="65" t="str">
        <f t="shared" si="87"/>
        <v/>
      </c>
      <c r="W247" s="108"/>
      <c r="X247" s="108"/>
      <c r="Y247" s="108"/>
      <c r="Z247" s="110" t="str">
        <f t="shared" si="88"/>
        <v/>
      </c>
      <c r="AA247" s="199">
        <f>IF(ISERROR('Berechnungen 2'!AR450),"",'Berechnungen 2'!AR450)</f>
        <v>0</v>
      </c>
      <c r="AB247" s="200">
        <f>IF(ISERROR('Berechnungen 2'!AS450),"",'Berechnungen 2'!AS450)</f>
        <v>0</v>
      </c>
      <c r="AC247" s="200">
        <f>IF(ISERROR('Berechnungen 2'!AT450),"",'Berechnungen 2'!AT450)</f>
        <v>0</v>
      </c>
      <c r="AD247" s="199">
        <f>IF(ISERROR('Berechnungen 2'!BE450),"",'Berechnungen 2'!BE450)</f>
        <v>0</v>
      </c>
      <c r="AE247" s="200">
        <f>IF(ISERROR('Berechnungen 2'!BF450),"",'Berechnungen 2'!BF450)</f>
        <v>0</v>
      </c>
      <c r="AF247" s="200">
        <f>IF(ISERROR('Berechnungen 2'!BG450),"",'Berechnungen 2'!BG450)</f>
        <v>0</v>
      </c>
      <c r="AG247" s="199" t="str">
        <f>IF(ISNUMBER(A247),IF(ISERROR('Berechnungen 2'!BK450),"",'Berechnungen 2'!BK450),"")</f>
        <v/>
      </c>
      <c r="AH247" s="200">
        <f>IF(ISERROR('Berechnungen 2'!BL450),"",'Berechnungen 2'!BL450)</f>
        <v>0</v>
      </c>
      <c r="AI247" s="200">
        <f>IF(ISERROR('Berechnungen 2'!BM450),"",'Berechnungen 2'!BM450)</f>
        <v>0</v>
      </c>
    </row>
    <row r="248" spans="1:35" x14ac:dyDescent="0.2">
      <c r="A248" s="71" t="str">
        <f t="shared" si="73"/>
        <v/>
      </c>
      <c r="B248" s="193">
        <f t="shared" si="74"/>
        <v>236</v>
      </c>
      <c r="C248" s="192">
        <f ca="1">IF(ISERROR(LARGE('Berechnungen 1'!$A$12:$A$311,B248)),"",LARGE('Berechnungen 1'!$A$12:$A$311,B248))</f>
        <v>65</v>
      </c>
      <c r="D248" s="76" t="str">
        <f t="shared" si="77"/>
        <v/>
      </c>
      <c r="E248" s="76" t="str">
        <f t="shared" si="77"/>
        <v/>
      </c>
      <c r="F248" s="155" t="str">
        <f t="shared" si="79"/>
        <v/>
      </c>
      <c r="G248" s="204" t="str">
        <f t="shared" si="80"/>
        <v/>
      </c>
      <c r="H248" s="156" t="str">
        <f t="shared" si="81"/>
        <v/>
      </c>
      <c r="I248" s="155" t="str">
        <f t="shared" si="82"/>
        <v/>
      </c>
      <c r="J248" s="184">
        <f t="shared" ca="1" si="83"/>
        <v>999999</v>
      </c>
      <c r="K248" s="184">
        <f>IF(OR(ISBLANK('Etape 1'!E243),ISBLANK('Etape 1'!F243)),IF(AND(ISBLANK('Etape 1'!B243),ISBLANK('Etape 1'!C243),ISBLANK('Etape 1'!D243),ISBLANK('Etape 1'!E243),ISBLANK('Etape 1'!F243),ISBLANK('Etape 1'!G243),ISBLANK('Etape 1'!H243)),999,9999),IF(VLOOKUP($C248,Matrix_Berechnungen1.Rang.Pumpendaten.Zwischenresultate,$C$9,0)&gt;0,VLOOKUP($C248,Matrix_Berechnungen1.Rang.Pumpendaten.Zwischenresultate,K$9,0),""))</f>
        <v>999</v>
      </c>
      <c r="L248" s="184">
        <f t="shared" ca="1" si="78"/>
        <v>236</v>
      </c>
      <c r="M248" s="184">
        <f t="shared" ca="1" si="78"/>
        <v>0</v>
      </c>
      <c r="N248" s="84"/>
      <c r="O248" s="84"/>
      <c r="P248" s="84"/>
      <c r="Q248" s="69" t="str">
        <f t="shared" si="84"/>
        <v/>
      </c>
      <c r="R248" s="84"/>
      <c r="S248" s="65" t="str">
        <f t="shared" si="85"/>
        <v/>
      </c>
      <c r="T248" s="69" t="str">
        <f t="shared" si="86"/>
        <v/>
      </c>
      <c r="U248" s="84"/>
      <c r="V248" s="65" t="str">
        <f t="shared" si="87"/>
        <v/>
      </c>
      <c r="W248" s="108"/>
      <c r="X248" s="108"/>
      <c r="Y248" s="108"/>
      <c r="Z248" s="110" t="str">
        <f t="shared" si="88"/>
        <v/>
      </c>
      <c r="AA248" s="199">
        <f>IF(ISERROR('Berechnungen 2'!AR451),"",'Berechnungen 2'!AR451)</f>
        <v>0</v>
      </c>
      <c r="AB248" s="200">
        <f>IF(ISERROR('Berechnungen 2'!AS451),"",'Berechnungen 2'!AS451)</f>
        <v>0</v>
      </c>
      <c r="AC248" s="200">
        <f>IF(ISERROR('Berechnungen 2'!AT451),"",'Berechnungen 2'!AT451)</f>
        <v>0</v>
      </c>
      <c r="AD248" s="199">
        <f>IF(ISERROR('Berechnungen 2'!BE451),"",'Berechnungen 2'!BE451)</f>
        <v>0</v>
      </c>
      <c r="AE248" s="200">
        <f>IF(ISERROR('Berechnungen 2'!BF451),"",'Berechnungen 2'!BF451)</f>
        <v>0</v>
      </c>
      <c r="AF248" s="200">
        <f>IF(ISERROR('Berechnungen 2'!BG451),"",'Berechnungen 2'!BG451)</f>
        <v>0</v>
      </c>
      <c r="AG248" s="199" t="str">
        <f>IF(ISNUMBER(A248),IF(ISERROR('Berechnungen 2'!BK451),"",'Berechnungen 2'!BK451),"")</f>
        <v/>
      </c>
      <c r="AH248" s="200">
        <f>IF(ISERROR('Berechnungen 2'!BL451),"",'Berechnungen 2'!BL451)</f>
        <v>0</v>
      </c>
      <c r="AI248" s="200">
        <f>IF(ISERROR('Berechnungen 2'!BM451),"",'Berechnungen 2'!BM451)</f>
        <v>0</v>
      </c>
    </row>
    <row r="249" spans="1:35" x14ac:dyDescent="0.2">
      <c r="A249" s="71" t="str">
        <f t="shared" si="73"/>
        <v/>
      </c>
      <c r="B249" s="193">
        <f t="shared" si="74"/>
        <v>237</v>
      </c>
      <c r="C249" s="192">
        <f ca="1">IF(ISERROR(LARGE('Berechnungen 1'!$A$12:$A$311,B249)),"",LARGE('Berechnungen 1'!$A$12:$A$311,B249))</f>
        <v>64</v>
      </c>
      <c r="D249" s="76" t="str">
        <f t="shared" si="77"/>
        <v/>
      </c>
      <c r="E249" s="76" t="str">
        <f t="shared" si="77"/>
        <v/>
      </c>
      <c r="F249" s="155" t="str">
        <f t="shared" si="79"/>
        <v/>
      </c>
      <c r="G249" s="204" t="str">
        <f t="shared" si="80"/>
        <v/>
      </c>
      <c r="H249" s="156" t="str">
        <f t="shared" si="81"/>
        <v/>
      </c>
      <c r="I249" s="155" t="str">
        <f t="shared" si="82"/>
        <v/>
      </c>
      <c r="J249" s="184">
        <f t="shared" ca="1" si="83"/>
        <v>999999</v>
      </c>
      <c r="K249" s="184">
        <f>IF(OR(ISBLANK('Etape 1'!E244),ISBLANK('Etape 1'!F244)),IF(AND(ISBLANK('Etape 1'!B244),ISBLANK('Etape 1'!C244),ISBLANK('Etape 1'!D244),ISBLANK('Etape 1'!E244),ISBLANK('Etape 1'!F244),ISBLANK('Etape 1'!G244),ISBLANK('Etape 1'!H244)),999,9999),IF(VLOOKUP($C249,Matrix_Berechnungen1.Rang.Pumpendaten.Zwischenresultate,$C$9,0)&gt;0,VLOOKUP($C249,Matrix_Berechnungen1.Rang.Pumpendaten.Zwischenresultate,K$9,0),""))</f>
        <v>999</v>
      </c>
      <c r="L249" s="184">
        <f t="shared" ca="1" si="78"/>
        <v>237</v>
      </c>
      <c r="M249" s="184">
        <f t="shared" ca="1" si="78"/>
        <v>0</v>
      </c>
      <c r="N249" s="84"/>
      <c r="O249" s="84"/>
      <c r="P249" s="84"/>
      <c r="Q249" s="69" t="str">
        <f t="shared" si="84"/>
        <v/>
      </c>
      <c r="R249" s="84"/>
      <c r="S249" s="65" t="str">
        <f t="shared" si="85"/>
        <v/>
      </c>
      <c r="T249" s="69" t="str">
        <f t="shared" si="86"/>
        <v/>
      </c>
      <c r="U249" s="84"/>
      <c r="V249" s="65" t="str">
        <f t="shared" si="87"/>
        <v/>
      </c>
      <c r="W249" s="108"/>
      <c r="X249" s="108"/>
      <c r="Y249" s="108"/>
      <c r="Z249" s="110" t="str">
        <f t="shared" si="88"/>
        <v/>
      </c>
      <c r="AA249" s="199">
        <f>IF(ISERROR('Berechnungen 2'!AR452),"",'Berechnungen 2'!AR452)</f>
        <v>0</v>
      </c>
      <c r="AB249" s="200">
        <f>IF(ISERROR('Berechnungen 2'!AS452),"",'Berechnungen 2'!AS452)</f>
        <v>0</v>
      </c>
      <c r="AC249" s="200">
        <f>IF(ISERROR('Berechnungen 2'!AT452),"",'Berechnungen 2'!AT452)</f>
        <v>0</v>
      </c>
      <c r="AD249" s="199">
        <f>IF(ISERROR('Berechnungen 2'!BE452),"",'Berechnungen 2'!BE452)</f>
        <v>0</v>
      </c>
      <c r="AE249" s="200">
        <f>IF(ISERROR('Berechnungen 2'!BF452),"",'Berechnungen 2'!BF452)</f>
        <v>0</v>
      </c>
      <c r="AF249" s="200">
        <f>IF(ISERROR('Berechnungen 2'!BG452),"",'Berechnungen 2'!BG452)</f>
        <v>0</v>
      </c>
      <c r="AG249" s="199" t="str">
        <f>IF(ISNUMBER(A249),IF(ISERROR('Berechnungen 2'!BK452),"",'Berechnungen 2'!BK452),"")</f>
        <v/>
      </c>
      <c r="AH249" s="200">
        <f>IF(ISERROR('Berechnungen 2'!BL452),"",'Berechnungen 2'!BL452)</f>
        <v>0</v>
      </c>
      <c r="AI249" s="200">
        <f>IF(ISERROR('Berechnungen 2'!BM452),"",'Berechnungen 2'!BM452)</f>
        <v>0</v>
      </c>
    </row>
    <row r="250" spans="1:35" x14ac:dyDescent="0.2">
      <c r="A250" s="71" t="str">
        <f t="shared" si="73"/>
        <v/>
      </c>
      <c r="B250" s="193">
        <f t="shared" si="74"/>
        <v>238</v>
      </c>
      <c r="C250" s="192">
        <f ca="1">IF(ISERROR(LARGE('Berechnungen 1'!$A$12:$A$311,B250)),"",LARGE('Berechnungen 1'!$A$12:$A$311,B250))</f>
        <v>63</v>
      </c>
      <c r="D250" s="76" t="str">
        <f t="shared" si="77"/>
        <v/>
      </c>
      <c r="E250" s="76" t="str">
        <f t="shared" si="77"/>
        <v/>
      </c>
      <c r="F250" s="155" t="str">
        <f t="shared" si="79"/>
        <v/>
      </c>
      <c r="G250" s="204" t="str">
        <f t="shared" si="80"/>
        <v/>
      </c>
      <c r="H250" s="156" t="str">
        <f t="shared" si="81"/>
        <v/>
      </c>
      <c r="I250" s="155" t="str">
        <f t="shared" si="82"/>
        <v/>
      </c>
      <c r="J250" s="184">
        <f t="shared" ca="1" si="83"/>
        <v>999999</v>
      </c>
      <c r="K250" s="184">
        <f>IF(OR(ISBLANK('Etape 1'!E245),ISBLANK('Etape 1'!F245)),IF(AND(ISBLANK('Etape 1'!B245),ISBLANK('Etape 1'!C245),ISBLANK('Etape 1'!D245),ISBLANK('Etape 1'!E245),ISBLANK('Etape 1'!F245),ISBLANK('Etape 1'!G245),ISBLANK('Etape 1'!H245)),999,9999),IF(VLOOKUP($C250,Matrix_Berechnungen1.Rang.Pumpendaten.Zwischenresultate,$C$9,0)&gt;0,VLOOKUP($C250,Matrix_Berechnungen1.Rang.Pumpendaten.Zwischenresultate,K$9,0),""))</f>
        <v>999</v>
      </c>
      <c r="L250" s="184">
        <f t="shared" ca="1" si="78"/>
        <v>238</v>
      </c>
      <c r="M250" s="184">
        <f t="shared" ca="1" si="78"/>
        <v>0</v>
      </c>
      <c r="N250" s="84"/>
      <c r="O250" s="84"/>
      <c r="P250" s="84"/>
      <c r="Q250" s="69" t="str">
        <f t="shared" si="84"/>
        <v/>
      </c>
      <c r="R250" s="84"/>
      <c r="S250" s="65" t="str">
        <f t="shared" si="85"/>
        <v/>
      </c>
      <c r="T250" s="69" t="str">
        <f t="shared" si="86"/>
        <v/>
      </c>
      <c r="U250" s="84"/>
      <c r="V250" s="65" t="str">
        <f t="shared" si="87"/>
        <v/>
      </c>
      <c r="W250" s="108"/>
      <c r="X250" s="108"/>
      <c r="Y250" s="108"/>
      <c r="Z250" s="110" t="str">
        <f t="shared" si="88"/>
        <v/>
      </c>
      <c r="AA250" s="199">
        <f>IF(ISERROR('Berechnungen 2'!AR453),"",'Berechnungen 2'!AR453)</f>
        <v>0</v>
      </c>
      <c r="AB250" s="200">
        <f>IF(ISERROR('Berechnungen 2'!AS453),"",'Berechnungen 2'!AS453)</f>
        <v>0</v>
      </c>
      <c r="AC250" s="200">
        <f>IF(ISERROR('Berechnungen 2'!AT453),"",'Berechnungen 2'!AT453)</f>
        <v>0</v>
      </c>
      <c r="AD250" s="199">
        <f>IF(ISERROR('Berechnungen 2'!BE453),"",'Berechnungen 2'!BE453)</f>
        <v>0</v>
      </c>
      <c r="AE250" s="200">
        <f>IF(ISERROR('Berechnungen 2'!BF453),"",'Berechnungen 2'!BF453)</f>
        <v>0</v>
      </c>
      <c r="AF250" s="200">
        <f>IF(ISERROR('Berechnungen 2'!BG453),"",'Berechnungen 2'!BG453)</f>
        <v>0</v>
      </c>
      <c r="AG250" s="199" t="str">
        <f>IF(ISNUMBER(A250),IF(ISERROR('Berechnungen 2'!BK453),"",'Berechnungen 2'!BK453),"")</f>
        <v/>
      </c>
      <c r="AH250" s="200">
        <f>IF(ISERROR('Berechnungen 2'!BL453),"",'Berechnungen 2'!BL453)</f>
        <v>0</v>
      </c>
      <c r="AI250" s="200">
        <f>IF(ISERROR('Berechnungen 2'!BM453),"",'Berechnungen 2'!BM453)</f>
        <v>0</v>
      </c>
    </row>
    <row r="251" spans="1:35" x14ac:dyDescent="0.2">
      <c r="A251" s="71" t="str">
        <f t="shared" si="73"/>
        <v/>
      </c>
      <c r="B251" s="193">
        <f t="shared" si="74"/>
        <v>239</v>
      </c>
      <c r="C251" s="192">
        <f ca="1">IF(ISERROR(LARGE('Berechnungen 1'!$A$12:$A$311,B251)),"",LARGE('Berechnungen 1'!$A$12:$A$311,B251))</f>
        <v>62</v>
      </c>
      <c r="D251" s="76" t="str">
        <f t="shared" si="77"/>
        <v/>
      </c>
      <c r="E251" s="76" t="str">
        <f t="shared" si="77"/>
        <v/>
      </c>
      <c r="F251" s="155" t="str">
        <f t="shared" si="79"/>
        <v/>
      </c>
      <c r="G251" s="204" t="str">
        <f t="shared" si="80"/>
        <v/>
      </c>
      <c r="H251" s="156" t="str">
        <f t="shared" si="81"/>
        <v/>
      </c>
      <c r="I251" s="155" t="str">
        <f t="shared" si="82"/>
        <v/>
      </c>
      <c r="J251" s="184">
        <f t="shared" ca="1" si="83"/>
        <v>999999</v>
      </c>
      <c r="K251" s="184">
        <f>IF(OR(ISBLANK('Etape 1'!E246),ISBLANK('Etape 1'!F246)),IF(AND(ISBLANK('Etape 1'!B246),ISBLANK('Etape 1'!C246),ISBLANK('Etape 1'!D246),ISBLANK('Etape 1'!E246),ISBLANK('Etape 1'!F246),ISBLANK('Etape 1'!G246),ISBLANK('Etape 1'!H246)),999,9999),IF(VLOOKUP($C251,Matrix_Berechnungen1.Rang.Pumpendaten.Zwischenresultate,$C$9,0)&gt;0,VLOOKUP($C251,Matrix_Berechnungen1.Rang.Pumpendaten.Zwischenresultate,K$9,0),""))</f>
        <v>999</v>
      </c>
      <c r="L251" s="184">
        <f t="shared" ca="1" si="78"/>
        <v>239</v>
      </c>
      <c r="M251" s="184">
        <f t="shared" ca="1" si="78"/>
        <v>0</v>
      </c>
      <c r="N251" s="84"/>
      <c r="O251" s="84"/>
      <c r="P251" s="84"/>
      <c r="Q251" s="69" t="str">
        <f t="shared" si="84"/>
        <v/>
      </c>
      <c r="R251" s="84"/>
      <c r="S251" s="65" t="str">
        <f t="shared" si="85"/>
        <v/>
      </c>
      <c r="T251" s="69" t="str">
        <f t="shared" si="86"/>
        <v/>
      </c>
      <c r="U251" s="84"/>
      <c r="V251" s="65" t="str">
        <f t="shared" si="87"/>
        <v/>
      </c>
      <c r="W251" s="108"/>
      <c r="X251" s="108"/>
      <c r="Y251" s="108"/>
      <c r="Z251" s="110" t="str">
        <f t="shared" si="88"/>
        <v/>
      </c>
      <c r="AA251" s="199">
        <f>IF(ISERROR('Berechnungen 2'!AR454),"",'Berechnungen 2'!AR454)</f>
        <v>0</v>
      </c>
      <c r="AB251" s="200">
        <f>IF(ISERROR('Berechnungen 2'!AS454),"",'Berechnungen 2'!AS454)</f>
        <v>0</v>
      </c>
      <c r="AC251" s="200">
        <f>IF(ISERROR('Berechnungen 2'!AT454),"",'Berechnungen 2'!AT454)</f>
        <v>0</v>
      </c>
      <c r="AD251" s="199">
        <f>IF(ISERROR('Berechnungen 2'!BE454),"",'Berechnungen 2'!BE454)</f>
        <v>0</v>
      </c>
      <c r="AE251" s="200">
        <f>IF(ISERROR('Berechnungen 2'!BF454),"",'Berechnungen 2'!BF454)</f>
        <v>0</v>
      </c>
      <c r="AF251" s="200">
        <f>IF(ISERROR('Berechnungen 2'!BG454),"",'Berechnungen 2'!BG454)</f>
        <v>0</v>
      </c>
      <c r="AG251" s="199" t="str">
        <f>IF(ISNUMBER(A251),IF(ISERROR('Berechnungen 2'!BK454),"",'Berechnungen 2'!BK454),"")</f>
        <v/>
      </c>
      <c r="AH251" s="200">
        <f>IF(ISERROR('Berechnungen 2'!BL454),"",'Berechnungen 2'!BL454)</f>
        <v>0</v>
      </c>
      <c r="AI251" s="200">
        <f>IF(ISERROR('Berechnungen 2'!BM454),"",'Berechnungen 2'!BM454)</f>
        <v>0</v>
      </c>
    </row>
    <row r="252" spans="1:35" x14ac:dyDescent="0.2">
      <c r="A252" s="71" t="str">
        <f t="shared" si="73"/>
        <v/>
      </c>
      <c r="B252" s="193">
        <f t="shared" si="74"/>
        <v>240</v>
      </c>
      <c r="C252" s="192">
        <f ca="1">IF(ISERROR(LARGE('Berechnungen 1'!$A$12:$A$311,B252)),"",LARGE('Berechnungen 1'!$A$12:$A$311,B252))</f>
        <v>61</v>
      </c>
      <c r="D252" s="76" t="str">
        <f t="shared" si="77"/>
        <v/>
      </c>
      <c r="E252" s="76" t="str">
        <f t="shared" si="77"/>
        <v/>
      </c>
      <c r="F252" s="155" t="str">
        <f t="shared" si="79"/>
        <v/>
      </c>
      <c r="G252" s="204" t="str">
        <f t="shared" si="80"/>
        <v/>
      </c>
      <c r="H252" s="156" t="str">
        <f t="shared" si="81"/>
        <v/>
      </c>
      <c r="I252" s="155" t="str">
        <f t="shared" si="82"/>
        <v/>
      </c>
      <c r="J252" s="184">
        <f t="shared" ca="1" si="83"/>
        <v>999999</v>
      </c>
      <c r="K252" s="184">
        <f>IF(OR(ISBLANK('Etape 1'!E247),ISBLANK('Etape 1'!F247)),IF(AND(ISBLANK('Etape 1'!B247),ISBLANK('Etape 1'!C247),ISBLANK('Etape 1'!D247),ISBLANK('Etape 1'!E247),ISBLANK('Etape 1'!F247),ISBLANK('Etape 1'!G247),ISBLANK('Etape 1'!H247)),999,9999),IF(VLOOKUP($C252,Matrix_Berechnungen1.Rang.Pumpendaten.Zwischenresultate,$C$9,0)&gt;0,VLOOKUP($C252,Matrix_Berechnungen1.Rang.Pumpendaten.Zwischenresultate,K$9,0),""))</f>
        <v>999</v>
      </c>
      <c r="L252" s="184">
        <f t="shared" ca="1" si="78"/>
        <v>240</v>
      </c>
      <c r="M252" s="184">
        <f t="shared" ca="1" si="78"/>
        <v>0</v>
      </c>
      <c r="N252" s="84"/>
      <c r="O252" s="84"/>
      <c r="P252" s="84"/>
      <c r="Q252" s="69" t="str">
        <f t="shared" si="84"/>
        <v/>
      </c>
      <c r="R252" s="84"/>
      <c r="S252" s="65" t="str">
        <f t="shared" si="85"/>
        <v/>
      </c>
      <c r="T252" s="69" t="str">
        <f t="shared" si="86"/>
        <v/>
      </c>
      <c r="U252" s="84"/>
      <c r="V252" s="65" t="str">
        <f t="shared" si="87"/>
        <v/>
      </c>
      <c r="W252" s="108"/>
      <c r="X252" s="108"/>
      <c r="Y252" s="108"/>
      <c r="Z252" s="110" t="str">
        <f t="shared" si="88"/>
        <v/>
      </c>
      <c r="AA252" s="199">
        <f>IF(ISERROR('Berechnungen 2'!AR455),"",'Berechnungen 2'!AR455)</f>
        <v>0</v>
      </c>
      <c r="AB252" s="200">
        <f>IF(ISERROR('Berechnungen 2'!AS455),"",'Berechnungen 2'!AS455)</f>
        <v>0</v>
      </c>
      <c r="AC252" s="200">
        <f>IF(ISERROR('Berechnungen 2'!AT455),"",'Berechnungen 2'!AT455)</f>
        <v>0</v>
      </c>
      <c r="AD252" s="199">
        <f>IF(ISERROR('Berechnungen 2'!BE455),"",'Berechnungen 2'!BE455)</f>
        <v>0</v>
      </c>
      <c r="AE252" s="200">
        <f>IF(ISERROR('Berechnungen 2'!BF455),"",'Berechnungen 2'!BF455)</f>
        <v>0</v>
      </c>
      <c r="AF252" s="200">
        <f>IF(ISERROR('Berechnungen 2'!BG455),"",'Berechnungen 2'!BG455)</f>
        <v>0</v>
      </c>
      <c r="AG252" s="199" t="str">
        <f>IF(ISNUMBER(A252),IF(ISERROR('Berechnungen 2'!BK455),"",'Berechnungen 2'!BK455),"")</f>
        <v/>
      </c>
      <c r="AH252" s="200">
        <f>IF(ISERROR('Berechnungen 2'!BL455),"",'Berechnungen 2'!BL455)</f>
        <v>0</v>
      </c>
      <c r="AI252" s="200">
        <f>IF(ISERROR('Berechnungen 2'!BM455),"",'Berechnungen 2'!BM455)</f>
        <v>0</v>
      </c>
    </row>
    <row r="253" spans="1:35" x14ac:dyDescent="0.2">
      <c r="A253" s="71" t="str">
        <f t="shared" si="73"/>
        <v/>
      </c>
      <c r="B253" s="193">
        <f t="shared" si="74"/>
        <v>241</v>
      </c>
      <c r="C253" s="192">
        <f ca="1">IF(ISERROR(LARGE('Berechnungen 1'!$A$12:$A$311,B253)),"",LARGE('Berechnungen 1'!$A$12:$A$311,B253))</f>
        <v>60</v>
      </c>
      <c r="D253" s="76" t="str">
        <f t="shared" ref="D253:E272" si="89">IF(ISNUMBER($A253),IF(VLOOKUP($C253,Matrix_Berechnungen1.Rang.Pumpendaten.Zwischenresultate,$C$9,0)&gt;0,IF(VLOOKUP($C253,Matrix_Berechnungen1.Rang.Pumpendaten.Zwischenresultate,D$9,0)=0,"",VLOOKUP($C253,Matrix_Berechnungen1.Rang.Pumpendaten.Zwischenresultate,D$9,0)),""),"")</f>
        <v/>
      </c>
      <c r="E253" s="76" t="str">
        <f t="shared" si="89"/>
        <v/>
      </c>
      <c r="F253" s="155" t="str">
        <f t="shared" si="79"/>
        <v/>
      </c>
      <c r="G253" s="204" t="str">
        <f t="shared" si="80"/>
        <v/>
      </c>
      <c r="H253" s="156" t="str">
        <f t="shared" si="81"/>
        <v/>
      </c>
      <c r="I253" s="155" t="str">
        <f t="shared" si="82"/>
        <v/>
      </c>
      <c r="J253" s="184">
        <f t="shared" ca="1" si="83"/>
        <v>999999</v>
      </c>
      <c r="K253" s="184">
        <f>IF(OR(ISBLANK('Etape 1'!E248),ISBLANK('Etape 1'!F248)),IF(AND(ISBLANK('Etape 1'!B248),ISBLANK('Etape 1'!C248),ISBLANK('Etape 1'!D248),ISBLANK('Etape 1'!E248),ISBLANK('Etape 1'!F248),ISBLANK('Etape 1'!G248),ISBLANK('Etape 1'!H248)),999,9999),IF(VLOOKUP($C253,Matrix_Berechnungen1.Rang.Pumpendaten.Zwischenresultate,$C$9,0)&gt;0,VLOOKUP($C253,Matrix_Berechnungen1.Rang.Pumpendaten.Zwischenresultate,K$9,0),""))</f>
        <v>999</v>
      </c>
      <c r="L253" s="184">
        <f t="shared" ref="L253:M272" ca="1" si="90">IF(VLOOKUP($C253,Matrix_Berechnungen1.Rang.Pumpendaten.Zwischenresultate,$C$9,0)&gt;0,VLOOKUP($C253,Matrix_Berechnungen1.Rang.Pumpendaten.Zwischenresultate,L$9,0),"")</f>
        <v>241</v>
      </c>
      <c r="M253" s="184">
        <f t="shared" ca="1" si="90"/>
        <v>0</v>
      </c>
      <c r="N253" s="84"/>
      <c r="O253" s="84"/>
      <c r="P253" s="84"/>
      <c r="Q253" s="69" t="str">
        <f t="shared" si="84"/>
        <v/>
      </c>
      <c r="R253" s="84"/>
      <c r="S253" s="65" t="str">
        <f t="shared" si="85"/>
        <v/>
      </c>
      <c r="T253" s="69" t="str">
        <f t="shared" si="86"/>
        <v/>
      </c>
      <c r="U253" s="84"/>
      <c r="V253" s="65" t="str">
        <f t="shared" si="87"/>
        <v/>
      </c>
      <c r="W253" s="108"/>
      <c r="X253" s="108"/>
      <c r="Y253" s="108"/>
      <c r="Z253" s="110" t="str">
        <f t="shared" si="88"/>
        <v/>
      </c>
      <c r="AA253" s="199">
        <f>IF(ISERROR('Berechnungen 2'!AR456),"",'Berechnungen 2'!AR456)</f>
        <v>0</v>
      </c>
      <c r="AB253" s="200">
        <f>IF(ISERROR('Berechnungen 2'!AS456),"",'Berechnungen 2'!AS456)</f>
        <v>0</v>
      </c>
      <c r="AC253" s="200">
        <f>IF(ISERROR('Berechnungen 2'!AT456),"",'Berechnungen 2'!AT456)</f>
        <v>0</v>
      </c>
      <c r="AD253" s="199">
        <f>IF(ISERROR('Berechnungen 2'!BE456),"",'Berechnungen 2'!BE456)</f>
        <v>0</v>
      </c>
      <c r="AE253" s="200">
        <f>IF(ISERROR('Berechnungen 2'!BF456),"",'Berechnungen 2'!BF456)</f>
        <v>0</v>
      </c>
      <c r="AF253" s="200">
        <f>IF(ISERROR('Berechnungen 2'!BG456),"",'Berechnungen 2'!BG456)</f>
        <v>0</v>
      </c>
      <c r="AG253" s="199" t="str">
        <f>IF(ISNUMBER(A253),IF(ISERROR('Berechnungen 2'!BK456),"",'Berechnungen 2'!BK456),"")</f>
        <v/>
      </c>
      <c r="AH253" s="200">
        <f>IF(ISERROR('Berechnungen 2'!BL456),"",'Berechnungen 2'!BL456)</f>
        <v>0</v>
      </c>
      <c r="AI253" s="200">
        <f>IF(ISERROR('Berechnungen 2'!BM456),"",'Berechnungen 2'!BM456)</f>
        <v>0</v>
      </c>
    </row>
    <row r="254" spans="1:35" x14ac:dyDescent="0.2">
      <c r="A254" s="71" t="str">
        <f t="shared" si="73"/>
        <v/>
      </c>
      <c r="B254" s="193">
        <f t="shared" si="74"/>
        <v>242</v>
      </c>
      <c r="C254" s="192">
        <f ca="1">IF(ISERROR(LARGE('Berechnungen 1'!$A$12:$A$311,B254)),"",LARGE('Berechnungen 1'!$A$12:$A$311,B254))</f>
        <v>59</v>
      </c>
      <c r="D254" s="76" t="str">
        <f t="shared" si="89"/>
        <v/>
      </c>
      <c r="E254" s="76" t="str">
        <f t="shared" si="89"/>
        <v/>
      </c>
      <c r="F254" s="155" t="str">
        <f t="shared" si="79"/>
        <v/>
      </c>
      <c r="G254" s="204" t="str">
        <f t="shared" si="80"/>
        <v/>
      </c>
      <c r="H254" s="156" t="str">
        <f t="shared" si="81"/>
        <v/>
      </c>
      <c r="I254" s="155" t="str">
        <f t="shared" si="82"/>
        <v/>
      </c>
      <c r="J254" s="184">
        <f t="shared" ca="1" si="83"/>
        <v>999999</v>
      </c>
      <c r="K254" s="184">
        <f>IF(OR(ISBLANK('Etape 1'!E249),ISBLANK('Etape 1'!F249)),IF(AND(ISBLANK('Etape 1'!B249),ISBLANK('Etape 1'!C249),ISBLANK('Etape 1'!D249),ISBLANK('Etape 1'!E249),ISBLANK('Etape 1'!F249),ISBLANK('Etape 1'!G249),ISBLANK('Etape 1'!H249)),999,9999),IF(VLOOKUP($C254,Matrix_Berechnungen1.Rang.Pumpendaten.Zwischenresultate,$C$9,0)&gt;0,VLOOKUP($C254,Matrix_Berechnungen1.Rang.Pumpendaten.Zwischenresultate,K$9,0),""))</f>
        <v>999</v>
      </c>
      <c r="L254" s="184">
        <f t="shared" ca="1" si="90"/>
        <v>242</v>
      </c>
      <c r="M254" s="184">
        <f t="shared" ca="1" si="90"/>
        <v>0</v>
      </c>
      <c r="N254" s="84"/>
      <c r="O254" s="84"/>
      <c r="P254" s="84"/>
      <c r="Q254" s="69" t="str">
        <f t="shared" si="84"/>
        <v/>
      </c>
      <c r="R254" s="84"/>
      <c r="S254" s="65" t="str">
        <f t="shared" si="85"/>
        <v/>
      </c>
      <c r="T254" s="69" t="str">
        <f t="shared" si="86"/>
        <v/>
      </c>
      <c r="U254" s="84"/>
      <c r="V254" s="65" t="str">
        <f t="shared" si="87"/>
        <v/>
      </c>
      <c r="W254" s="108"/>
      <c r="X254" s="108"/>
      <c r="Y254" s="108"/>
      <c r="Z254" s="110" t="str">
        <f t="shared" si="88"/>
        <v/>
      </c>
      <c r="AA254" s="199">
        <f>IF(ISERROR('Berechnungen 2'!AR457),"",'Berechnungen 2'!AR457)</f>
        <v>0</v>
      </c>
      <c r="AB254" s="200">
        <f>IF(ISERROR('Berechnungen 2'!AS457),"",'Berechnungen 2'!AS457)</f>
        <v>0</v>
      </c>
      <c r="AC254" s="200">
        <f>IF(ISERROR('Berechnungen 2'!AT457),"",'Berechnungen 2'!AT457)</f>
        <v>0</v>
      </c>
      <c r="AD254" s="199">
        <f>IF(ISERROR('Berechnungen 2'!BE457),"",'Berechnungen 2'!BE457)</f>
        <v>0</v>
      </c>
      <c r="AE254" s="200">
        <f>IF(ISERROR('Berechnungen 2'!BF457),"",'Berechnungen 2'!BF457)</f>
        <v>0</v>
      </c>
      <c r="AF254" s="200">
        <f>IF(ISERROR('Berechnungen 2'!BG457),"",'Berechnungen 2'!BG457)</f>
        <v>0</v>
      </c>
      <c r="AG254" s="199" t="str">
        <f>IF(ISNUMBER(A254),IF(ISERROR('Berechnungen 2'!BK457),"",'Berechnungen 2'!BK457),"")</f>
        <v/>
      </c>
      <c r="AH254" s="200">
        <f>IF(ISERROR('Berechnungen 2'!BL457),"",'Berechnungen 2'!BL457)</f>
        <v>0</v>
      </c>
      <c r="AI254" s="200">
        <f>IF(ISERROR('Berechnungen 2'!BM457),"",'Berechnungen 2'!BM457)</f>
        <v>0</v>
      </c>
    </row>
    <row r="255" spans="1:35" x14ac:dyDescent="0.2">
      <c r="A255" s="71" t="str">
        <f t="shared" si="73"/>
        <v/>
      </c>
      <c r="B255" s="193">
        <f t="shared" si="74"/>
        <v>243</v>
      </c>
      <c r="C255" s="192">
        <f ca="1">IF(ISERROR(LARGE('Berechnungen 1'!$A$12:$A$311,B255)),"",LARGE('Berechnungen 1'!$A$12:$A$311,B255))</f>
        <v>58</v>
      </c>
      <c r="D255" s="76" t="str">
        <f t="shared" si="89"/>
        <v/>
      </c>
      <c r="E255" s="76" t="str">
        <f t="shared" si="89"/>
        <v/>
      </c>
      <c r="F255" s="155" t="str">
        <f t="shared" si="79"/>
        <v/>
      </c>
      <c r="G255" s="204" t="str">
        <f t="shared" si="80"/>
        <v/>
      </c>
      <c r="H255" s="156" t="str">
        <f t="shared" si="81"/>
        <v/>
      </c>
      <c r="I255" s="155" t="str">
        <f t="shared" si="82"/>
        <v/>
      </c>
      <c r="J255" s="184">
        <f t="shared" ca="1" si="83"/>
        <v>999999</v>
      </c>
      <c r="K255" s="184">
        <f>IF(OR(ISBLANK('Etape 1'!E250),ISBLANK('Etape 1'!F250)),IF(AND(ISBLANK('Etape 1'!B250),ISBLANK('Etape 1'!C250),ISBLANK('Etape 1'!D250),ISBLANK('Etape 1'!E250),ISBLANK('Etape 1'!F250),ISBLANK('Etape 1'!G250),ISBLANK('Etape 1'!H250)),999,9999),IF(VLOOKUP($C255,Matrix_Berechnungen1.Rang.Pumpendaten.Zwischenresultate,$C$9,0)&gt;0,VLOOKUP($C255,Matrix_Berechnungen1.Rang.Pumpendaten.Zwischenresultate,K$9,0),""))</f>
        <v>999</v>
      </c>
      <c r="L255" s="184">
        <f t="shared" ca="1" si="90"/>
        <v>243</v>
      </c>
      <c r="M255" s="184">
        <f t="shared" ca="1" si="90"/>
        <v>0</v>
      </c>
      <c r="N255" s="84"/>
      <c r="O255" s="84"/>
      <c r="P255" s="84"/>
      <c r="Q255" s="69" t="str">
        <f t="shared" si="84"/>
        <v/>
      </c>
      <c r="R255" s="84"/>
      <c r="S255" s="65" t="str">
        <f t="shared" si="85"/>
        <v/>
      </c>
      <c r="T255" s="69" t="str">
        <f t="shared" si="86"/>
        <v/>
      </c>
      <c r="U255" s="84"/>
      <c r="V255" s="65" t="str">
        <f t="shared" si="87"/>
        <v/>
      </c>
      <c r="W255" s="108"/>
      <c r="X255" s="108"/>
      <c r="Y255" s="108"/>
      <c r="Z255" s="110" t="str">
        <f t="shared" si="88"/>
        <v/>
      </c>
      <c r="AA255" s="199">
        <f>IF(ISERROR('Berechnungen 2'!AR458),"",'Berechnungen 2'!AR458)</f>
        <v>0</v>
      </c>
      <c r="AB255" s="200">
        <f>IF(ISERROR('Berechnungen 2'!AS458),"",'Berechnungen 2'!AS458)</f>
        <v>0</v>
      </c>
      <c r="AC255" s="200">
        <f>IF(ISERROR('Berechnungen 2'!AT458),"",'Berechnungen 2'!AT458)</f>
        <v>0</v>
      </c>
      <c r="AD255" s="199">
        <f>IF(ISERROR('Berechnungen 2'!BE458),"",'Berechnungen 2'!BE458)</f>
        <v>0</v>
      </c>
      <c r="AE255" s="200">
        <f>IF(ISERROR('Berechnungen 2'!BF458),"",'Berechnungen 2'!BF458)</f>
        <v>0</v>
      </c>
      <c r="AF255" s="200">
        <f>IF(ISERROR('Berechnungen 2'!BG458),"",'Berechnungen 2'!BG458)</f>
        <v>0</v>
      </c>
      <c r="AG255" s="199" t="str">
        <f>IF(ISNUMBER(A255),IF(ISERROR('Berechnungen 2'!BK458),"",'Berechnungen 2'!BK458),"")</f>
        <v/>
      </c>
      <c r="AH255" s="200">
        <f>IF(ISERROR('Berechnungen 2'!BL458),"",'Berechnungen 2'!BL458)</f>
        <v>0</v>
      </c>
      <c r="AI255" s="200">
        <f>IF(ISERROR('Berechnungen 2'!BM458),"",'Berechnungen 2'!BM458)</f>
        <v>0</v>
      </c>
    </row>
    <row r="256" spans="1:35" x14ac:dyDescent="0.2">
      <c r="A256" s="71" t="str">
        <f t="shared" si="73"/>
        <v/>
      </c>
      <c r="B256" s="193">
        <f t="shared" si="74"/>
        <v>244</v>
      </c>
      <c r="C256" s="192">
        <f ca="1">IF(ISERROR(LARGE('Berechnungen 1'!$A$12:$A$311,B256)),"",LARGE('Berechnungen 1'!$A$12:$A$311,B256))</f>
        <v>57</v>
      </c>
      <c r="D256" s="76" t="str">
        <f t="shared" si="89"/>
        <v/>
      </c>
      <c r="E256" s="76" t="str">
        <f t="shared" si="89"/>
        <v/>
      </c>
      <c r="F256" s="155" t="str">
        <f t="shared" si="79"/>
        <v/>
      </c>
      <c r="G256" s="204" t="str">
        <f t="shared" si="80"/>
        <v/>
      </c>
      <c r="H256" s="156" t="str">
        <f t="shared" si="81"/>
        <v/>
      </c>
      <c r="I256" s="155" t="str">
        <f t="shared" si="82"/>
        <v/>
      </c>
      <c r="J256" s="184">
        <f t="shared" ca="1" si="83"/>
        <v>999999</v>
      </c>
      <c r="K256" s="184">
        <f>IF(OR(ISBLANK('Etape 1'!E251),ISBLANK('Etape 1'!F251)),IF(AND(ISBLANK('Etape 1'!B251),ISBLANK('Etape 1'!C251),ISBLANK('Etape 1'!D251),ISBLANK('Etape 1'!E251),ISBLANK('Etape 1'!F251),ISBLANK('Etape 1'!G251),ISBLANK('Etape 1'!H251)),999,9999),IF(VLOOKUP($C256,Matrix_Berechnungen1.Rang.Pumpendaten.Zwischenresultate,$C$9,0)&gt;0,VLOOKUP($C256,Matrix_Berechnungen1.Rang.Pumpendaten.Zwischenresultate,K$9,0),""))</f>
        <v>999</v>
      </c>
      <c r="L256" s="184">
        <f t="shared" ca="1" si="90"/>
        <v>244</v>
      </c>
      <c r="M256" s="184">
        <f t="shared" ca="1" si="90"/>
        <v>0</v>
      </c>
      <c r="N256" s="84"/>
      <c r="O256" s="84"/>
      <c r="P256" s="84"/>
      <c r="Q256" s="69" t="str">
        <f t="shared" si="84"/>
        <v/>
      </c>
      <c r="R256" s="84"/>
      <c r="S256" s="65" t="str">
        <f t="shared" si="85"/>
        <v/>
      </c>
      <c r="T256" s="69" t="str">
        <f t="shared" si="86"/>
        <v/>
      </c>
      <c r="U256" s="84"/>
      <c r="V256" s="65" t="str">
        <f t="shared" si="87"/>
        <v/>
      </c>
      <c r="W256" s="108"/>
      <c r="X256" s="108"/>
      <c r="Y256" s="108"/>
      <c r="Z256" s="110" t="str">
        <f t="shared" si="88"/>
        <v/>
      </c>
      <c r="AA256" s="199">
        <f>IF(ISERROR('Berechnungen 2'!AR459),"",'Berechnungen 2'!AR459)</f>
        <v>0</v>
      </c>
      <c r="AB256" s="200">
        <f>IF(ISERROR('Berechnungen 2'!AS459),"",'Berechnungen 2'!AS459)</f>
        <v>0</v>
      </c>
      <c r="AC256" s="200">
        <f>IF(ISERROR('Berechnungen 2'!AT459),"",'Berechnungen 2'!AT459)</f>
        <v>0</v>
      </c>
      <c r="AD256" s="199">
        <f>IF(ISERROR('Berechnungen 2'!BE459),"",'Berechnungen 2'!BE459)</f>
        <v>0</v>
      </c>
      <c r="AE256" s="200">
        <f>IF(ISERROR('Berechnungen 2'!BF459),"",'Berechnungen 2'!BF459)</f>
        <v>0</v>
      </c>
      <c r="AF256" s="200">
        <f>IF(ISERROR('Berechnungen 2'!BG459),"",'Berechnungen 2'!BG459)</f>
        <v>0</v>
      </c>
      <c r="AG256" s="199" t="str">
        <f>IF(ISNUMBER(A256),IF(ISERROR('Berechnungen 2'!BK459),"",'Berechnungen 2'!BK459),"")</f>
        <v/>
      </c>
      <c r="AH256" s="200">
        <f>IF(ISERROR('Berechnungen 2'!BL459),"",'Berechnungen 2'!BL459)</f>
        <v>0</v>
      </c>
      <c r="AI256" s="200">
        <f>IF(ISERROR('Berechnungen 2'!BM459),"",'Berechnungen 2'!BM459)</f>
        <v>0</v>
      </c>
    </row>
    <row r="257" spans="1:35" x14ac:dyDescent="0.2">
      <c r="A257" s="71" t="str">
        <f t="shared" si="73"/>
        <v/>
      </c>
      <c r="B257" s="193">
        <f t="shared" si="74"/>
        <v>245</v>
      </c>
      <c r="C257" s="192">
        <f ca="1">IF(ISERROR(LARGE('Berechnungen 1'!$A$12:$A$311,B257)),"",LARGE('Berechnungen 1'!$A$12:$A$311,B257))</f>
        <v>56</v>
      </c>
      <c r="D257" s="76" t="str">
        <f t="shared" si="89"/>
        <v/>
      </c>
      <c r="E257" s="76" t="str">
        <f t="shared" si="89"/>
        <v/>
      </c>
      <c r="F257" s="155" t="str">
        <f t="shared" si="79"/>
        <v/>
      </c>
      <c r="G257" s="204" t="str">
        <f t="shared" si="80"/>
        <v/>
      </c>
      <c r="H257" s="156" t="str">
        <f t="shared" si="81"/>
        <v/>
      </c>
      <c r="I257" s="155" t="str">
        <f t="shared" si="82"/>
        <v/>
      </c>
      <c r="J257" s="184">
        <f t="shared" ca="1" si="83"/>
        <v>999999</v>
      </c>
      <c r="K257" s="184">
        <f>IF(OR(ISBLANK('Etape 1'!E252),ISBLANK('Etape 1'!F252)),IF(AND(ISBLANK('Etape 1'!B252),ISBLANK('Etape 1'!C252),ISBLANK('Etape 1'!D252),ISBLANK('Etape 1'!E252),ISBLANK('Etape 1'!F252),ISBLANK('Etape 1'!G252),ISBLANK('Etape 1'!H252)),999,9999),IF(VLOOKUP($C257,Matrix_Berechnungen1.Rang.Pumpendaten.Zwischenresultate,$C$9,0)&gt;0,VLOOKUP($C257,Matrix_Berechnungen1.Rang.Pumpendaten.Zwischenresultate,K$9,0),""))</f>
        <v>999</v>
      </c>
      <c r="L257" s="184">
        <f t="shared" ca="1" si="90"/>
        <v>245</v>
      </c>
      <c r="M257" s="184">
        <f t="shared" ca="1" si="90"/>
        <v>0</v>
      </c>
      <c r="N257" s="84"/>
      <c r="O257" s="84"/>
      <c r="P257" s="84"/>
      <c r="Q257" s="69" t="str">
        <f t="shared" si="84"/>
        <v/>
      </c>
      <c r="R257" s="84"/>
      <c r="S257" s="65" t="str">
        <f t="shared" si="85"/>
        <v/>
      </c>
      <c r="T257" s="69" t="str">
        <f t="shared" si="86"/>
        <v/>
      </c>
      <c r="U257" s="84"/>
      <c r="V257" s="65" t="str">
        <f t="shared" si="87"/>
        <v/>
      </c>
      <c r="W257" s="108"/>
      <c r="X257" s="108"/>
      <c r="Y257" s="108"/>
      <c r="Z257" s="110" t="str">
        <f t="shared" si="88"/>
        <v/>
      </c>
      <c r="AA257" s="199">
        <f>IF(ISERROR('Berechnungen 2'!AR460),"",'Berechnungen 2'!AR460)</f>
        <v>0</v>
      </c>
      <c r="AB257" s="200">
        <f>IF(ISERROR('Berechnungen 2'!AS460),"",'Berechnungen 2'!AS460)</f>
        <v>0</v>
      </c>
      <c r="AC257" s="200">
        <f>IF(ISERROR('Berechnungen 2'!AT460),"",'Berechnungen 2'!AT460)</f>
        <v>0</v>
      </c>
      <c r="AD257" s="199">
        <f>IF(ISERROR('Berechnungen 2'!BE460),"",'Berechnungen 2'!BE460)</f>
        <v>0</v>
      </c>
      <c r="AE257" s="200">
        <f>IF(ISERROR('Berechnungen 2'!BF460),"",'Berechnungen 2'!BF460)</f>
        <v>0</v>
      </c>
      <c r="AF257" s="200">
        <f>IF(ISERROR('Berechnungen 2'!BG460),"",'Berechnungen 2'!BG460)</f>
        <v>0</v>
      </c>
      <c r="AG257" s="199" t="str">
        <f>IF(ISNUMBER(A257),IF(ISERROR('Berechnungen 2'!BK460),"",'Berechnungen 2'!BK460),"")</f>
        <v/>
      </c>
      <c r="AH257" s="200">
        <f>IF(ISERROR('Berechnungen 2'!BL460),"",'Berechnungen 2'!BL460)</f>
        <v>0</v>
      </c>
      <c r="AI257" s="200">
        <f>IF(ISERROR('Berechnungen 2'!BM460),"",'Berechnungen 2'!BM460)</f>
        <v>0</v>
      </c>
    </row>
    <row r="258" spans="1:35" x14ac:dyDescent="0.2">
      <c r="A258" s="71" t="str">
        <f t="shared" si="73"/>
        <v/>
      </c>
      <c r="B258" s="193">
        <f t="shared" si="74"/>
        <v>246</v>
      </c>
      <c r="C258" s="192">
        <f ca="1">IF(ISERROR(LARGE('Berechnungen 1'!$A$12:$A$311,B258)),"",LARGE('Berechnungen 1'!$A$12:$A$311,B258))</f>
        <v>55</v>
      </c>
      <c r="D258" s="76" t="str">
        <f t="shared" si="89"/>
        <v/>
      </c>
      <c r="E258" s="76" t="str">
        <f t="shared" si="89"/>
        <v/>
      </c>
      <c r="F258" s="155" t="str">
        <f t="shared" si="79"/>
        <v/>
      </c>
      <c r="G258" s="204" t="str">
        <f t="shared" si="80"/>
        <v/>
      </c>
      <c r="H258" s="156" t="str">
        <f t="shared" si="81"/>
        <v/>
      </c>
      <c r="I258" s="155" t="str">
        <f t="shared" si="82"/>
        <v/>
      </c>
      <c r="J258" s="184">
        <f t="shared" ca="1" si="83"/>
        <v>999999</v>
      </c>
      <c r="K258" s="184">
        <f>IF(OR(ISBLANK('Etape 1'!E253),ISBLANK('Etape 1'!F253)),IF(AND(ISBLANK('Etape 1'!B253),ISBLANK('Etape 1'!C253),ISBLANK('Etape 1'!D253),ISBLANK('Etape 1'!E253),ISBLANK('Etape 1'!F253),ISBLANK('Etape 1'!G253),ISBLANK('Etape 1'!H253)),999,9999),IF(VLOOKUP($C258,Matrix_Berechnungen1.Rang.Pumpendaten.Zwischenresultate,$C$9,0)&gt;0,VLOOKUP($C258,Matrix_Berechnungen1.Rang.Pumpendaten.Zwischenresultate,K$9,0),""))</f>
        <v>999</v>
      </c>
      <c r="L258" s="184">
        <f t="shared" ca="1" si="90"/>
        <v>246</v>
      </c>
      <c r="M258" s="184">
        <f t="shared" ca="1" si="90"/>
        <v>0</v>
      </c>
      <c r="N258" s="84"/>
      <c r="O258" s="84"/>
      <c r="P258" s="84"/>
      <c r="Q258" s="69" t="str">
        <f t="shared" si="84"/>
        <v/>
      </c>
      <c r="R258" s="84"/>
      <c r="S258" s="65" t="str">
        <f t="shared" si="85"/>
        <v/>
      </c>
      <c r="T258" s="69" t="str">
        <f t="shared" si="86"/>
        <v/>
      </c>
      <c r="U258" s="84"/>
      <c r="V258" s="65" t="str">
        <f t="shared" si="87"/>
        <v/>
      </c>
      <c r="W258" s="108"/>
      <c r="X258" s="108"/>
      <c r="Y258" s="108"/>
      <c r="Z258" s="110" t="str">
        <f t="shared" si="88"/>
        <v/>
      </c>
      <c r="AA258" s="199">
        <f>IF(ISERROR('Berechnungen 2'!AR461),"",'Berechnungen 2'!AR461)</f>
        <v>0</v>
      </c>
      <c r="AB258" s="200">
        <f>IF(ISERROR('Berechnungen 2'!AS461),"",'Berechnungen 2'!AS461)</f>
        <v>0</v>
      </c>
      <c r="AC258" s="200">
        <f>IF(ISERROR('Berechnungen 2'!AT461),"",'Berechnungen 2'!AT461)</f>
        <v>0</v>
      </c>
      <c r="AD258" s="199">
        <f>IF(ISERROR('Berechnungen 2'!BE461),"",'Berechnungen 2'!BE461)</f>
        <v>0</v>
      </c>
      <c r="AE258" s="200">
        <f>IF(ISERROR('Berechnungen 2'!BF461),"",'Berechnungen 2'!BF461)</f>
        <v>0</v>
      </c>
      <c r="AF258" s="200">
        <f>IF(ISERROR('Berechnungen 2'!BG461),"",'Berechnungen 2'!BG461)</f>
        <v>0</v>
      </c>
      <c r="AG258" s="199" t="str">
        <f>IF(ISNUMBER(A258),IF(ISERROR('Berechnungen 2'!BK461),"",'Berechnungen 2'!BK461),"")</f>
        <v/>
      </c>
      <c r="AH258" s="200">
        <f>IF(ISERROR('Berechnungen 2'!BL461),"",'Berechnungen 2'!BL461)</f>
        <v>0</v>
      </c>
      <c r="AI258" s="200">
        <f>IF(ISERROR('Berechnungen 2'!BM461),"",'Berechnungen 2'!BM461)</f>
        <v>0</v>
      </c>
    </row>
    <row r="259" spans="1:35" x14ac:dyDescent="0.2">
      <c r="A259" s="71" t="str">
        <f t="shared" si="73"/>
        <v/>
      </c>
      <c r="B259" s="193">
        <f t="shared" si="74"/>
        <v>247</v>
      </c>
      <c r="C259" s="192">
        <f ca="1">IF(ISERROR(LARGE('Berechnungen 1'!$A$12:$A$311,B259)),"",LARGE('Berechnungen 1'!$A$12:$A$311,B259))</f>
        <v>54</v>
      </c>
      <c r="D259" s="76" t="str">
        <f t="shared" si="89"/>
        <v/>
      </c>
      <c r="E259" s="76" t="str">
        <f t="shared" si="89"/>
        <v/>
      </c>
      <c r="F259" s="155" t="str">
        <f t="shared" si="79"/>
        <v/>
      </c>
      <c r="G259" s="204" t="str">
        <f t="shared" si="80"/>
        <v/>
      </c>
      <c r="H259" s="156" t="str">
        <f t="shared" si="81"/>
        <v/>
      </c>
      <c r="I259" s="155" t="str">
        <f t="shared" si="82"/>
        <v/>
      </c>
      <c r="J259" s="184">
        <f t="shared" ca="1" si="83"/>
        <v>999999</v>
      </c>
      <c r="K259" s="184">
        <f>IF(OR(ISBLANK('Etape 1'!E254),ISBLANK('Etape 1'!F254)),IF(AND(ISBLANK('Etape 1'!B254),ISBLANK('Etape 1'!C254),ISBLANK('Etape 1'!D254),ISBLANK('Etape 1'!E254),ISBLANK('Etape 1'!F254),ISBLANK('Etape 1'!G254),ISBLANK('Etape 1'!H254)),999,9999),IF(VLOOKUP($C259,Matrix_Berechnungen1.Rang.Pumpendaten.Zwischenresultate,$C$9,0)&gt;0,VLOOKUP($C259,Matrix_Berechnungen1.Rang.Pumpendaten.Zwischenresultate,K$9,0),""))</f>
        <v>999</v>
      </c>
      <c r="L259" s="184">
        <f t="shared" ca="1" si="90"/>
        <v>247</v>
      </c>
      <c r="M259" s="184">
        <f t="shared" ca="1" si="90"/>
        <v>0</v>
      </c>
      <c r="N259" s="84"/>
      <c r="O259" s="84"/>
      <c r="P259" s="84"/>
      <c r="Q259" s="69" t="str">
        <f t="shared" si="84"/>
        <v/>
      </c>
      <c r="R259" s="84"/>
      <c r="S259" s="65" t="str">
        <f t="shared" si="85"/>
        <v/>
      </c>
      <c r="T259" s="69" t="str">
        <f t="shared" si="86"/>
        <v/>
      </c>
      <c r="U259" s="84"/>
      <c r="V259" s="65" t="str">
        <f t="shared" si="87"/>
        <v/>
      </c>
      <c r="W259" s="108"/>
      <c r="X259" s="108"/>
      <c r="Y259" s="108"/>
      <c r="Z259" s="110" t="str">
        <f t="shared" si="88"/>
        <v/>
      </c>
      <c r="AA259" s="199">
        <f>IF(ISERROR('Berechnungen 2'!AR462),"",'Berechnungen 2'!AR462)</f>
        <v>0</v>
      </c>
      <c r="AB259" s="200">
        <f>IF(ISERROR('Berechnungen 2'!AS462),"",'Berechnungen 2'!AS462)</f>
        <v>0</v>
      </c>
      <c r="AC259" s="200">
        <f>IF(ISERROR('Berechnungen 2'!AT462),"",'Berechnungen 2'!AT462)</f>
        <v>0</v>
      </c>
      <c r="AD259" s="199">
        <f>IF(ISERROR('Berechnungen 2'!BE462),"",'Berechnungen 2'!BE462)</f>
        <v>0</v>
      </c>
      <c r="AE259" s="200">
        <f>IF(ISERROR('Berechnungen 2'!BF462),"",'Berechnungen 2'!BF462)</f>
        <v>0</v>
      </c>
      <c r="AF259" s="200">
        <f>IF(ISERROR('Berechnungen 2'!BG462),"",'Berechnungen 2'!BG462)</f>
        <v>0</v>
      </c>
      <c r="AG259" s="199" t="str">
        <f>IF(ISNUMBER(A259),IF(ISERROR('Berechnungen 2'!BK462),"",'Berechnungen 2'!BK462),"")</f>
        <v/>
      </c>
      <c r="AH259" s="200">
        <f>IF(ISERROR('Berechnungen 2'!BL462),"",'Berechnungen 2'!BL462)</f>
        <v>0</v>
      </c>
      <c r="AI259" s="200">
        <f>IF(ISERROR('Berechnungen 2'!BM462),"",'Berechnungen 2'!BM462)</f>
        <v>0</v>
      </c>
    </row>
    <row r="260" spans="1:35" x14ac:dyDescent="0.2">
      <c r="A260" s="71" t="str">
        <f t="shared" si="73"/>
        <v/>
      </c>
      <c r="B260" s="193">
        <f t="shared" si="74"/>
        <v>248</v>
      </c>
      <c r="C260" s="192">
        <f ca="1">IF(ISERROR(LARGE('Berechnungen 1'!$A$12:$A$311,B260)),"",LARGE('Berechnungen 1'!$A$12:$A$311,B260))</f>
        <v>53</v>
      </c>
      <c r="D260" s="76" t="str">
        <f t="shared" si="89"/>
        <v/>
      </c>
      <c r="E260" s="76" t="str">
        <f t="shared" si="89"/>
        <v/>
      </c>
      <c r="F260" s="155" t="str">
        <f t="shared" si="79"/>
        <v/>
      </c>
      <c r="G260" s="204" t="str">
        <f t="shared" si="80"/>
        <v/>
      </c>
      <c r="H260" s="156" t="str">
        <f t="shared" si="81"/>
        <v/>
      </c>
      <c r="I260" s="155" t="str">
        <f t="shared" si="82"/>
        <v/>
      </c>
      <c r="J260" s="184">
        <f t="shared" ca="1" si="83"/>
        <v>999999</v>
      </c>
      <c r="K260" s="184">
        <f>IF(OR(ISBLANK('Etape 1'!E255),ISBLANK('Etape 1'!F255)),IF(AND(ISBLANK('Etape 1'!B255),ISBLANK('Etape 1'!C255),ISBLANK('Etape 1'!D255),ISBLANK('Etape 1'!E255),ISBLANK('Etape 1'!F255),ISBLANK('Etape 1'!G255),ISBLANK('Etape 1'!H255)),999,9999),IF(VLOOKUP($C260,Matrix_Berechnungen1.Rang.Pumpendaten.Zwischenresultate,$C$9,0)&gt;0,VLOOKUP($C260,Matrix_Berechnungen1.Rang.Pumpendaten.Zwischenresultate,K$9,0),""))</f>
        <v>999</v>
      </c>
      <c r="L260" s="184">
        <f t="shared" ca="1" si="90"/>
        <v>248</v>
      </c>
      <c r="M260" s="184">
        <f t="shared" ca="1" si="90"/>
        <v>0</v>
      </c>
      <c r="N260" s="84"/>
      <c r="O260" s="84"/>
      <c r="P260" s="84"/>
      <c r="Q260" s="69" t="str">
        <f t="shared" si="84"/>
        <v/>
      </c>
      <c r="R260" s="84"/>
      <c r="S260" s="65" t="str">
        <f t="shared" si="85"/>
        <v/>
      </c>
      <c r="T260" s="69" t="str">
        <f t="shared" si="86"/>
        <v/>
      </c>
      <c r="U260" s="84"/>
      <c r="V260" s="65" t="str">
        <f t="shared" si="87"/>
        <v/>
      </c>
      <c r="W260" s="108"/>
      <c r="X260" s="108"/>
      <c r="Y260" s="108"/>
      <c r="Z260" s="110" t="str">
        <f t="shared" si="88"/>
        <v/>
      </c>
      <c r="AA260" s="199">
        <f>IF(ISERROR('Berechnungen 2'!AR463),"",'Berechnungen 2'!AR463)</f>
        <v>0</v>
      </c>
      <c r="AB260" s="200">
        <f>IF(ISERROR('Berechnungen 2'!AS463),"",'Berechnungen 2'!AS463)</f>
        <v>0</v>
      </c>
      <c r="AC260" s="200">
        <f>IF(ISERROR('Berechnungen 2'!AT463),"",'Berechnungen 2'!AT463)</f>
        <v>0</v>
      </c>
      <c r="AD260" s="199">
        <f>IF(ISERROR('Berechnungen 2'!BE463),"",'Berechnungen 2'!BE463)</f>
        <v>0</v>
      </c>
      <c r="AE260" s="200">
        <f>IF(ISERROR('Berechnungen 2'!BF463),"",'Berechnungen 2'!BF463)</f>
        <v>0</v>
      </c>
      <c r="AF260" s="200">
        <f>IF(ISERROR('Berechnungen 2'!BG463),"",'Berechnungen 2'!BG463)</f>
        <v>0</v>
      </c>
      <c r="AG260" s="199" t="str">
        <f>IF(ISNUMBER(A260),IF(ISERROR('Berechnungen 2'!BK463),"",'Berechnungen 2'!BK463),"")</f>
        <v/>
      </c>
      <c r="AH260" s="200">
        <f>IF(ISERROR('Berechnungen 2'!BL463),"",'Berechnungen 2'!BL463)</f>
        <v>0</v>
      </c>
      <c r="AI260" s="200">
        <f>IF(ISERROR('Berechnungen 2'!BM463),"",'Berechnungen 2'!BM463)</f>
        <v>0</v>
      </c>
    </row>
    <row r="261" spans="1:35" x14ac:dyDescent="0.2">
      <c r="A261" s="71" t="str">
        <f t="shared" si="73"/>
        <v/>
      </c>
      <c r="B261" s="193">
        <f t="shared" si="74"/>
        <v>249</v>
      </c>
      <c r="C261" s="192">
        <f ca="1">IF(ISERROR(LARGE('Berechnungen 1'!$A$12:$A$311,B261)),"",LARGE('Berechnungen 1'!$A$12:$A$311,B261))</f>
        <v>52</v>
      </c>
      <c r="D261" s="76" t="str">
        <f t="shared" si="89"/>
        <v/>
      </c>
      <c r="E261" s="76" t="str">
        <f t="shared" si="89"/>
        <v/>
      </c>
      <c r="F261" s="155" t="str">
        <f t="shared" si="79"/>
        <v/>
      </c>
      <c r="G261" s="204" t="str">
        <f t="shared" si="80"/>
        <v/>
      </c>
      <c r="H261" s="156" t="str">
        <f t="shared" si="81"/>
        <v/>
      </c>
      <c r="I261" s="155" t="str">
        <f t="shared" si="82"/>
        <v/>
      </c>
      <c r="J261" s="184">
        <f t="shared" ca="1" si="83"/>
        <v>999999</v>
      </c>
      <c r="K261" s="184">
        <f>IF(OR(ISBLANK('Etape 1'!E256),ISBLANK('Etape 1'!F256)),IF(AND(ISBLANK('Etape 1'!B256),ISBLANK('Etape 1'!C256),ISBLANK('Etape 1'!D256),ISBLANK('Etape 1'!E256),ISBLANK('Etape 1'!F256),ISBLANK('Etape 1'!G256),ISBLANK('Etape 1'!H256)),999,9999),IF(VLOOKUP($C261,Matrix_Berechnungen1.Rang.Pumpendaten.Zwischenresultate,$C$9,0)&gt;0,VLOOKUP($C261,Matrix_Berechnungen1.Rang.Pumpendaten.Zwischenresultate,K$9,0),""))</f>
        <v>999</v>
      </c>
      <c r="L261" s="184">
        <f t="shared" ca="1" si="90"/>
        <v>249</v>
      </c>
      <c r="M261" s="184">
        <f t="shared" ca="1" si="90"/>
        <v>0</v>
      </c>
      <c r="N261" s="84"/>
      <c r="O261" s="84"/>
      <c r="P261" s="84"/>
      <c r="Q261" s="69" t="str">
        <f t="shared" si="84"/>
        <v/>
      </c>
      <c r="R261" s="84"/>
      <c r="S261" s="65" t="str">
        <f t="shared" si="85"/>
        <v/>
      </c>
      <c r="T261" s="69" t="str">
        <f t="shared" si="86"/>
        <v/>
      </c>
      <c r="U261" s="84"/>
      <c r="V261" s="65" t="str">
        <f t="shared" si="87"/>
        <v/>
      </c>
      <c r="W261" s="108"/>
      <c r="X261" s="108"/>
      <c r="Y261" s="108"/>
      <c r="Z261" s="110" t="str">
        <f t="shared" si="88"/>
        <v/>
      </c>
      <c r="AA261" s="199">
        <f>IF(ISERROR('Berechnungen 2'!AR464),"",'Berechnungen 2'!AR464)</f>
        <v>0</v>
      </c>
      <c r="AB261" s="200">
        <f>IF(ISERROR('Berechnungen 2'!AS464),"",'Berechnungen 2'!AS464)</f>
        <v>0</v>
      </c>
      <c r="AC261" s="200">
        <f>IF(ISERROR('Berechnungen 2'!AT464),"",'Berechnungen 2'!AT464)</f>
        <v>0</v>
      </c>
      <c r="AD261" s="199">
        <f>IF(ISERROR('Berechnungen 2'!BE464),"",'Berechnungen 2'!BE464)</f>
        <v>0</v>
      </c>
      <c r="AE261" s="200">
        <f>IF(ISERROR('Berechnungen 2'!BF464),"",'Berechnungen 2'!BF464)</f>
        <v>0</v>
      </c>
      <c r="AF261" s="200">
        <f>IF(ISERROR('Berechnungen 2'!BG464),"",'Berechnungen 2'!BG464)</f>
        <v>0</v>
      </c>
      <c r="AG261" s="199" t="str">
        <f>IF(ISNUMBER(A261),IF(ISERROR('Berechnungen 2'!BK464),"",'Berechnungen 2'!BK464),"")</f>
        <v/>
      </c>
      <c r="AH261" s="200">
        <f>IF(ISERROR('Berechnungen 2'!BL464),"",'Berechnungen 2'!BL464)</f>
        <v>0</v>
      </c>
      <c r="AI261" s="200">
        <f>IF(ISERROR('Berechnungen 2'!BM464),"",'Berechnungen 2'!BM464)</f>
        <v>0</v>
      </c>
    </row>
    <row r="262" spans="1:35" x14ac:dyDescent="0.2">
      <c r="A262" s="71" t="str">
        <f t="shared" si="73"/>
        <v/>
      </c>
      <c r="B262" s="193">
        <f t="shared" si="74"/>
        <v>250</v>
      </c>
      <c r="C262" s="192">
        <f ca="1">IF(ISERROR(LARGE('Berechnungen 1'!$A$12:$A$311,B262)),"",LARGE('Berechnungen 1'!$A$12:$A$311,B262))</f>
        <v>51</v>
      </c>
      <c r="D262" s="76" t="str">
        <f t="shared" si="89"/>
        <v/>
      </c>
      <c r="E262" s="76" t="str">
        <f t="shared" si="89"/>
        <v/>
      </c>
      <c r="F262" s="155" t="str">
        <f t="shared" si="79"/>
        <v/>
      </c>
      <c r="G262" s="204" t="str">
        <f t="shared" si="80"/>
        <v/>
      </c>
      <c r="H262" s="156" t="str">
        <f t="shared" si="81"/>
        <v/>
      </c>
      <c r="I262" s="155" t="str">
        <f t="shared" si="82"/>
        <v/>
      </c>
      <c r="J262" s="184">
        <f t="shared" ca="1" si="83"/>
        <v>999999</v>
      </c>
      <c r="K262" s="184">
        <f>IF(OR(ISBLANK('Etape 1'!E257),ISBLANK('Etape 1'!F257)),IF(AND(ISBLANK('Etape 1'!B257),ISBLANK('Etape 1'!C257),ISBLANK('Etape 1'!D257),ISBLANK('Etape 1'!E257),ISBLANK('Etape 1'!F257),ISBLANK('Etape 1'!G257),ISBLANK('Etape 1'!H257)),999,9999),IF(VLOOKUP($C262,Matrix_Berechnungen1.Rang.Pumpendaten.Zwischenresultate,$C$9,0)&gt;0,VLOOKUP($C262,Matrix_Berechnungen1.Rang.Pumpendaten.Zwischenresultate,K$9,0),""))</f>
        <v>999</v>
      </c>
      <c r="L262" s="184">
        <f t="shared" ca="1" si="90"/>
        <v>250</v>
      </c>
      <c r="M262" s="184">
        <f t="shared" ca="1" si="90"/>
        <v>0</v>
      </c>
      <c r="N262" s="84"/>
      <c r="O262" s="84"/>
      <c r="P262" s="84"/>
      <c r="Q262" s="69" t="str">
        <f t="shared" si="84"/>
        <v/>
      </c>
      <c r="R262" s="84"/>
      <c r="S262" s="65" t="str">
        <f t="shared" si="85"/>
        <v/>
      </c>
      <c r="T262" s="69" t="str">
        <f t="shared" si="86"/>
        <v/>
      </c>
      <c r="U262" s="84"/>
      <c r="V262" s="65" t="str">
        <f t="shared" si="87"/>
        <v/>
      </c>
      <c r="W262" s="108"/>
      <c r="X262" s="108"/>
      <c r="Y262" s="108"/>
      <c r="Z262" s="110" t="str">
        <f t="shared" si="88"/>
        <v/>
      </c>
      <c r="AA262" s="199">
        <f>IF(ISERROR('Berechnungen 2'!AR465),"",'Berechnungen 2'!AR465)</f>
        <v>0</v>
      </c>
      <c r="AB262" s="200">
        <f>IF(ISERROR('Berechnungen 2'!AS465),"",'Berechnungen 2'!AS465)</f>
        <v>0</v>
      </c>
      <c r="AC262" s="200">
        <f>IF(ISERROR('Berechnungen 2'!AT465),"",'Berechnungen 2'!AT465)</f>
        <v>0</v>
      </c>
      <c r="AD262" s="199">
        <f>IF(ISERROR('Berechnungen 2'!BE465),"",'Berechnungen 2'!BE465)</f>
        <v>0</v>
      </c>
      <c r="AE262" s="200">
        <f>IF(ISERROR('Berechnungen 2'!BF465),"",'Berechnungen 2'!BF465)</f>
        <v>0</v>
      </c>
      <c r="AF262" s="200">
        <f>IF(ISERROR('Berechnungen 2'!BG465),"",'Berechnungen 2'!BG465)</f>
        <v>0</v>
      </c>
      <c r="AG262" s="199" t="str">
        <f>IF(ISNUMBER(A262),IF(ISERROR('Berechnungen 2'!BK465),"",'Berechnungen 2'!BK465),"")</f>
        <v/>
      </c>
      <c r="AH262" s="200">
        <f>IF(ISERROR('Berechnungen 2'!BL465),"",'Berechnungen 2'!BL465)</f>
        <v>0</v>
      </c>
      <c r="AI262" s="200">
        <f>IF(ISERROR('Berechnungen 2'!BM465),"",'Berechnungen 2'!BM465)</f>
        <v>0</v>
      </c>
    </row>
    <row r="263" spans="1:35" x14ac:dyDescent="0.2">
      <c r="A263" s="71" t="str">
        <f t="shared" si="73"/>
        <v/>
      </c>
      <c r="B263" s="193">
        <f t="shared" si="74"/>
        <v>251</v>
      </c>
      <c r="C263" s="192">
        <f ca="1">IF(ISERROR(LARGE('Berechnungen 1'!$A$12:$A$311,B263)),"",LARGE('Berechnungen 1'!$A$12:$A$311,B263))</f>
        <v>50</v>
      </c>
      <c r="D263" s="76" t="str">
        <f t="shared" si="89"/>
        <v/>
      </c>
      <c r="E263" s="76" t="str">
        <f t="shared" si="89"/>
        <v/>
      </c>
      <c r="F263" s="155" t="str">
        <f t="shared" si="79"/>
        <v/>
      </c>
      <c r="G263" s="204" t="str">
        <f t="shared" si="80"/>
        <v/>
      </c>
      <c r="H263" s="156" t="str">
        <f t="shared" si="81"/>
        <v/>
      </c>
      <c r="I263" s="155" t="str">
        <f t="shared" si="82"/>
        <v/>
      </c>
      <c r="J263" s="184">
        <f t="shared" ca="1" si="83"/>
        <v>999999</v>
      </c>
      <c r="K263" s="184">
        <f>IF(OR(ISBLANK('Etape 1'!E258),ISBLANK('Etape 1'!F258)),IF(AND(ISBLANK('Etape 1'!B258),ISBLANK('Etape 1'!C258),ISBLANK('Etape 1'!D258),ISBLANK('Etape 1'!E258),ISBLANK('Etape 1'!F258),ISBLANK('Etape 1'!G258),ISBLANK('Etape 1'!H258)),999,9999),IF(VLOOKUP($C263,Matrix_Berechnungen1.Rang.Pumpendaten.Zwischenresultate,$C$9,0)&gt;0,VLOOKUP($C263,Matrix_Berechnungen1.Rang.Pumpendaten.Zwischenresultate,K$9,0),""))</f>
        <v>999</v>
      </c>
      <c r="L263" s="184">
        <f t="shared" ca="1" si="90"/>
        <v>251</v>
      </c>
      <c r="M263" s="184">
        <f t="shared" ca="1" si="90"/>
        <v>0</v>
      </c>
      <c r="N263" s="84"/>
      <c r="O263" s="84"/>
      <c r="P263" s="84"/>
      <c r="Q263" s="69" t="str">
        <f t="shared" si="84"/>
        <v/>
      </c>
      <c r="R263" s="84"/>
      <c r="S263" s="65" t="str">
        <f t="shared" si="85"/>
        <v/>
      </c>
      <c r="T263" s="69" t="str">
        <f t="shared" si="86"/>
        <v/>
      </c>
      <c r="U263" s="84"/>
      <c r="V263" s="65" t="str">
        <f t="shared" si="87"/>
        <v/>
      </c>
      <c r="W263" s="108"/>
      <c r="X263" s="108"/>
      <c r="Y263" s="108"/>
      <c r="Z263" s="110" t="str">
        <f t="shared" si="88"/>
        <v/>
      </c>
      <c r="AA263" s="199">
        <f>IF(ISERROR('Berechnungen 2'!AR466),"",'Berechnungen 2'!AR466)</f>
        <v>0</v>
      </c>
      <c r="AB263" s="200">
        <f>IF(ISERROR('Berechnungen 2'!AS466),"",'Berechnungen 2'!AS466)</f>
        <v>0</v>
      </c>
      <c r="AC263" s="200">
        <f>IF(ISERROR('Berechnungen 2'!AT466),"",'Berechnungen 2'!AT466)</f>
        <v>0</v>
      </c>
      <c r="AD263" s="199">
        <f>IF(ISERROR('Berechnungen 2'!BE466),"",'Berechnungen 2'!BE466)</f>
        <v>0</v>
      </c>
      <c r="AE263" s="200">
        <f>IF(ISERROR('Berechnungen 2'!BF466),"",'Berechnungen 2'!BF466)</f>
        <v>0</v>
      </c>
      <c r="AF263" s="200">
        <f>IF(ISERROR('Berechnungen 2'!BG466),"",'Berechnungen 2'!BG466)</f>
        <v>0</v>
      </c>
      <c r="AG263" s="199" t="str">
        <f>IF(ISNUMBER(A263),IF(ISERROR('Berechnungen 2'!BK466),"",'Berechnungen 2'!BK466),"")</f>
        <v/>
      </c>
      <c r="AH263" s="200">
        <f>IF(ISERROR('Berechnungen 2'!BL466),"",'Berechnungen 2'!BL466)</f>
        <v>0</v>
      </c>
      <c r="AI263" s="200">
        <f>IF(ISERROR('Berechnungen 2'!BM466),"",'Berechnungen 2'!BM466)</f>
        <v>0</v>
      </c>
    </row>
    <row r="264" spans="1:35" x14ac:dyDescent="0.2">
      <c r="A264" s="71" t="str">
        <f t="shared" si="73"/>
        <v/>
      </c>
      <c r="B264" s="193">
        <f t="shared" si="74"/>
        <v>252</v>
      </c>
      <c r="C264" s="192">
        <f ca="1">IF(ISERROR(LARGE('Berechnungen 1'!$A$12:$A$311,B264)),"",LARGE('Berechnungen 1'!$A$12:$A$311,B264))</f>
        <v>49</v>
      </c>
      <c r="D264" s="76" t="str">
        <f t="shared" si="89"/>
        <v/>
      </c>
      <c r="E264" s="76" t="str">
        <f t="shared" si="89"/>
        <v/>
      </c>
      <c r="F264" s="155" t="str">
        <f t="shared" si="79"/>
        <v/>
      </c>
      <c r="G264" s="204" t="str">
        <f t="shared" si="80"/>
        <v/>
      </c>
      <c r="H264" s="156" t="str">
        <f t="shared" si="81"/>
        <v/>
      </c>
      <c r="I264" s="155" t="str">
        <f t="shared" si="82"/>
        <v/>
      </c>
      <c r="J264" s="184">
        <f t="shared" ca="1" si="83"/>
        <v>999999</v>
      </c>
      <c r="K264" s="184">
        <f>IF(OR(ISBLANK('Etape 1'!E259),ISBLANK('Etape 1'!F259)),IF(AND(ISBLANK('Etape 1'!B259),ISBLANK('Etape 1'!C259),ISBLANK('Etape 1'!D259),ISBLANK('Etape 1'!E259),ISBLANK('Etape 1'!F259),ISBLANK('Etape 1'!G259),ISBLANK('Etape 1'!H259)),999,9999),IF(VLOOKUP($C264,Matrix_Berechnungen1.Rang.Pumpendaten.Zwischenresultate,$C$9,0)&gt;0,VLOOKUP($C264,Matrix_Berechnungen1.Rang.Pumpendaten.Zwischenresultate,K$9,0),""))</f>
        <v>999</v>
      </c>
      <c r="L264" s="184">
        <f t="shared" ca="1" si="90"/>
        <v>252</v>
      </c>
      <c r="M264" s="184">
        <f t="shared" ca="1" si="90"/>
        <v>0</v>
      </c>
      <c r="N264" s="84"/>
      <c r="O264" s="84"/>
      <c r="P264" s="84"/>
      <c r="Q264" s="69" t="str">
        <f t="shared" si="84"/>
        <v/>
      </c>
      <c r="R264" s="84"/>
      <c r="S264" s="65" t="str">
        <f t="shared" si="85"/>
        <v/>
      </c>
      <c r="T264" s="69" t="str">
        <f t="shared" si="86"/>
        <v/>
      </c>
      <c r="U264" s="84"/>
      <c r="V264" s="65" t="str">
        <f t="shared" si="87"/>
        <v/>
      </c>
      <c r="W264" s="108"/>
      <c r="X264" s="108"/>
      <c r="Y264" s="108"/>
      <c r="Z264" s="110" t="str">
        <f t="shared" si="88"/>
        <v/>
      </c>
      <c r="AA264" s="199">
        <f>IF(ISERROR('Berechnungen 2'!AR467),"",'Berechnungen 2'!AR467)</f>
        <v>0</v>
      </c>
      <c r="AB264" s="200">
        <f>IF(ISERROR('Berechnungen 2'!AS467),"",'Berechnungen 2'!AS467)</f>
        <v>0</v>
      </c>
      <c r="AC264" s="200">
        <f>IF(ISERROR('Berechnungen 2'!AT467),"",'Berechnungen 2'!AT467)</f>
        <v>0</v>
      </c>
      <c r="AD264" s="199">
        <f>IF(ISERROR('Berechnungen 2'!BE467),"",'Berechnungen 2'!BE467)</f>
        <v>0</v>
      </c>
      <c r="AE264" s="200">
        <f>IF(ISERROR('Berechnungen 2'!BF467),"",'Berechnungen 2'!BF467)</f>
        <v>0</v>
      </c>
      <c r="AF264" s="200">
        <f>IF(ISERROR('Berechnungen 2'!BG467),"",'Berechnungen 2'!BG467)</f>
        <v>0</v>
      </c>
      <c r="AG264" s="199" t="str">
        <f>IF(ISNUMBER(A264),IF(ISERROR('Berechnungen 2'!BK467),"",'Berechnungen 2'!BK467),"")</f>
        <v/>
      </c>
      <c r="AH264" s="200">
        <f>IF(ISERROR('Berechnungen 2'!BL467),"",'Berechnungen 2'!BL467)</f>
        <v>0</v>
      </c>
      <c r="AI264" s="200">
        <f>IF(ISERROR('Berechnungen 2'!BM467),"",'Berechnungen 2'!BM467)</f>
        <v>0</v>
      </c>
    </row>
    <row r="265" spans="1:35" x14ac:dyDescent="0.2">
      <c r="A265" s="71" t="str">
        <f t="shared" si="73"/>
        <v/>
      </c>
      <c r="B265" s="193">
        <f t="shared" si="74"/>
        <v>253</v>
      </c>
      <c r="C265" s="192">
        <f ca="1">IF(ISERROR(LARGE('Berechnungen 1'!$A$12:$A$311,B265)),"",LARGE('Berechnungen 1'!$A$12:$A$311,B265))</f>
        <v>48</v>
      </c>
      <c r="D265" s="76" t="str">
        <f t="shared" si="89"/>
        <v/>
      </c>
      <c r="E265" s="76" t="str">
        <f t="shared" si="89"/>
        <v/>
      </c>
      <c r="F265" s="155" t="str">
        <f t="shared" si="79"/>
        <v/>
      </c>
      <c r="G265" s="204" t="str">
        <f t="shared" si="80"/>
        <v/>
      </c>
      <c r="H265" s="156" t="str">
        <f t="shared" si="81"/>
        <v/>
      </c>
      <c r="I265" s="155" t="str">
        <f t="shared" si="82"/>
        <v/>
      </c>
      <c r="J265" s="184">
        <f t="shared" ca="1" si="83"/>
        <v>999999</v>
      </c>
      <c r="K265" s="184">
        <f>IF(OR(ISBLANK('Etape 1'!E260),ISBLANK('Etape 1'!F260)),IF(AND(ISBLANK('Etape 1'!B260),ISBLANK('Etape 1'!C260),ISBLANK('Etape 1'!D260),ISBLANK('Etape 1'!E260),ISBLANK('Etape 1'!F260),ISBLANK('Etape 1'!G260),ISBLANK('Etape 1'!H260)),999,9999),IF(VLOOKUP($C265,Matrix_Berechnungen1.Rang.Pumpendaten.Zwischenresultate,$C$9,0)&gt;0,VLOOKUP($C265,Matrix_Berechnungen1.Rang.Pumpendaten.Zwischenresultate,K$9,0),""))</f>
        <v>999</v>
      </c>
      <c r="L265" s="184">
        <f t="shared" ca="1" si="90"/>
        <v>253</v>
      </c>
      <c r="M265" s="184">
        <f t="shared" ca="1" si="90"/>
        <v>0</v>
      </c>
      <c r="N265" s="84"/>
      <c r="O265" s="84"/>
      <c r="P265" s="84"/>
      <c r="Q265" s="69" t="str">
        <f t="shared" si="84"/>
        <v/>
      </c>
      <c r="R265" s="84"/>
      <c r="S265" s="65" t="str">
        <f t="shared" si="85"/>
        <v/>
      </c>
      <c r="T265" s="69" t="str">
        <f t="shared" si="86"/>
        <v/>
      </c>
      <c r="U265" s="84"/>
      <c r="V265" s="65" t="str">
        <f t="shared" si="87"/>
        <v/>
      </c>
      <c r="W265" s="108"/>
      <c r="X265" s="108"/>
      <c r="Y265" s="108"/>
      <c r="Z265" s="110" t="str">
        <f t="shared" si="88"/>
        <v/>
      </c>
      <c r="AA265" s="199">
        <f>IF(ISERROR('Berechnungen 2'!AR468),"",'Berechnungen 2'!AR468)</f>
        <v>0</v>
      </c>
      <c r="AB265" s="200">
        <f>IF(ISERROR('Berechnungen 2'!AS468),"",'Berechnungen 2'!AS468)</f>
        <v>0</v>
      </c>
      <c r="AC265" s="200">
        <f>IF(ISERROR('Berechnungen 2'!AT468),"",'Berechnungen 2'!AT468)</f>
        <v>0</v>
      </c>
      <c r="AD265" s="199">
        <f>IF(ISERROR('Berechnungen 2'!BE468),"",'Berechnungen 2'!BE468)</f>
        <v>0</v>
      </c>
      <c r="AE265" s="200">
        <f>IF(ISERROR('Berechnungen 2'!BF468),"",'Berechnungen 2'!BF468)</f>
        <v>0</v>
      </c>
      <c r="AF265" s="200">
        <f>IF(ISERROR('Berechnungen 2'!BG468),"",'Berechnungen 2'!BG468)</f>
        <v>0</v>
      </c>
      <c r="AG265" s="199" t="str">
        <f>IF(ISNUMBER(A265),IF(ISERROR('Berechnungen 2'!BK468),"",'Berechnungen 2'!BK468),"")</f>
        <v/>
      </c>
      <c r="AH265" s="200">
        <f>IF(ISERROR('Berechnungen 2'!BL468),"",'Berechnungen 2'!BL468)</f>
        <v>0</v>
      </c>
      <c r="AI265" s="200">
        <f>IF(ISERROR('Berechnungen 2'!BM468),"",'Berechnungen 2'!BM468)</f>
        <v>0</v>
      </c>
    </row>
    <row r="266" spans="1:35" x14ac:dyDescent="0.2">
      <c r="A266" s="71" t="str">
        <f t="shared" si="73"/>
        <v/>
      </c>
      <c r="B266" s="193">
        <f t="shared" si="74"/>
        <v>254</v>
      </c>
      <c r="C266" s="192">
        <f ca="1">IF(ISERROR(LARGE('Berechnungen 1'!$A$12:$A$311,B266)),"",LARGE('Berechnungen 1'!$A$12:$A$311,B266))</f>
        <v>47</v>
      </c>
      <c r="D266" s="76" t="str">
        <f t="shared" si="89"/>
        <v/>
      </c>
      <c r="E266" s="76" t="str">
        <f t="shared" si="89"/>
        <v/>
      </c>
      <c r="F266" s="155" t="str">
        <f t="shared" si="79"/>
        <v/>
      </c>
      <c r="G266" s="204" t="str">
        <f t="shared" si="80"/>
        <v/>
      </c>
      <c r="H266" s="156" t="str">
        <f t="shared" si="81"/>
        <v/>
      </c>
      <c r="I266" s="155" t="str">
        <f t="shared" si="82"/>
        <v/>
      </c>
      <c r="J266" s="184">
        <f t="shared" ca="1" si="83"/>
        <v>999999</v>
      </c>
      <c r="K266" s="184">
        <f>IF(OR(ISBLANK('Etape 1'!E261),ISBLANK('Etape 1'!F261)),IF(AND(ISBLANK('Etape 1'!B261),ISBLANK('Etape 1'!C261),ISBLANK('Etape 1'!D261),ISBLANK('Etape 1'!E261),ISBLANK('Etape 1'!F261),ISBLANK('Etape 1'!G261),ISBLANK('Etape 1'!H261)),999,9999),IF(VLOOKUP($C266,Matrix_Berechnungen1.Rang.Pumpendaten.Zwischenresultate,$C$9,0)&gt;0,VLOOKUP($C266,Matrix_Berechnungen1.Rang.Pumpendaten.Zwischenresultate,K$9,0),""))</f>
        <v>999</v>
      </c>
      <c r="L266" s="184">
        <f t="shared" ca="1" si="90"/>
        <v>254</v>
      </c>
      <c r="M266" s="184">
        <f t="shared" ca="1" si="90"/>
        <v>0</v>
      </c>
      <c r="N266" s="84"/>
      <c r="O266" s="84"/>
      <c r="P266" s="84"/>
      <c r="Q266" s="69" t="str">
        <f t="shared" si="84"/>
        <v/>
      </c>
      <c r="R266" s="84"/>
      <c r="S266" s="65" t="str">
        <f t="shared" si="85"/>
        <v/>
      </c>
      <c r="T266" s="69" t="str">
        <f t="shared" si="86"/>
        <v/>
      </c>
      <c r="U266" s="84"/>
      <c r="V266" s="65" t="str">
        <f t="shared" si="87"/>
        <v/>
      </c>
      <c r="W266" s="108"/>
      <c r="X266" s="108"/>
      <c r="Y266" s="108"/>
      <c r="Z266" s="110" t="str">
        <f t="shared" si="88"/>
        <v/>
      </c>
      <c r="AA266" s="199">
        <f>IF(ISERROR('Berechnungen 2'!AR469),"",'Berechnungen 2'!AR469)</f>
        <v>0</v>
      </c>
      <c r="AB266" s="200">
        <f>IF(ISERROR('Berechnungen 2'!AS469),"",'Berechnungen 2'!AS469)</f>
        <v>0</v>
      </c>
      <c r="AC266" s="200">
        <f>IF(ISERROR('Berechnungen 2'!AT469),"",'Berechnungen 2'!AT469)</f>
        <v>0</v>
      </c>
      <c r="AD266" s="199">
        <f>IF(ISERROR('Berechnungen 2'!BE469),"",'Berechnungen 2'!BE469)</f>
        <v>0</v>
      </c>
      <c r="AE266" s="200">
        <f>IF(ISERROR('Berechnungen 2'!BF469),"",'Berechnungen 2'!BF469)</f>
        <v>0</v>
      </c>
      <c r="AF266" s="200">
        <f>IF(ISERROR('Berechnungen 2'!BG469),"",'Berechnungen 2'!BG469)</f>
        <v>0</v>
      </c>
      <c r="AG266" s="199" t="str">
        <f>IF(ISNUMBER(A266),IF(ISERROR('Berechnungen 2'!BK469),"",'Berechnungen 2'!BK469),"")</f>
        <v/>
      </c>
      <c r="AH266" s="200">
        <f>IF(ISERROR('Berechnungen 2'!BL469),"",'Berechnungen 2'!BL469)</f>
        <v>0</v>
      </c>
      <c r="AI266" s="200">
        <f>IF(ISERROR('Berechnungen 2'!BM469),"",'Berechnungen 2'!BM469)</f>
        <v>0</v>
      </c>
    </row>
    <row r="267" spans="1:35" x14ac:dyDescent="0.2">
      <c r="A267" s="71" t="str">
        <f t="shared" si="73"/>
        <v/>
      </c>
      <c r="B267" s="193">
        <f t="shared" si="74"/>
        <v>255</v>
      </c>
      <c r="C267" s="192">
        <f ca="1">IF(ISERROR(LARGE('Berechnungen 1'!$A$12:$A$311,B267)),"",LARGE('Berechnungen 1'!$A$12:$A$311,B267))</f>
        <v>46</v>
      </c>
      <c r="D267" s="76" t="str">
        <f t="shared" si="89"/>
        <v/>
      </c>
      <c r="E267" s="76" t="str">
        <f t="shared" si="89"/>
        <v/>
      </c>
      <c r="F267" s="155" t="str">
        <f t="shared" si="79"/>
        <v/>
      </c>
      <c r="G267" s="204" t="str">
        <f t="shared" si="80"/>
        <v/>
      </c>
      <c r="H267" s="156" t="str">
        <f t="shared" si="81"/>
        <v/>
      </c>
      <c r="I267" s="155" t="str">
        <f t="shared" si="82"/>
        <v/>
      </c>
      <c r="J267" s="184">
        <f t="shared" ca="1" si="83"/>
        <v>999999</v>
      </c>
      <c r="K267" s="184">
        <f>IF(OR(ISBLANK('Etape 1'!E262),ISBLANK('Etape 1'!F262)),IF(AND(ISBLANK('Etape 1'!B262),ISBLANK('Etape 1'!C262),ISBLANK('Etape 1'!D262),ISBLANK('Etape 1'!E262),ISBLANK('Etape 1'!F262),ISBLANK('Etape 1'!G262),ISBLANK('Etape 1'!H262)),999,9999),IF(VLOOKUP($C267,Matrix_Berechnungen1.Rang.Pumpendaten.Zwischenresultate,$C$9,0)&gt;0,VLOOKUP($C267,Matrix_Berechnungen1.Rang.Pumpendaten.Zwischenresultate,K$9,0),""))</f>
        <v>999</v>
      </c>
      <c r="L267" s="184">
        <f t="shared" ca="1" si="90"/>
        <v>255</v>
      </c>
      <c r="M267" s="184">
        <f t="shared" ca="1" si="90"/>
        <v>0</v>
      </c>
      <c r="N267" s="84"/>
      <c r="O267" s="84"/>
      <c r="P267" s="84"/>
      <c r="Q267" s="69" t="str">
        <f t="shared" si="84"/>
        <v/>
      </c>
      <c r="R267" s="84"/>
      <c r="S267" s="65" t="str">
        <f t="shared" si="85"/>
        <v/>
      </c>
      <c r="T267" s="69" t="str">
        <f t="shared" si="86"/>
        <v/>
      </c>
      <c r="U267" s="84"/>
      <c r="V267" s="65" t="str">
        <f t="shared" si="87"/>
        <v/>
      </c>
      <c r="W267" s="108"/>
      <c r="X267" s="108"/>
      <c r="Y267" s="108"/>
      <c r="Z267" s="110" t="str">
        <f t="shared" si="88"/>
        <v/>
      </c>
      <c r="AA267" s="199">
        <f>IF(ISERROR('Berechnungen 2'!AR470),"",'Berechnungen 2'!AR470)</f>
        <v>0</v>
      </c>
      <c r="AB267" s="200">
        <f>IF(ISERROR('Berechnungen 2'!AS470),"",'Berechnungen 2'!AS470)</f>
        <v>0</v>
      </c>
      <c r="AC267" s="200">
        <f>IF(ISERROR('Berechnungen 2'!AT470),"",'Berechnungen 2'!AT470)</f>
        <v>0</v>
      </c>
      <c r="AD267" s="199">
        <f>IF(ISERROR('Berechnungen 2'!BE470),"",'Berechnungen 2'!BE470)</f>
        <v>0</v>
      </c>
      <c r="AE267" s="200">
        <f>IF(ISERROR('Berechnungen 2'!BF470),"",'Berechnungen 2'!BF470)</f>
        <v>0</v>
      </c>
      <c r="AF267" s="200">
        <f>IF(ISERROR('Berechnungen 2'!BG470),"",'Berechnungen 2'!BG470)</f>
        <v>0</v>
      </c>
      <c r="AG267" s="199" t="str">
        <f>IF(ISNUMBER(A267),IF(ISERROR('Berechnungen 2'!BK470),"",'Berechnungen 2'!BK470),"")</f>
        <v/>
      </c>
      <c r="AH267" s="200">
        <f>IF(ISERROR('Berechnungen 2'!BL470),"",'Berechnungen 2'!BL470)</f>
        <v>0</v>
      </c>
      <c r="AI267" s="200">
        <f>IF(ISERROR('Berechnungen 2'!BM470),"",'Berechnungen 2'!BM470)</f>
        <v>0</v>
      </c>
    </row>
    <row r="268" spans="1:35" x14ac:dyDescent="0.2">
      <c r="A268" s="71" t="str">
        <f t="shared" si="73"/>
        <v/>
      </c>
      <c r="B268" s="193">
        <f t="shared" si="74"/>
        <v>256</v>
      </c>
      <c r="C268" s="192">
        <f ca="1">IF(ISERROR(LARGE('Berechnungen 1'!$A$12:$A$311,B268)),"",LARGE('Berechnungen 1'!$A$12:$A$311,B268))</f>
        <v>45</v>
      </c>
      <c r="D268" s="76" t="str">
        <f t="shared" si="89"/>
        <v/>
      </c>
      <c r="E268" s="76" t="str">
        <f t="shared" si="89"/>
        <v/>
      </c>
      <c r="F268" s="155" t="str">
        <f t="shared" si="79"/>
        <v/>
      </c>
      <c r="G268" s="204" t="str">
        <f t="shared" si="80"/>
        <v/>
      </c>
      <c r="H268" s="156" t="str">
        <f t="shared" si="81"/>
        <v/>
      </c>
      <c r="I268" s="155" t="str">
        <f t="shared" si="82"/>
        <v/>
      </c>
      <c r="J268" s="184">
        <f t="shared" ca="1" si="83"/>
        <v>999999</v>
      </c>
      <c r="K268" s="184">
        <f>IF(OR(ISBLANK('Etape 1'!E263),ISBLANK('Etape 1'!F263)),IF(AND(ISBLANK('Etape 1'!B263),ISBLANK('Etape 1'!C263),ISBLANK('Etape 1'!D263),ISBLANK('Etape 1'!E263),ISBLANK('Etape 1'!F263),ISBLANK('Etape 1'!G263),ISBLANK('Etape 1'!H263)),999,9999),IF(VLOOKUP($C268,Matrix_Berechnungen1.Rang.Pumpendaten.Zwischenresultate,$C$9,0)&gt;0,VLOOKUP($C268,Matrix_Berechnungen1.Rang.Pumpendaten.Zwischenresultate,K$9,0),""))</f>
        <v>999</v>
      </c>
      <c r="L268" s="184">
        <f t="shared" ca="1" si="90"/>
        <v>256</v>
      </c>
      <c r="M268" s="184">
        <f t="shared" ca="1" si="90"/>
        <v>0</v>
      </c>
      <c r="N268" s="84"/>
      <c r="O268" s="84"/>
      <c r="P268" s="84"/>
      <c r="Q268" s="69" t="str">
        <f t="shared" si="84"/>
        <v/>
      </c>
      <c r="R268" s="84"/>
      <c r="S268" s="65" t="str">
        <f t="shared" si="85"/>
        <v/>
      </c>
      <c r="T268" s="69" t="str">
        <f t="shared" si="86"/>
        <v/>
      </c>
      <c r="U268" s="84"/>
      <c r="V268" s="65" t="str">
        <f t="shared" si="87"/>
        <v/>
      </c>
      <c r="W268" s="108"/>
      <c r="X268" s="108"/>
      <c r="Y268" s="108"/>
      <c r="Z268" s="110" t="str">
        <f t="shared" si="88"/>
        <v/>
      </c>
      <c r="AA268" s="199">
        <f>IF(ISERROR('Berechnungen 2'!AR471),"",'Berechnungen 2'!AR471)</f>
        <v>0</v>
      </c>
      <c r="AB268" s="200">
        <f>IF(ISERROR('Berechnungen 2'!AS471),"",'Berechnungen 2'!AS471)</f>
        <v>0</v>
      </c>
      <c r="AC268" s="200">
        <f>IF(ISERROR('Berechnungen 2'!AT471),"",'Berechnungen 2'!AT471)</f>
        <v>0</v>
      </c>
      <c r="AD268" s="199">
        <f>IF(ISERROR('Berechnungen 2'!BE471),"",'Berechnungen 2'!BE471)</f>
        <v>0</v>
      </c>
      <c r="AE268" s="200">
        <f>IF(ISERROR('Berechnungen 2'!BF471),"",'Berechnungen 2'!BF471)</f>
        <v>0</v>
      </c>
      <c r="AF268" s="200">
        <f>IF(ISERROR('Berechnungen 2'!BG471),"",'Berechnungen 2'!BG471)</f>
        <v>0</v>
      </c>
      <c r="AG268" s="199" t="str">
        <f>IF(ISNUMBER(A268),IF(ISERROR('Berechnungen 2'!BK471),"",'Berechnungen 2'!BK471),"")</f>
        <v/>
      </c>
      <c r="AH268" s="200">
        <f>IF(ISERROR('Berechnungen 2'!BL471),"",'Berechnungen 2'!BL471)</f>
        <v>0</v>
      </c>
      <c r="AI268" s="200">
        <f>IF(ISERROR('Berechnungen 2'!BM471),"",'Berechnungen 2'!BM471)</f>
        <v>0</v>
      </c>
    </row>
    <row r="269" spans="1:35" x14ac:dyDescent="0.2">
      <c r="A269" s="71" t="str">
        <f t="shared" ref="A269:A312" si="91">IF(OR(K269=0,K269=1,K269=2,K269=9999),VLOOKUP($C269,Matrix_Berechnungen1.Rang.Pumpendaten.Zwischenresultate,A$9,0),"")</f>
        <v/>
      </c>
      <c r="B269" s="193">
        <f t="shared" si="74"/>
        <v>257</v>
      </c>
      <c r="C269" s="192">
        <f ca="1">IF(ISERROR(LARGE('Berechnungen 1'!$A$12:$A$311,B269)),"",LARGE('Berechnungen 1'!$A$12:$A$311,B269))</f>
        <v>44</v>
      </c>
      <c r="D269" s="76" t="str">
        <f t="shared" si="89"/>
        <v/>
      </c>
      <c r="E269" s="76" t="str">
        <f t="shared" si="89"/>
        <v/>
      </c>
      <c r="F269" s="155" t="str">
        <f t="shared" si="79"/>
        <v/>
      </c>
      <c r="G269" s="204" t="str">
        <f t="shared" si="80"/>
        <v/>
      </c>
      <c r="H269" s="156" t="str">
        <f t="shared" si="81"/>
        <v/>
      </c>
      <c r="I269" s="155" t="str">
        <f t="shared" si="82"/>
        <v/>
      </c>
      <c r="J269" s="184">
        <f t="shared" ca="1" si="83"/>
        <v>999999</v>
      </c>
      <c r="K269" s="184">
        <f>IF(OR(ISBLANK('Etape 1'!E264),ISBLANK('Etape 1'!F264)),IF(AND(ISBLANK('Etape 1'!B264),ISBLANK('Etape 1'!C264),ISBLANK('Etape 1'!D264),ISBLANK('Etape 1'!E264),ISBLANK('Etape 1'!F264),ISBLANK('Etape 1'!G264),ISBLANK('Etape 1'!H264)),999,9999),IF(VLOOKUP($C269,Matrix_Berechnungen1.Rang.Pumpendaten.Zwischenresultate,$C$9,0)&gt;0,VLOOKUP($C269,Matrix_Berechnungen1.Rang.Pumpendaten.Zwischenresultate,K$9,0),""))</f>
        <v>999</v>
      </c>
      <c r="L269" s="184">
        <f t="shared" ca="1" si="90"/>
        <v>257</v>
      </c>
      <c r="M269" s="184">
        <f t="shared" ca="1" si="90"/>
        <v>0</v>
      </c>
      <c r="N269" s="84"/>
      <c r="O269" s="84"/>
      <c r="P269" s="84"/>
      <c r="Q269" s="69" t="str">
        <f t="shared" si="84"/>
        <v/>
      </c>
      <c r="R269" s="84"/>
      <c r="S269" s="65" t="str">
        <f t="shared" si="85"/>
        <v/>
      </c>
      <c r="T269" s="69" t="str">
        <f t="shared" si="86"/>
        <v/>
      </c>
      <c r="U269" s="84"/>
      <c r="V269" s="65" t="str">
        <f t="shared" si="87"/>
        <v/>
      </c>
      <c r="W269" s="108"/>
      <c r="X269" s="108"/>
      <c r="Y269" s="108"/>
      <c r="Z269" s="110" t="str">
        <f t="shared" si="88"/>
        <v/>
      </c>
      <c r="AA269" s="199">
        <f>IF(ISERROR('Berechnungen 2'!AR472),"",'Berechnungen 2'!AR472)</f>
        <v>0</v>
      </c>
      <c r="AB269" s="200">
        <f>IF(ISERROR('Berechnungen 2'!AS472),"",'Berechnungen 2'!AS472)</f>
        <v>0</v>
      </c>
      <c r="AC269" s="200">
        <f>IF(ISERROR('Berechnungen 2'!AT472),"",'Berechnungen 2'!AT472)</f>
        <v>0</v>
      </c>
      <c r="AD269" s="199">
        <f>IF(ISERROR('Berechnungen 2'!BE472),"",'Berechnungen 2'!BE472)</f>
        <v>0</v>
      </c>
      <c r="AE269" s="200">
        <f>IF(ISERROR('Berechnungen 2'!BF472),"",'Berechnungen 2'!BF472)</f>
        <v>0</v>
      </c>
      <c r="AF269" s="200">
        <f>IF(ISERROR('Berechnungen 2'!BG472),"",'Berechnungen 2'!BG472)</f>
        <v>0</v>
      </c>
      <c r="AG269" s="199" t="str">
        <f>IF(ISNUMBER(A269),IF(ISERROR('Berechnungen 2'!BK472),"",'Berechnungen 2'!BK472),"")</f>
        <v/>
      </c>
      <c r="AH269" s="200">
        <f>IF(ISERROR('Berechnungen 2'!BL472),"",'Berechnungen 2'!BL472)</f>
        <v>0</v>
      </c>
      <c r="AI269" s="200">
        <f>IF(ISERROR('Berechnungen 2'!BM472),"",'Berechnungen 2'!BM472)</f>
        <v>0</v>
      </c>
    </row>
    <row r="270" spans="1:35" x14ac:dyDescent="0.2">
      <c r="A270" s="71" t="str">
        <f t="shared" si="91"/>
        <v/>
      </c>
      <c r="B270" s="193">
        <f t="shared" si="74"/>
        <v>258</v>
      </c>
      <c r="C270" s="192">
        <f ca="1">IF(ISERROR(LARGE('Berechnungen 1'!$A$12:$A$311,B270)),"",LARGE('Berechnungen 1'!$A$12:$A$311,B270))</f>
        <v>43</v>
      </c>
      <c r="D270" s="76" t="str">
        <f t="shared" si="89"/>
        <v/>
      </c>
      <c r="E270" s="76" t="str">
        <f t="shared" si="89"/>
        <v/>
      </c>
      <c r="F270" s="155" t="str">
        <f t="shared" si="79"/>
        <v/>
      </c>
      <c r="G270" s="204" t="str">
        <f t="shared" si="80"/>
        <v/>
      </c>
      <c r="H270" s="156" t="str">
        <f t="shared" si="81"/>
        <v/>
      </c>
      <c r="I270" s="155" t="str">
        <f t="shared" si="82"/>
        <v/>
      </c>
      <c r="J270" s="184">
        <f t="shared" ca="1" si="83"/>
        <v>999999</v>
      </c>
      <c r="K270" s="184">
        <f>IF(OR(ISBLANK('Etape 1'!E265),ISBLANK('Etape 1'!F265)),IF(AND(ISBLANK('Etape 1'!B265),ISBLANK('Etape 1'!C265),ISBLANK('Etape 1'!D265),ISBLANK('Etape 1'!E265),ISBLANK('Etape 1'!F265),ISBLANK('Etape 1'!G265),ISBLANK('Etape 1'!H265)),999,9999),IF(VLOOKUP($C270,Matrix_Berechnungen1.Rang.Pumpendaten.Zwischenresultate,$C$9,0)&gt;0,VLOOKUP($C270,Matrix_Berechnungen1.Rang.Pumpendaten.Zwischenresultate,K$9,0),""))</f>
        <v>999</v>
      </c>
      <c r="L270" s="184">
        <f t="shared" ca="1" si="90"/>
        <v>258</v>
      </c>
      <c r="M270" s="184">
        <f t="shared" ca="1" si="90"/>
        <v>0</v>
      </c>
      <c r="N270" s="84"/>
      <c r="O270" s="84"/>
      <c r="P270" s="84"/>
      <c r="Q270" s="69" t="str">
        <f t="shared" si="84"/>
        <v/>
      </c>
      <c r="R270" s="84"/>
      <c r="S270" s="65" t="str">
        <f t="shared" si="85"/>
        <v/>
      </c>
      <c r="T270" s="69" t="str">
        <f t="shared" si="86"/>
        <v/>
      </c>
      <c r="U270" s="84"/>
      <c r="V270" s="65" t="str">
        <f t="shared" si="87"/>
        <v/>
      </c>
      <c r="W270" s="108"/>
      <c r="X270" s="108"/>
      <c r="Y270" s="108"/>
      <c r="Z270" s="110" t="str">
        <f t="shared" si="88"/>
        <v/>
      </c>
      <c r="AA270" s="199">
        <f>IF(ISERROR('Berechnungen 2'!AR473),"",'Berechnungen 2'!AR473)</f>
        <v>0</v>
      </c>
      <c r="AB270" s="200">
        <f>IF(ISERROR('Berechnungen 2'!AS473),"",'Berechnungen 2'!AS473)</f>
        <v>0</v>
      </c>
      <c r="AC270" s="200">
        <f>IF(ISERROR('Berechnungen 2'!AT473),"",'Berechnungen 2'!AT473)</f>
        <v>0</v>
      </c>
      <c r="AD270" s="199">
        <f>IF(ISERROR('Berechnungen 2'!BE473),"",'Berechnungen 2'!BE473)</f>
        <v>0</v>
      </c>
      <c r="AE270" s="200">
        <f>IF(ISERROR('Berechnungen 2'!BF473),"",'Berechnungen 2'!BF473)</f>
        <v>0</v>
      </c>
      <c r="AF270" s="200">
        <f>IF(ISERROR('Berechnungen 2'!BG473),"",'Berechnungen 2'!BG473)</f>
        <v>0</v>
      </c>
      <c r="AG270" s="199" t="str">
        <f>IF(ISNUMBER(A270),IF(ISERROR('Berechnungen 2'!BK473),"",'Berechnungen 2'!BK473),"")</f>
        <v/>
      </c>
      <c r="AH270" s="200">
        <f>IF(ISERROR('Berechnungen 2'!BL473),"",'Berechnungen 2'!BL473)</f>
        <v>0</v>
      </c>
      <c r="AI270" s="200">
        <f>IF(ISERROR('Berechnungen 2'!BM473),"",'Berechnungen 2'!BM473)</f>
        <v>0</v>
      </c>
    </row>
    <row r="271" spans="1:35" x14ac:dyDescent="0.2">
      <c r="A271" s="71" t="str">
        <f t="shared" si="91"/>
        <v/>
      </c>
      <c r="B271" s="193">
        <f t="shared" ref="B271:B312" si="92">B270+1</f>
        <v>259</v>
      </c>
      <c r="C271" s="192">
        <f ca="1">IF(ISERROR(LARGE('Berechnungen 1'!$A$12:$A$311,B271)),"",LARGE('Berechnungen 1'!$A$12:$A$311,B271))</f>
        <v>42</v>
      </c>
      <c r="D271" s="76" t="str">
        <f t="shared" si="89"/>
        <v/>
      </c>
      <c r="E271" s="76" t="str">
        <f t="shared" si="89"/>
        <v/>
      </c>
      <c r="F271" s="155" t="str">
        <f t="shared" si="79"/>
        <v/>
      </c>
      <c r="G271" s="204" t="str">
        <f t="shared" si="80"/>
        <v/>
      </c>
      <c r="H271" s="156" t="str">
        <f t="shared" si="81"/>
        <v/>
      </c>
      <c r="I271" s="155" t="str">
        <f t="shared" si="82"/>
        <v/>
      </c>
      <c r="J271" s="184">
        <f t="shared" ca="1" si="83"/>
        <v>999999</v>
      </c>
      <c r="K271" s="184">
        <f>IF(OR(ISBLANK('Etape 1'!E266),ISBLANK('Etape 1'!F266)),IF(AND(ISBLANK('Etape 1'!B266),ISBLANK('Etape 1'!C266),ISBLANK('Etape 1'!D266),ISBLANK('Etape 1'!E266),ISBLANK('Etape 1'!F266),ISBLANK('Etape 1'!G266),ISBLANK('Etape 1'!H266)),999,9999),IF(VLOOKUP($C271,Matrix_Berechnungen1.Rang.Pumpendaten.Zwischenresultate,$C$9,0)&gt;0,VLOOKUP($C271,Matrix_Berechnungen1.Rang.Pumpendaten.Zwischenresultate,K$9,0),""))</f>
        <v>999</v>
      </c>
      <c r="L271" s="184">
        <f t="shared" ca="1" si="90"/>
        <v>259</v>
      </c>
      <c r="M271" s="184">
        <f t="shared" ca="1" si="90"/>
        <v>0</v>
      </c>
      <c r="N271" s="84"/>
      <c r="O271" s="84"/>
      <c r="P271" s="84"/>
      <c r="Q271" s="69" t="str">
        <f t="shared" si="84"/>
        <v/>
      </c>
      <c r="R271" s="84"/>
      <c r="S271" s="65" t="str">
        <f t="shared" si="85"/>
        <v/>
      </c>
      <c r="T271" s="69" t="str">
        <f t="shared" si="86"/>
        <v/>
      </c>
      <c r="U271" s="84"/>
      <c r="V271" s="65" t="str">
        <f t="shared" si="87"/>
        <v/>
      </c>
      <c r="W271" s="108"/>
      <c r="X271" s="108"/>
      <c r="Y271" s="108"/>
      <c r="Z271" s="110" t="str">
        <f t="shared" si="88"/>
        <v/>
      </c>
      <c r="AA271" s="199">
        <f>IF(ISERROR('Berechnungen 2'!AR474),"",'Berechnungen 2'!AR474)</f>
        <v>0</v>
      </c>
      <c r="AB271" s="200">
        <f>IF(ISERROR('Berechnungen 2'!AS474),"",'Berechnungen 2'!AS474)</f>
        <v>0</v>
      </c>
      <c r="AC271" s="200">
        <f>IF(ISERROR('Berechnungen 2'!AT474),"",'Berechnungen 2'!AT474)</f>
        <v>0</v>
      </c>
      <c r="AD271" s="199">
        <f>IF(ISERROR('Berechnungen 2'!BE474),"",'Berechnungen 2'!BE474)</f>
        <v>0</v>
      </c>
      <c r="AE271" s="200">
        <f>IF(ISERROR('Berechnungen 2'!BF474),"",'Berechnungen 2'!BF474)</f>
        <v>0</v>
      </c>
      <c r="AF271" s="200">
        <f>IF(ISERROR('Berechnungen 2'!BG474),"",'Berechnungen 2'!BG474)</f>
        <v>0</v>
      </c>
      <c r="AG271" s="199" t="str">
        <f>IF(ISNUMBER(A271),IF(ISERROR('Berechnungen 2'!BK474),"",'Berechnungen 2'!BK474),"")</f>
        <v/>
      </c>
      <c r="AH271" s="200">
        <f>IF(ISERROR('Berechnungen 2'!BL474),"",'Berechnungen 2'!BL474)</f>
        <v>0</v>
      </c>
      <c r="AI271" s="200">
        <f>IF(ISERROR('Berechnungen 2'!BM474),"",'Berechnungen 2'!BM474)</f>
        <v>0</v>
      </c>
    </row>
    <row r="272" spans="1:35" x14ac:dyDescent="0.2">
      <c r="A272" s="71" t="str">
        <f t="shared" si="91"/>
        <v/>
      </c>
      <c r="B272" s="193">
        <f t="shared" si="92"/>
        <v>260</v>
      </c>
      <c r="C272" s="192">
        <f ca="1">IF(ISERROR(LARGE('Berechnungen 1'!$A$12:$A$311,B272)),"",LARGE('Berechnungen 1'!$A$12:$A$311,B272))</f>
        <v>41</v>
      </c>
      <c r="D272" s="76" t="str">
        <f t="shared" si="89"/>
        <v/>
      </c>
      <c r="E272" s="76" t="str">
        <f t="shared" si="89"/>
        <v/>
      </c>
      <c r="F272" s="155" t="str">
        <f t="shared" si="79"/>
        <v/>
      </c>
      <c r="G272" s="204" t="str">
        <f t="shared" si="80"/>
        <v/>
      </c>
      <c r="H272" s="156" t="str">
        <f t="shared" si="81"/>
        <v/>
      </c>
      <c r="I272" s="155" t="str">
        <f t="shared" si="82"/>
        <v/>
      </c>
      <c r="J272" s="184">
        <f t="shared" ca="1" si="83"/>
        <v>999999</v>
      </c>
      <c r="K272" s="184">
        <f>IF(OR(ISBLANK('Etape 1'!E267),ISBLANK('Etape 1'!F267)),IF(AND(ISBLANK('Etape 1'!B267),ISBLANK('Etape 1'!C267),ISBLANK('Etape 1'!D267),ISBLANK('Etape 1'!E267),ISBLANK('Etape 1'!F267),ISBLANK('Etape 1'!G267),ISBLANK('Etape 1'!H267)),999,9999),IF(VLOOKUP($C272,Matrix_Berechnungen1.Rang.Pumpendaten.Zwischenresultate,$C$9,0)&gt;0,VLOOKUP($C272,Matrix_Berechnungen1.Rang.Pumpendaten.Zwischenresultate,K$9,0),""))</f>
        <v>999</v>
      </c>
      <c r="L272" s="184">
        <f t="shared" ca="1" si="90"/>
        <v>260</v>
      </c>
      <c r="M272" s="184">
        <f t="shared" ca="1" si="90"/>
        <v>0</v>
      </c>
      <c r="N272" s="84"/>
      <c r="O272" s="84"/>
      <c r="P272" s="84"/>
      <c r="Q272" s="69" t="str">
        <f t="shared" si="84"/>
        <v/>
      </c>
      <c r="R272" s="84"/>
      <c r="S272" s="65" t="str">
        <f t="shared" si="85"/>
        <v/>
      </c>
      <c r="T272" s="69" t="str">
        <f t="shared" si="86"/>
        <v/>
      </c>
      <c r="U272" s="84"/>
      <c r="V272" s="65" t="str">
        <f t="shared" si="87"/>
        <v/>
      </c>
      <c r="W272" s="108"/>
      <c r="X272" s="108"/>
      <c r="Y272" s="108"/>
      <c r="Z272" s="110" t="str">
        <f t="shared" si="88"/>
        <v/>
      </c>
      <c r="AA272" s="199">
        <f>IF(ISERROR('Berechnungen 2'!AR475),"",'Berechnungen 2'!AR475)</f>
        <v>0</v>
      </c>
      <c r="AB272" s="200">
        <f>IF(ISERROR('Berechnungen 2'!AS475),"",'Berechnungen 2'!AS475)</f>
        <v>0</v>
      </c>
      <c r="AC272" s="200">
        <f>IF(ISERROR('Berechnungen 2'!AT475),"",'Berechnungen 2'!AT475)</f>
        <v>0</v>
      </c>
      <c r="AD272" s="199">
        <f>IF(ISERROR('Berechnungen 2'!BE475),"",'Berechnungen 2'!BE475)</f>
        <v>0</v>
      </c>
      <c r="AE272" s="200">
        <f>IF(ISERROR('Berechnungen 2'!BF475),"",'Berechnungen 2'!BF475)</f>
        <v>0</v>
      </c>
      <c r="AF272" s="200">
        <f>IF(ISERROR('Berechnungen 2'!BG475),"",'Berechnungen 2'!BG475)</f>
        <v>0</v>
      </c>
      <c r="AG272" s="199" t="str">
        <f>IF(ISNUMBER(A272),IF(ISERROR('Berechnungen 2'!BK475),"",'Berechnungen 2'!BK475),"")</f>
        <v/>
      </c>
      <c r="AH272" s="200">
        <f>IF(ISERROR('Berechnungen 2'!BL475),"",'Berechnungen 2'!BL475)</f>
        <v>0</v>
      </c>
      <c r="AI272" s="200">
        <f>IF(ISERROR('Berechnungen 2'!BM475),"",'Berechnungen 2'!BM475)</f>
        <v>0</v>
      </c>
    </row>
    <row r="273" spans="1:35" x14ac:dyDescent="0.2">
      <c r="A273" s="71" t="str">
        <f t="shared" si="91"/>
        <v/>
      </c>
      <c r="B273" s="193">
        <f t="shared" si="92"/>
        <v>261</v>
      </c>
      <c r="C273" s="192">
        <f ca="1">IF(ISERROR(LARGE('Berechnungen 1'!$A$12:$A$311,B273)),"",LARGE('Berechnungen 1'!$A$12:$A$311,B273))</f>
        <v>40</v>
      </c>
      <c r="D273" s="76" t="str">
        <f t="shared" ref="D273:E292" si="93">IF(ISNUMBER($A273),IF(VLOOKUP($C273,Matrix_Berechnungen1.Rang.Pumpendaten.Zwischenresultate,$C$9,0)&gt;0,IF(VLOOKUP($C273,Matrix_Berechnungen1.Rang.Pumpendaten.Zwischenresultate,D$9,0)=0,"",VLOOKUP($C273,Matrix_Berechnungen1.Rang.Pumpendaten.Zwischenresultate,D$9,0)),""),"")</f>
        <v/>
      </c>
      <c r="E273" s="76" t="str">
        <f t="shared" si="93"/>
        <v/>
      </c>
      <c r="F273" s="155" t="str">
        <f t="shared" si="79"/>
        <v/>
      </c>
      <c r="G273" s="204" t="str">
        <f t="shared" si="80"/>
        <v/>
      </c>
      <c r="H273" s="156" t="str">
        <f t="shared" si="81"/>
        <v/>
      </c>
      <c r="I273" s="155" t="str">
        <f t="shared" si="82"/>
        <v/>
      </c>
      <c r="J273" s="184">
        <f t="shared" ca="1" si="83"/>
        <v>999999</v>
      </c>
      <c r="K273" s="184">
        <f>IF(OR(ISBLANK('Etape 1'!E268),ISBLANK('Etape 1'!F268)),IF(AND(ISBLANK('Etape 1'!B268),ISBLANK('Etape 1'!C268),ISBLANK('Etape 1'!D268),ISBLANK('Etape 1'!E268),ISBLANK('Etape 1'!F268),ISBLANK('Etape 1'!G268),ISBLANK('Etape 1'!H268)),999,9999),IF(VLOOKUP($C273,Matrix_Berechnungen1.Rang.Pumpendaten.Zwischenresultate,$C$9,0)&gt;0,VLOOKUP($C273,Matrix_Berechnungen1.Rang.Pumpendaten.Zwischenresultate,K$9,0),""))</f>
        <v>999</v>
      </c>
      <c r="L273" s="184">
        <f t="shared" ref="L273:M292" ca="1" si="94">IF(VLOOKUP($C273,Matrix_Berechnungen1.Rang.Pumpendaten.Zwischenresultate,$C$9,0)&gt;0,VLOOKUP($C273,Matrix_Berechnungen1.Rang.Pumpendaten.Zwischenresultate,L$9,0),"")</f>
        <v>261</v>
      </c>
      <c r="M273" s="184">
        <f t="shared" ca="1" si="94"/>
        <v>0</v>
      </c>
      <c r="N273" s="84"/>
      <c r="O273" s="84"/>
      <c r="P273" s="84"/>
      <c r="Q273" s="69" t="str">
        <f t="shared" si="84"/>
        <v/>
      </c>
      <c r="R273" s="84"/>
      <c r="S273" s="65" t="str">
        <f t="shared" si="85"/>
        <v/>
      </c>
      <c r="T273" s="69" t="str">
        <f t="shared" si="86"/>
        <v/>
      </c>
      <c r="U273" s="84"/>
      <c r="V273" s="65" t="str">
        <f t="shared" si="87"/>
        <v/>
      </c>
      <c r="W273" s="108"/>
      <c r="X273" s="108"/>
      <c r="Y273" s="108"/>
      <c r="Z273" s="110" t="str">
        <f t="shared" si="88"/>
        <v/>
      </c>
      <c r="AA273" s="199">
        <f>IF(ISERROR('Berechnungen 2'!AR476),"",'Berechnungen 2'!AR476)</f>
        <v>0</v>
      </c>
      <c r="AB273" s="200">
        <f>IF(ISERROR('Berechnungen 2'!AS476),"",'Berechnungen 2'!AS476)</f>
        <v>0</v>
      </c>
      <c r="AC273" s="200">
        <f>IF(ISERROR('Berechnungen 2'!AT476),"",'Berechnungen 2'!AT476)</f>
        <v>0</v>
      </c>
      <c r="AD273" s="199">
        <f>IF(ISERROR('Berechnungen 2'!BE476),"",'Berechnungen 2'!BE476)</f>
        <v>0</v>
      </c>
      <c r="AE273" s="200">
        <f>IF(ISERROR('Berechnungen 2'!BF476),"",'Berechnungen 2'!BF476)</f>
        <v>0</v>
      </c>
      <c r="AF273" s="200">
        <f>IF(ISERROR('Berechnungen 2'!BG476),"",'Berechnungen 2'!BG476)</f>
        <v>0</v>
      </c>
      <c r="AG273" s="199" t="str">
        <f>IF(ISNUMBER(A273),IF(ISERROR('Berechnungen 2'!BK476),"",'Berechnungen 2'!BK476),"")</f>
        <v/>
      </c>
      <c r="AH273" s="200">
        <f>IF(ISERROR('Berechnungen 2'!BL476),"",'Berechnungen 2'!BL476)</f>
        <v>0</v>
      </c>
      <c r="AI273" s="200">
        <f>IF(ISERROR('Berechnungen 2'!BM476),"",'Berechnungen 2'!BM476)</f>
        <v>0</v>
      </c>
    </row>
    <row r="274" spans="1:35" x14ac:dyDescent="0.2">
      <c r="A274" s="71" t="str">
        <f t="shared" si="91"/>
        <v/>
      </c>
      <c r="B274" s="193">
        <f t="shared" si="92"/>
        <v>262</v>
      </c>
      <c r="C274" s="192">
        <f ca="1">IF(ISERROR(LARGE('Berechnungen 1'!$A$12:$A$311,B274)),"",LARGE('Berechnungen 1'!$A$12:$A$311,B274))</f>
        <v>39</v>
      </c>
      <c r="D274" s="76" t="str">
        <f t="shared" si="93"/>
        <v/>
      </c>
      <c r="E274" s="76" t="str">
        <f t="shared" si="93"/>
        <v/>
      </c>
      <c r="F274" s="155" t="str">
        <f t="shared" si="79"/>
        <v/>
      </c>
      <c r="G274" s="204" t="str">
        <f t="shared" si="80"/>
        <v/>
      </c>
      <c r="H274" s="156" t="str">
        <f t="shared" si="81"/>
        <v/>
      </c>
      <c r="I274" s="155" t="str">
        <f t="shared" si="82"/>
        <v/>
      </c>
      <c r="J274" s="184">
        <f t="shared" ca="1" si="83"/>
        <v>999999</v>
      </c>
      <c r="K274" s="184">
        <f>IF(OR(ISBLANK('Etape 1'!E269),ISBLANK('Etape 1'!F269)),IF(AND(ISBLANK('Etape 1'!B269),ISBLANK('Etape 1'!C269),ISBLANK('Etape 1'!D269),ISBLANK('Etape 1'!E269),ISBLANK('Etape 1'!F269),ISBLANK('Etape 1'!G269),ISBLANK('Etape 1'!H269)),999,9999),IF(VLOOKUP($C274,Matrix_Berechnungen1.Rang.Pumpendaten.Zwischenresultate,$C$9,0)&gt;0,VLOOKUP($C274,Matrix_Berechnungen1.Rang.Pumpendaten.Zwischenresultate,K$9,0),""))</f>
        <v>999</v>
      </c>
      <c r="L274" s="184">
        <f t="shared" ca="1" si="94"/>
        <v>262</v>
      </c>
      <c r="M274" s="184">
        <f t="shared" ca="1" si="94"/>
        <v>0</v>
      </c>
      <c r="N274" s="84"/>
      <c r="O274" s="84"/>
      <c r="P274" s="84"/>
      <c r="Q274" s="69" t="str">
        <f t="shared" si="84"/>
        <v/>
      </c>
      <c r="R274" s="84"/>
      <c r="S274" s="65" t="str">
        <f t="shared" si="85"/>
        <v/>
      </c>
      <c r="T274" s="69" t="str">
        <f t="shared" si="86"/>
        <v/>
      </c>
      <c r="U274" s="84"/>
      <c r="V274" s="65" t="str">
        <f t="shared" si="87"/>
        <v/>
      </c>
      <c r="W274" s="108"/>
      <c r="X274" s="108"/>
      <c r="Y274" s="108"/>
      <c r="Z274" s="110" t="str">
        <f t="shared" si="88"/>
        <v/>
      </c>
      <c r="AA274" s="199">
        <f>IF(ISERROR('Berechnungen 2'!AR477),"",'Berechnungen 2'!AR477)</f>
        <v>0</v>
      </c>
      <c r="AB274" s="200">
        <f>IF(ISERROR('Berechnungen 2'!AS477),"",'Berechnungen 2'!AS477)</f>
        <v>0</v>
      </c>
      <c r="AC274" s="200">
        <f>IF(ISERROR('Berechnungen 2'!AT477),"",'Berechnungen 2'!AT477)</f>
        <v>0</v>
      </c>
      <c r="AD274" s="199">
        <f>IF(ISERROR('Berechnungen 2'!BE477),"",'Berechnungen 2'!BE477)</f>
        <v>0</v>
      </c>
      <c r="AE274" s="200">
        <f>IF(ISERROR('Berechnungen 2'!BF477),"",'Berechnungen 2'!BF477)</f>
        <v>0</v>
      </c>
      <c r="AF274" s="200">
        <f>IF(ISERROR('Berechnungen 2'!BG477),"",'Berechnungen 2'!BG477)</f>
        <v>0</v>
      </c>
      <c r="AG274" s="199" t="str">
        <f>IF(ISNUMBER(A274),IF(ISERROR('Berechnungen 2'!BK477),"",'Berechnungen 2'!BK477),"")</f>
        <v/>
      </c>
      <c r="AH274" s="200">
        <f>IF(ISERROR('Berechnungen 2'!BL477),"",'Berechnungen 2'!BL477)</f>
        <v>0</v>
      </c>
      <c r="AI274" s="200">
        <f>IF(ISERROR('Berechnungen 2'!BM477),"",'Berechnungen 2'!BM477)</f>
        <v>0</v>
      </c>
    </row>
    <row r="275" spans="1:35" x14ac:dyDescent="0.2">
      <c r="A275" s="71" t="str">
        <f t="shared" si="91"/>
        <v/>
      </c>
      <c r="B275" s="193">
        <f t="shared" si="92"/>
        <v>263</v>
      </c>
      <c r="C275" s="192">
        <f ca="1">IF(ISERROR(LARGE('Berechnungen 1'!$A$12:$A$311,B275)),"",LARGE('Berechnungen 1'!$A$12:$A$311,B275))</f>
        <v>38</v>
      </c>
      <c r="D275" s="76" t="str">
        <f t="shared" si="93"/>
        <v/>
      </c>
      <c r="E275" s="76" t="str">
        <f t="shared" si="93"/>
        <v/>
      </c>
      <c r="F275" s="155" t="str">
        <f t="shared" si="79"/>
        <v/>
      </c>
      <c r="G275" s="204" t="str">
        <f t="shared" si="80"/>
        <v/>
      </c>
      <c r="H275" s="156" t="str">
        <f t="shared" si="81"/>
        <v/>
      </c>
      <c r="I275" s="155" t="str">
        <f t="shared" si="82"/>
        <v/>
      </c>
      <c r="J275" s="184">
        <f t="shared" ca="1" si="83"/>
        <v>999999</v>
      </c>
      <c r="K275" s="184">
        <f>IF(OR(ISBLANK('Etape 1'!E270),ISBLANK('Etape 1'!F270)),IF(AND(ISBLANK('Etape 1'!B270),ISBLANK('Etape 1'!C270),ISBLANK('Etape 1'!D270),ISBLANK('Etape 1'!E270),ISBLANK('Etape 1'!F270),ISBLANK('Etape 1'!G270),ISBLANK('Etape 1'!H270)),999,9999),IF(VLOOKUP($C275,Matrix_Berechnungen1.Rang.Pumpendaten.Zwischenresultate,$C$9,0)&gt;0,VLOOKUP($C275,Matrix_Berechnungen1.Rang.Pumpendaten.Zwischenresultate,K$9,0),""))</f>
        <v>999</v>
      </c>
      <c r="L275" s="184">
        <f t="shared" ca="1" si="94"/>
        <v>263</v>
      </c>
      <c r="M275" s="184">
        <f t="shared" ca="1" si="94"/>
        <v>0</v>
      </c>
      <c r="N275" s="84"/>
      <c r="O275" s="84"/>
      <c r="P275" s="84"/>
      <c r="Q275" s="69" t="str">
        <f t="shared" si="84"/>
        <v/>
      </c>
      <c r="R275" s="84"/>
      <c r="S275" s="65" t="str">
        <f t="shared" si="85"/>
        <v/>
      </c>
      <c r="T275" s="69" t="str">
        <f t="shared" si="86"/>
        <v/>
      </c>
      <c r="U275" s="84"/>
      <c r="V275" s="65" t="str">
        <f t="shared" si="87"/>
        <v/>
      </c>
      <c r="W275" s="108"/>
      <c r="X275" s="108"/>
      <c r="Y275" s="108"/>
      <c r="Z275" s="110" t="str">
        <f t="shared" si="88"/>
        <v/>
      </c>
      <c r="AA275" s="199">
        <f>IF(ISERROR('Berechnungen 2'!AR478),"",'Berechnungen 2'!AR478)</f>
        <v>0</v>
      </c>
      <c r="AB275" s="200">
        <f>IF(ISERROR('Berechnungen 2'!AS478),"",'Berechnungen 2'!AS478)</f>
        <v>0</v>
      </c>
      <c r="AC275" s="200">
        <f>IF(ISERROR('Berechnungen 2'!AT478),"",'Berechnungen 2'!AT478)</f>
        <v>0</v>
      </c>
      <c r="AD275" s="199">
        <f>IF(ISERROR('Berechnungen 2'!BE478),"",'Berechnungen 2'!BE478)</f>
        <v>0</v>
      </c>
      <c r="AE275" s="200">
        <f>IF(ISERROR('Berechnungen 2'!BF478),"",'Berechnungen 2'!BF478)</f>
        <v>0</v>
      </c>
      <c r="AF275" s="200">
        <f>IF(ISERROR('Berechnungen 2'!BG478),"",'Berechnungen 2'!BG478)</f>
        <v>0</v>
      </c>
      <c r="AG275" s="199" t="str">
        <f>IF(ISNUMBER(A275),IF(ISERROR('Berechnungen 2'!BK478),"",'Berechnungen 2'!BK478),"")</f>
        <v/>
      </c>
      <c r="AH275" s="200">
        <f>IF(ISERROR('Berechnungen 2'!BL478),"",'Berechnungen 2'!BL478)</f>
        <v>0</v>
      </c>
      <c r="AI275" s="200">
        <f>IF(ISERROR('Berechnungen 2'!BM478),"",'Berechnungen 2'!BM478)</f>
        <v>0</v>
      </c>
    </row>
    <row r="276" spans="1:35" x14ac:dyDescent="0.2">
      <c r="A276" s="71" t="str">
        <f t="shared" si="91"/>
        <v/>
      </c>
      <c r="B276" s="193">
        <f t="shared" si="92"/>
        <v>264</v>
      </c>
      <c r="C276" s="192">
        <f ca="1">IF(ISERROR(LARGE('Berechnungen 1'!$A$12:$A$311,B276)),"",LARGE('Berechnungen 1'!$A$12:$A$311,B276))</f>
        <v>37</v>
      </c>
      <c r="D276" s="76" t="str">
        <f t="shared" si="93"/>
        <v/>
      </c>
      <c r="E276" s="76" t="str">
        <f t="shared" si="93"/>
        <v/>
      </c>
      <c r="F276" s="155" t="str">
        <f t="shared" si="79"/>
        <v/>
      </c>
      <c r="G276" s="204" t="str">
        <f t="shared" si="80"/>
        <v/>
      </c>
      <c r="H276" s="156" t="str">
        <f t="shared" si="81"/>
        <v/>
      </c>
      <c r="I276" s="155" t="str">
        <f t="shared" si="82"/>
        <v/>
      </c>
      <c r="J276" s="184">
        <f t="shared" ca="1" si="83"/>
        <v>999999</v>
      </c>
      <c r="K276" s="184">
        <f>IF(OR(ISBLANK('Etape 1'!E271),ISBLANK('Etape 1'!F271)),IF(AND(ISBLANK('Etape 1'!B271),ISBLANK('Etape 1'!C271),ISBLANK('Etape 1'!D271),ISBLANK('Etape 1'!E271),ISBLANK('Etape 1'!F271),ISBLANK('Etape 1'!G271),ISBLANK('Etape 1'!H271)),999,9999),IF(VLOOKUP($C276,Matrix_Berechnungen1.Rang.Pumpendaten.Zwischenresultate,$C$9,0)&gt;0,VLOOKUP($C276,Matrix_Berechnungen1.Rang.Pumpendaten.Zwischenresultate,K$9,0),""))</f>
        <v>999</v>
      </c>
      <c r="L276" s="184">
        <f t="shared" ca="1" si="94"/>
        <v>264</v>
      </c>
      <c r="M276" s="184">
        <f t="shared" ca="1" si="94"/>
        <v>0</v>
      </c>
      <c r="N276" s="84"/>
      <c r="O276" s="84"/>
      <c r="P276" s="84"/>
      <c r="Q276" s="69" t="str">
        <f t="shared" si="84"/>
        <v/>
      </c>
      <c r="R276" s="84"/>
      <c r="S276" s="65" t="str">
        <f t="shared" si="85"/>
        <v/>
      </c>
      <c r="T276" s="69" t="str">
        <f t="shared" si="86"/>
        <v/>
      </c>
      <c r="U276" s="84"/>
      <c r="V276" s="65" t="str">
        <f t="shared" si="87"/>
        <v/>
      </c>
      <c r="W276" s="108"/>
      <c r="X276" s="108"/>
      <c r="Y276" s="108"/>
      <c r="Z276" s="110" t="str">
        <f t="shared" si="88"/>
        <v/>
      </c>
      <c r="AA276" s="199">
        <f>IF(ISERROR('Berechnungen 2'!AR479),"",'Berechnungen 2'!AR479)</f>
        <v>0</v>
      </c>
      <c r="AB276" s="200">
        <f>IF(ISERROR('Berechnungen 2'!AS479),"",'Berechnungen 2'!AS479)</f>
        <v>0</v>
      </c>
      <c r="AC276" s="200">
        <f>IF(ISERROR('Berechnungen 2'!AT479),"",'Berechnungen 2'!AT479)</f>
        <v>0</v>
      </c>
      <c r="AD276" s="199">
        <f>IF(ISERROR('Berechnungen 2'!BE479),"",'Berechnungen 2'!BE479)</f>
        <v>0</v>
      </c>
      <c r="AE276" s="200">
        <f>IF(ISERROR('Berechnungen 2'!BF479),"",'Berechnungen 2'!BF479)</f>
        <v>0</v>
      </c>
      <c r="AF276" s="200">
        <f>IF(ISERROR('Berechnungen 2'!BG479),"",'Berechnungen 2'!BG479)</f>
        <v>0</v>
      </c>
      <c r="AG276" s="199" t="str">
        <f>IF(ISNUMBER(A276),IF(ISERROR('Berechnungen 2'!BK479),"",'Berechnungen 2'!BK479),"")</f>
        <v/>
      </c>
      <c r="AH276" s="200">
        <f>IF(ISERROR('Berechnungen 2'!BL479),"",'Berechnungen 2'!BL479)</f>
        <v>0</v>
      </c>
      <c r="AI276" s="200">
        <f>IF(ISERROR('Berechnungen 2'!BM479),"",'Berechnungen 2'!BM479)</f>
        <v>0</v>
      </c>
    </row>
    <row r="277" spans="1:35" x14ac:dyDescent="0.2">
      <c r="A277" s="71" t="str">
        <f t="shared" si="91"/>
        <v/>
      </c>
      <c r="B277" s="193">
        <f t="shared" si="92"/>
        <v>265</v>
      </c>
      <c r="C277" s="192">
        <f ca="1">IF(ISERROR(LARGE('Berechnungen 1'!$A$12:$A$311,B277)),"",LARGE('Berechnungen 1'!$A$12:$A$311,B277))</f>
        <v>36</v>
      </c>
      <c r="D277" s="76" t="str">
        <f t="shared" si="93"/>
        <v/>
      </c>
      <c r="E277" s="76" t="str">
        <f t="shared" si="93"/>
        <v/>
      </c>
      <c r="F277" s="155" t="str">
        <f t="shared" si="79"/>
        <v/>
      </c>
      <c r="G277" s="204" t="str">
        <f t="shared" si="80"/>
        <v/>
      </c>
      <c r="H277" s="156" t="str">
        <f t="shared" si="81"/>
        <v/>
      </c>
      <c r="I277" s="155" t="str">
        <f t="shared" si="82"/>
        <v/>
      </c>
      <c r="J277" s="184">
        <f t="shared" ca="1" si="83"/>
        <v>999999</v>
      </c>
      <c r="K277" s="184">
        <f>IF(OR(ISBLANK('Etape 1'!E272),ISBLANK('Etape 1'!F272)),IF(AND(ISBLANK('Etape 1'!B272),ISBLANK('Etape 1'!C272),ISBLANK('Etape 1'!D272),ISBLANK('Etape 1'!E272),ISBLANK('Etape 1'!F272),ISBLANK('Etape 1'!G272),ISBLANK('Etape 1'!H272)),999,9999),IF(VLOOKUP($C277,Matrix_Berechnungen1.Rang.Pumpendaten.Zwischenresultate,$C$9,0)&gt;0,VLOOKUP($C277,Matrix_Berechnungen1.Rang.Pumpendaten.Zwischenresultate,K$9,0),""))</f>
        <v>999</v>
      </c>
      <c r="L277" s="184">
        <f t="shared" ca="1" si="94"/>
        <v>265</v>
      </c>
      <c r="M277" s="184">
        <f t="shared" ca="1" si="94"/>
        <v>0</v>
      </c>
      <c r="N277" s="84"/>
      <c r="O277" s="84"/>
      <c r="P277" s="84"/>
      <c r="Q277" s="69" t="str">
        <f t="shared" si="84"/>
        <v/>
      </c>
      <c r="R277" s="84"/>
      <c r="S277" s="65" t="str">
        <f t="shared" si="85"/>
        <v/>
      </c>
      <c r="T277" s="69" t="str">
        <f t="shared" si="86"/>
        <v/>
      </c>
      <c r="U277" s="84"/>
      <c r="V277" s="65" t="str">
        <f t="shared" si="87"/>
        <v/>
      </c>
      <c r="W277" s="108"/>
      <c r="X277" s="108"/>
      <c r="Y277" s="108"/>
      <c r="Z277" s="110" t="str">
        <f t="shared" si="88"/>
        <v/>
      </c>
      <c r="AA277" s="199">
        <f>IF(ISERROR('Berechnungen 2'!AR480),"",'Berechnungen 2'!AR480)</f>
        <v>0</v>
      </c>
      <c r="AB277" s="200">
        <f>IF(ISERROR('Berechnungen 2'!AS480),"",'Berechnungen 2'!AS480)</f>
        <v>0</v>
      </c>
      <c r="AC277" s="200">
        <f>IF(ISERROR('Berechnungen 2'!AT480),"",'Berechnungen 2'!AT480)</f>
        <v>0</v>
      </c>
      <c r="AD277" s="199">
        <f>IF(ISERROR('Berechnungen 2'!BE480),"",'Berechnungen 2'!BE480)</f>
        <v>0</v>
      </c>
      <c r="AE277" s="200">
        <f>IF(ISERROR('Berechnungen 2'!BF480),"",'Berechnungen 2'!BF480)</f>
        <v>0</v>
      </c>
      <c r="AF277" s="200">
        <f>IF(ISERROR('Berechnungen 2'!BG480),"",'Berechnungen 2'!BG480)</f>
        <v>0</v>
      </c>
      <c r="AG277" s="199" t="str">
        <f>IF(ISNUMBER(A277),IF(ISERROR('Berechnungen 2'!BK480),"",'Berechnungen 2'!BK480),"")</f>
        <v/>
      </c>
      <c r="AH277" s="200">
        <f>IF(ISERROR('Berechnungen 2'!BL480),"",'Berechnungen 2'!BL480)</f>
        <v>0</v>
      </c>
      <c r="AI277" s="200">
        <f>IF(ISERROR('Berechnungen 2'!BM480),"",'Berechnungen 2'!BM480)</f>
        <v>0</v>
      </c>
    </row>
    <row r="278" spans="1:35" x14ac:dyDescent="0.2">
      <c r="A278" s="71" t="str">
        <f t="shared" si="91"/>
        <v/>
      </c>
      <c r="B278" s="193">
        <f t="shared" si="92"/>
        <v>266</v>
      </c>
      <c r="C278" s="192">
        <f ca="1">IF(ISERROR(LARGE('Berechnungen 1'!$A$12:$A$311,B278)),"",LARGE('Berechnungen 1'!$A$12:$A$311,B278))</f>
        <v>35</v>
      </c>
      <c r="D278" s="76" t="str">
        <f t="shared" si="93"/>
        <v/>
      </c>
      <c r="E278" s="76" t="str">
        <f t="shared" si="93"/>
        <v/>
      </c>
      <c r="F278" s="155" t="str">
        <f t="shared" si="79"/>
        <v/>
      </c>
      <c r="G278" s="204" t="str">
        <f t="shared" si="80"/>
        <v/>
      </c>
      <c r="H278" s="156" t="str">
        <f t="shared" si="81"/>
        <v/>
      </c>
      <c r="I278" s="155" t="str">
        <f t="shared" si="82"/>
        <v/>
      </c>
      <c r="J278" s="184">
        <f t="shared" ca="1" si="83"/>
        <v>999999</v>
      </c>
      <c r="K278" s="184">
        <f>IF(OR(ISBLANK('Etape 1'!E273),ISBLANK('Etape 1'!F273)),IF(AND(ISBLANK('Etape 1'!B273),ISBLANK('Etape 1'!C273),ISBLANK('Etape 1'!D273),ISBLANK('Etape 1'!E273),ISBLANK('Etape 1'!F273),ISBLANK('Etape 1'!G273),ISBLANK('Etape 1'!H273)),999,9999),IF(VLOOKUP($C278,Matrix_Berechnungen1.Rang.Pumpendaten.Zwischenresultate,$C$9,0)&gt;0,VLOOKUP($C278,Matrix_Berechnungen1.Rang.Pumpendaten.Zwischenresultate,K$9,0),""))</f>
        <v>999</v>
      </c>
      <c r="L278" s="184">
        <f t="shared" ca="1" si="94"/>
        <v>266</v>
      </c>
      <c r="M278" s="184">
        <f t="shared" ca="1" si="94"/>
        <v>0</v>
      </c>
      <c r="N278" s="84"/>
      <c r="O278" s="84"/>
      <c r="P278" s="84"/>
      <c r="Q278" s="69" t="str">
        <f t="shared" si="84"/>
        <v/>
      </c>
      <c r="R278" s="84"/>
      <c r="S278" s="65" t="str">
        <f t="shared" si="85"/>
        <v/>
      </c>
      <c r="T278" s="69" t="str">
        <f t="shared" si="86"/>
        <v/>
      </c>
      <c r="U278" s="84"/>
      <c r="V278" s="65" t="str">
        <f t="shared" si="87"/>
        <v/>
      </c>
      <c r="W278" s="108"/>
      <c r="X278" s="108"/>
      <c r="Y278" s="108"/>
      <c r="Z278" s="110" t="str">
        <f t="shared" si="88"/>
        <v/>
      </c>
      <c r="AA278" s="199">
        <f>IF(ISERROR('Berechnungen 2'!AR481),"",'Berechnungen 2'!AR481)</f>
        <v>0</v>
      </c>
      <c r="AB278" s="200">
        <f>IF(ISERROR('Berechnungen 2'!AS481),"",'Berechnungen 2'!AS481)</f>
        <v>0</v>
      </c>
      <c r="AC278" s="200">
        <f>IF(ISERROR('Berechnungen 2'!AT481),"",'Berechnungen 2'!AT481)</f>
        <v>0</v>
      </c>
      <c r="AD278" s="199">
        <f>IF(ISERROR('Berechnungen 2'!BE481),"",'Berechnungen 2'!BE481)</f>
        <v>0</v>
      </c>
      <c r="AE278" s="200">
        <f>IF(ISERROR('Berechnungen 2'!BF481),"",'Berechnungen 2'!BF481)</f>
        <v>0</v>
      </c>
      <c r="AF278" s="200">
        <f>IF(ISERROR('Berechnungen 2'!BG481),"",'Berechnungen 2'!BG481)</f>
        <v>0</v>
      </c>
      <c r="AG278" s="199" t="str">
        <f>IF(ISNUMBER(A278),IF(ISERROR('Berechnungen 2'!BK481),"",'Berechnungen 2'!BK481),"")</f>
        <v/>
      </c>
      <c r="AH278" s="200">
        <f>IF(ISERROR('Berechnungen 2'!BL481),"",'Berechnungen 2'!BL481)</f>
        <v>0</v>
      </c>
      <c r="AI278" s="200">
        <f>IF(ISERROR('Berechnungen 2'!BM481),"",'Berechnungen 2'!BM481)</f>
        <v>0</v>
      </c>
    </row>
    <row r="279" spans="1:35" x14ac:dyDescent="0.2">
      <c r="A279" s="71" t="str">
        <f t="shared" si="91"/>
        <v/>
      </c>
      <c r="B279" s="193">
        <f t="shared" si="92"/>
        <v>267</v>
      </c>
      <c r="C279" s="192">
        <f ca="1">IF(ISERROR(LARGE('Berechnungen 1'!$A$12:$A$311,B279)),"",LARGE('Berechnungen 1'!$A$12:$A$311,B279))</f>
        <v>34</v>
      </c>
      <c r="D279" s="76" t="str">
        <f t="shared" si="93"/>
        <v/>
      </c>
      <c r="E279" s="76" t="str">
        <f t="shared" si="93"/>
        <v/>
      </c>
      <c r="F279" s="155" t="str">
        <f t="shared" si="79"/>
        <v/>
      </c>
      <c r="G279" s="204" t="str">
        <f t="shared" si="80"/>
        <v/>
      </c>
      <c r="H279" s="156" t="str">
        <f t="shared" si="81"/>
        <v/>
      </c>
      <c r="I279" s="155" t="str">
        <f t="shared" si="82"/>
        <v/>
      </c>
      <c r="J279" s="184">
        <f t="shared" ca="1" si="83"/>
        <v>999999</v>
      </c>
      <c r="K279" s="184">
        <f>IF(OR(ISBLANK('Etape 1'!E274),ISBLANK('Etape 1'!F274)),IF(AND(ISBLANK('Etape 1'!B274),ISBLANK('Etape 1'!C274),ISBLANK('Etape 1'!D274),ISBLANK('Etape 1'!E274),ISBLANK('Etape 1'!F274),ISBLANK('Etape 1'!G274),ISBLANK('Etape 1'!H274)),999,9999),IF(VLOOKUP($C279,Matrix_Berechnungen1.Rang.Pumpendaten.Zwischenresultate,$C$9,0)&gt;0,VLOOKUP($C279,Matrix_Berechnungen1.Rang.Pumpendaten.Zwischenresultate,K$9,0),""))</f>
        <v>999</v>
      </c>
      <c r="L279" s="184">
        <f t="shared" ca="1" si="94"/>
        <v>267</v>
      </c>
      <c r="M279" s="184">
        <f t="shared" ca="1" si="94"/>
        <v>0</v>
      </c>
      <c r="N279" s="84"/>
      <c r="O279" s="84"/>
      <c r="P279" s="84"/>
      <c r="Q279" s="69" t="str">
        <f t="shared" si="84"/>
        <v/>
      </c>
      <c r="R279" s="84"/>
      <c r="S279" s="65" t="str">
        <f t="shared" si="85"/>
        <v/>
      </c>
      <c r="T279" s="69" t="str">
        <f t="shared" si="86"/>
        <v/>
      </c>
      <c r="U279" s="84"/>
      <c r="V279" s="65" t="str">
        <f t="shared" si="87"/>
        <v/>
      </c>
      <c r="W279" s="108"/>
      <c r="X279" s="108"/>
      <c r="Y279" s="108"/>
      <c r="Z279" s="110" t="str">
        <f t="shared" si="88"/>
        <v/>
      </c>
      <c r="AA279" s="199">
        <f>IF(ISERROR('Berechnungen 2'!AR482),"",'Berechnungen 2'!AR482)</f>
        <v>0</v>
      </c>
      <c r="AB279" s="200">
        <f>IF(ISERROR('Berechnungen 2'!AS482),"",'Berechnungen 2'!AS482)</f>
        <v>0</v>
      </c>
      <c r="AC279" s="200">
        <f>IF(ISERROR('Berechnungen 2'!AT482),"",'Berechnungen 2'!AT482)</f>
        <v>0</v>
      </c>
      <c r="AD279" s="199">
        <f>IF(ISERROR('Berechnungen 2'!BE482),"",'Berechnungen 2'!BE482)</f>
        <v>0</v>
      </c>
      <c r="AE279" s="200">
        <f>IF(ISERROR('Berechnungen 2'!BF482),"",'Berechnungen 2'!BF482)</f>
        <v>0</v>
      </c>
      <c r="AF279" s="200">
        <f>IF(ISERROR('Berechnungen 2'!BG482),"",'Berechnungen 2'!BG482)</f>
        <v>0</v>
      </c>
      <c r="AG279" s="199" t="str">
        <f>IF(ISNUMBER(A279),IF(ISERROR('Berechnungen 2'!BK482),"",'Berechnungen 2'!BK482),"")</f>
        <v/>
      </c>
      <c r="AH279" s="200">
        <f>IF(ISERROR('Berechnungen 2'!BL482),"",'Berechnungen 2'!BL482)</f>
        <v>0</v>
      </c>
      <c r="AI279" s="200">
        <f>IF(ISERROR('Berechnungen 2'!BM482),"",'Berechnungen 2'!BM482)</f>
        <v>0</v>
      </c>
    </row>
    <row r="280" spans="1:35" x14ac:dyDescent="0.2">
      <c r="A280" s="71" t="str">
        <f t="shared" si="91"/>
        <v/>
      </c>
      <c r="B280" s="193">
        <f t="shared" si="92"/>
        <v>268</v>
      </c>
      <c r="C280" s="192">
        <f ca="1">IF(ISERROR(LARGE('Berechnungen 1'!$A$12:$A$311,B280)),"",LARGE('Berechnungen 1'!$A$12:$A$311,B280))</f>
        <v>33</v>
      </c>
      <c r="D280" s="76" t="str">
        <f t="shared" si="93"/>
        <v/>
      </c>
      <c r="E280" s="76" t="str">
        <f t="shared" si="93"/>
        <v/>
      </c>
      <c r="F280" s="155" t="str">
        <f t="shared" si="79"/>
        <v/>
      </c>
      <c r="G280" s="204" t="str">
        <f t="shared" si="80"/>
        <v/>
      </c>
      <c r="H280" s="156" t="str">
        <f t="shared" si="81"/>
        <v/>
      </c>
      <c r="I280" s="155" t="str">
        <f t="shared" si="82"/>
        <v/>
      </c>
      <c r="J280" s="184">
        <f t="shared" ca="1" si="83"/>
        <v>999999</v>
      </c>
      <c r="K280" s="184">
        <f>IF(OR(ISBLANK('Etape 1'!E275),ISBLANK('Etape 1'!F275)),IF(AND(ISBLANK('Etape 1'!B275),ISBLANK('Etape 1'!C275),ISBLANK('Etape 1'!D275),ISBLANK('Etape 1'!E275),ISBLANK('Etape 1'!F275),ISBLANK('Etape 1'!G275),ISBLANK('Etape 1'!H275)),999,9999),IF(VLOOKUP($C280,Matrix_Berechnungen1.Rang.Pumpendaten.Zwischenresultate,$C$9,0)&gt;0,VLOOKUP($C280,Matrix_Berechnungen1.Rang.Pumpendaten.Zwischenresultate,K$9,0),""))</f>
        <v>999</v>
      </c>
      <c r="L280" s="184">
        <f t="shared" ca="1" si="94"/>
        <v>268</v>
      </c>
      <c r="M280" s="184">
        <f t="shared" ca="1" si="94"/>
        <v>0</v>
      </c>
      <c r="N280" s="84"/>
      <c r="O280" s="84"/>
      <c r="P280" s="84"/>
      <c r="Q280" s="69" t="str">
        <f t="shared" si="84"/>
        <v/>
      </c>
      <c r="R280" s="84"/>
      <c r="S280" s="65" t="str">
        <f t="shared" si="85"/>
        <v/>
      </c>
      <c r="T280" s="69" t="str">
        <f t="shared" si="86"/>
        <v/>
      </c>
      <c r="U280" s="84"/>
      <c r="V280" s="65" t="str">
        <f t="shared" si="87"/>
        <v/>
      </c>
      <c r="W280" s="108"/>
      <c r="X280" s="108"/>
      <c r="Y280" s="108"/>
      <c r="Z280" s="110" t="str">
        <f t="shared" si="88"/>
        <v/>
      </c>
      <c r="AA280" s="199">
        <f>IF(ISERROR('Berechnungen 2'!AR483),"",'Berechnungen 2'!AR483)</f>
        <v>0</v>
      </c>
      <c r="AB280" s="200">
        <f>IF(ISERROR('Berechnungen 2'!AS483),"",'Berechnungen 2'!AS483)</f>
        <v>0</v>
      </c>
      <c r="AC280" s="200">
        <f>IF(ISERROR('Berechnungen 2'!AT483),"",'Berechnungen 2'!AT483)</f>
        <v>0</v>
      </c>
      <c r="AD280" s="199">
        <f>IF(ISERROR('Berechnungen 2'!BE483),"",'Berechnungen 2'!BE483)</f>
        <v>0</v>
      </c>
      <c r="AE280" s="200">
        <f>IF(ISERROR('Berechnungen 2'!BF483),"",'Berechnungen 2'!BF483)</f>
        <v>0</v>
      </c>
      <c r="AF280" s="200">
        <f>IF(ISERROR('Berechnungen 2'!BG483),"",'Berechnungen 2'!BG483)</f>
        <v>0</v>
      </c>
      <c r="AG280" s="199" t="str">
        <f>IF(ISNUMBER(A280),IF(ISERROR('Berechnungen 2'!BK483),"",'Berechnungen 2'!BK483),"")</f>
        <v/>
      </c>
      <c r="AH280" s="200">
        <f>IF(ISERROR('Berechnungen 2'!BL483),"",'Berechnungen 2'!BL483)</f>
        <v>0</v>
      </c>
      <c r="AI280" s="200">
        <f>IF(ISERROR('Berechnungen 2'!BM483),"",'Berechnungen 2'!BM483)</f>
        <v>0</v>
      </c>
    </row>
    <row r="281" spans="1:35" x14ac:dyDescent="0.2">
      <c r="A281" s="71" t="str">
        <f t="shared" si="91"/>
        <v/>
      </c>
      <c r="B281" s="193">
        <f t="shared" si="92"/>
        <v>269</v>
      </c>
      <c r="C281" s="192">
        <f ca="1">IF(ISERROR(LARGE('Berechnungen 1'!$A$12:$A$311,B281)),"",LARGE('Berechnungen 1'!$A$12:$A$311,B281))</f>
        <v>32</v>
      </c>
      <c r="D281" s="76" t="str">
        <f t="shared" si="93"/>
        <v/>
      </c>
      <c r="E281" s="76" t="str">
        <f t="shared" si="93"/>
        <v/>
      </c>
      <c r="F281" s="155" t="str">
        <f t="shared" si="79"/>
        <v/>
      </c>
      <c r="G281" s="204" t="str">
        <f t="shared" si="80"/>
        <v/>
      </c>
      <c r="H281" s="156" t="str">
        <f t="shared" si="81"/>
        <v/>
      </c>
      <c r="I281" s="155" t="str">
        <f t="shared" si="82"/>
        <v/>
      </c>
      <c r="J281" s="184">
        <f t="shared" ca="1" si="83"/>
        <v>999999</v>
      </c>
      <c r="K281" s="184">
        <f>IF(OR(ISBLANK('Etape 1'!E276),ISBLANK('Etape 1'!F276)),IF(AND(ISBLANK('Etape 1'!B276),ISBLANK('Etape 1'!C276),ISBLANK('Etape 1'!D276),ISBLANK('Etape 1'!E276),ISBLANK('Etape 1'!F276),ISBLANK('Etape 1'!G276),ISBLANK('Etape 1'!H276)),999,9999),IF(VLOOKUP($C281,Matrix_Berechnungen1.Rang.Pumpendaten.Zwischenresultate,$C$9,0)&gt;0,VLOOKUP($C281,Matrix_Berechnungen1.Rang.Pumpendaten.Zwischenresultate,K$9,0),""))</f>
        <v>999</v>
      </c>
      <c r="L281" s="184">
        <f t="shared" ca="1" si="94"/>
        <v>269</v>
      </c>
      <c r="M281" s="184">
        <f t="shared" ca="1" si="94"/>
        <v>0</v>
      </c>
      <c r="N281" s="84"/>
      <c r="O281" s="84"/>
      <c r="P281" s="84"/>
      <c r="Q281" s="69" t="str">
        <f t="shared" si="84"/>
        <v/>
      </c>
      <c r="R281" s="84"/>
      <c r="S281" s="65" t="str">
        <f t="shared" si="85"/>
        <v/>
      </c>
      <c r="T281" s="69" t="str">
        <f t="shared" si="86"/>
        <v/>
      </c>
      <c r="U281" s="84"/>
      <c r="V281" s="65" t="str">
        <f t="shared" si="87"/>
        <v/>
      </c>
      <c r="W281" s="108"/>
      <c r="X281" s="108"/>
      <c r="Y281" s="108"/>
      <c r="Z281" s="110" t="str">
        <f t="shared" si="88"/>
        <v/>
      </c>
      <c r="AA281" s="199">
        <f>IF(ISERROR('Berechnungen 2'!AR484),"",'Berechnungen 2'!AR484)</f>
        <v>0</v>
      </c>
      <c r="AB281" s="200">
        <f>IF(ISERROR('Berechnungen 2'!AS484),"",'Berechnungen 2'!AS484)</f>
        <v>0</v>
      </c>
      <c r="AC281" s="200">
        <f>IF(ISERROR('Berechnungen 2'!AT484),"",'Berechnungen 2'!AT484)</f>
        <v>0</v>
      </c>
      <c r="AD281" s="199">
        <f>IF(ISERROR('Berechnungen 2'!BE484),"",'Berechnungen 2'!BE484)</f>
        <v>0</v>
      </c>
      <c r="AE281" s="200">
        <f>IF(ISERROR('Berechnungen 2'!BF484),"",'Berechnungen 2'!BF484)</f>
        <v>0</v>
      </c>
      <c r="AF281" s="200">
        <f>IF(ISERROR('Berechnungen 2'!BG484),"",'Berechnungen 2'!BG484)</f>
        <v>0</v>
      </c>
      <c r="AG281" s="199" t="str">
        <f>IF(ISNUMBER(A281),IF(ISERROR('Berechnungen 2'!BK484),"",'Berechnungen 2'!BK484),"")</f>
        <v/>
      </c>
      <c r="AH281" s="200">
        <f>IF(ISERROR('Berechnungen 2'!BL484),"",'Berechnungen 2'!BL484)</f>
        <v>0</v>
      </c>
      <c r="AI281" s="200">
        <f>IF(ISERROR('Berechnungen 2'!BM484),"",'Berechnungen 2'!BM484)</f>
        <v>0</v>
      </c>
    </row>
    <row r="282" spans="1:35" x14ac:dyDescent="0.2">
      <c r="A282" s="71" t="str">
        <f t="shared" si="91"/>
        <v/>
      </c>
      <c r="B282" s="193">
        <f t="shared" si="92"/>
        <v>270</v>
      </c>
      <c r="C282" s="192">
        <f ca="1">IF(ISERROR(LARGE('Berechnungen 1'!$A$12:$A$311,B282)),"",LARGE('Berechnungen 1'!$A$12:$A$311,B282))</f>
        <v>31</v>
      </c>
      <c r="D282" s="76" t="str">
        <f t="shared" si="93"/>
        <v/>
      </c>
      <c r="E282" s="76" t="str">
        <f t="shared" si="93"/>
        <v/>
      </c>
      <c r="F282" s="155" t="str">
        <f t="shared" si="79"/>
        <v/>
      </c>
      <c r="G282" s="204" t="str">
        <f t="shared" si="80"/>
        <v/>
      </c>
      <c r="H282" s="156" t="str">
        <f t="shared" si="81"/>
        <v/>
      </c>
      <c r="I282" s="155" t="str">
        <f t="shared" si="82"/>
        <v/>
      </c>
      <c r="J282" s="184">
        <f t="shared" ca="1" si="83"/>
        <v>999999</v>
      </c>
      <c r="K282" s="184">
        <f>IF(OR(ISBLANK('Etape 1'!E277),ISBLANK('Etape 1'!F277)),IF(AND(ISBLANK('Etape 1'!B277),ISBLANK('Etape 1'!C277),ISBLANK('Etape 1'!D277),ISBLANK('Etape 1'!E277),ISBLANK('Etape 1'!F277),ISBLANK('Etape 1'!G277),ISBLANK('Etape 1'!H277)),999,9999),IF(VLOOKUP($C282,Matrix_Berechnungen1.Rang.Pumpendaten.Zwischenresultate,$C$9,0)&gt;0,VLOOKUP($C282,Matrix_Berechnungen1.Rang.Pumpendaten.Zwischenresultate,K$9,0),""))</f>
        <v>999</v>
      </c>
      <c r="L282" s="184">
        <f t="shared" ca="1" si="94"/>
        <v>270</v>
      </c>
      <c r="M282" s="184">
        <f t="shared" ca="1" si="94"/>
        <v>0</v>
      </c>
      <c r="N282" s="84"/>
      <c r="O282" s="84"/>
      <c r="P282" s="84"/>
      <c r="Q282" s="69" t="str">
        <f t="shared" si="84"/>
        <v/>
      </c>
      <c r="R282" s="84"/>
      <c r="S282" s="65" t="str">
        <f t="shared" si="85"/>
        <v/>
      </c>
      <c r="T282" s="69" t="str">
        <f t="shared" si="86"/>
        <v/>
      </c>
      <c r="U282" s="84"/>
      <c r="V282" s="65" t="str">
        <f t="shared" si="87"/>
        <v/>
      </c>
      <c r="W282" s="108"/>
      <c r="X282" s="108"/>
      <c r="Y282" s="108"/>
      <c r="Z282" s="110" t="str">
        <f t="shared" si="88"/>
        <v/>
      </c>
      <c r="AA282" s="199">
        <f>IF(ISERROR('Berechnungen 2'!AR485),"",'Berechnungen 2'!AR485)</f>
        <v>0</v>
      </c>
      <c r="AB282" s="200">
        <f>IF(ISERROR('Berechnungen 2'!AS485),"",'Berechnungen 2'!AS485)</f>
        <v>0</v>
      </c>
      <c r="AC282" s="200">
        <f>IF(ISERROR('Berechnungen 2'!AT485),"",'Berechnungen 2'!AT485)</f>
        <v>0</v>
      </c>
      <c r="AD282" s="199">
        <f>IF(ISERROR('Berechnungen 2'!BE485),"",'Berechnungen 2'!BE485)</f>
        <v>0</v>
      </c>
      <c r="AE282" s="200">
        <f>IF(ISERROR('Berechnungen 2'!BF485),"",'Berechnungen 2'!BF485)</f>
        <v>0</v>
      </c>
      <c r="AF282" s="200">
        <f>IF(ISERROR('Berechnungen 2'!BG485),"",'Berechnungen 2'!BG485)</f>
        <v>0</v>
      </c>
      <c r="AG282" s="199" t="str">
        <f>IF(ISNUMBER(A282),IF(ISERROR('Berechnungen 2'!BK485),"",'Berechnungen 2'!BK485),"")</f>
        <v/>
      </c>
      <c r="AH282" s="200">
        <f>IF(ISERROR('Berechnungen 2'!BL485),"",'Berechnungen 2'!BL485)</f>
        <v>0</v>
      </c>
      <c r="AI282" s="200">
        <f>IF(ISERROR('Berechnungen 2'!BM485),"",'Berechnungen 2'!BM485)</f>
        <v>0</v>
      </c>
    </row>
    <row r="283" spans="1:35" x14ac:dyDescent="0.2">
      <c r="A283" s="71" t="str">
        <f t="shared" si="91"/>
        <v/>
      </c>
      <c r="B283" s="193">
        <f t="shared" si="92"/>
        <v>271</v>
      </c>
      <c r="C283" s="192">
        <f ca="1">IF(ISERROR(LARGE('Berechnungen 1'!$A$12:$A$311,B283)),"",LARGE('Berechnungen 1'!$A$12:$A$311,B283))</f>
        <v>30</v>
      </c>
      <c r="D283" s="76" t="str">
        <f t="shared" si="93"/>
        <v/>
      </c>
      <c r="E283" s="76" t="str">
        <f t="shared" si="93"/>
        <v/>
      </c>
      <c r="F283" s="155" t="str">
        <f t="shared" si="79"/>
        <v/>
      </c>
      <c r="G283" s="204" t="str">
        <f t="shared" si="80"/>
        <v/>
      </c>
      <c r="H283" s="156" t="str">
        <f t="shared" si="81"/>
        <v/>
      </c>
      <c r="I283" s="155" t="str">
        <f t="shared" si="82"/>
        <v/>
      </c>
      <c r="J283" s="184">
        <f t="shared" ca="1" si="83"/>
        <v>999999</v>
      </c>
      <c r="K283" s="184">
        <f>IF(OR(ISBLANK('Etape 1'!E278),ISBLANK('Etape 1'!F278)),IF(AND(ISBLANK('Etape 1'!B278),ISBLANK('Etape 1'!C278),ISBLANK('Etape 1'!D278),ISBLANK('Etape 1'!E278),ISBLANK('Etape 1'!F278),ISBLANK('Etape 1'!G278),ISBLANK('Etape 1'!H278)),999,9999),IF(VLOOKUP($C283,Matrix_Berechnungen1.Rang.Pumpendaten.Zwischenresultate,$C$9,0)&gt;0,VLOOKUP($C283,Matrix_Berechnungen1.Rang.Pumpendaten.Zwischenresultate,K$9,0),""))</f>
        <v>999</v>
      </c>
      <c r="L283" s="184">
        <f t="shared" ca="1" si="94"/>
        <v>271</v>
      </c>
      <c r="M283" s="184">
        <f t="shared" ca="1" si="94"/>
        <v>0</v>
      </c>
      <c r="N283" s="84"/>
      <c r="O283" s="84"/>
      <c r="P283" s="84"/>
      <c r="Q283" s="69" t="str">
        <f t="shared" si="84"/>
        <v/>
      </c>
      <c r="R283" s="84"/>
      <c r="S283" s="65" t="str">
        <f t="shared" si="85"/>
        <v/>
      </c>
      <c r="T283" s="69" t="str">
        <f t="shared" si="86"/>
        <v/>
      </c>
      <c r="U283" s="84"/>
      <c r="V283" s="65" t="str">
        <f t="shared" si="87"/>
        <v/>
      </c>
      <c r="W283" s="108"/>
      <c r="X283" s="108"/>
      <c r="Y283" s="108"/>
      <c r="Z283" s="110" t="str">
        <f t="shared" si="88"/>
        <v/>
      </c>
      <c r="AA283" s="199">
        <f>IF(ISERROR('Berechnungen 2'!AR486),"",'Berechnungen 2'!AR486)</f>
        <v>0</v>
      </c>
      <c r="AB283" s="200">
        <f>IF(ISERROR('Berechnungen 2'!AS486),"",'Berechnungen 2'!AS486)</f>
        <v>0</v>
      </c>
      <c r="AC283" s="200">
        <f>IF(ISERROR('Berechnungen 2'!AT486),"",'Berechnungen 2'!AT486)</f>
        <v>0</v>
      </c>
      <c r="AD283" s="199">
        <f>IF(ISERROR('Berechnungen 2'!BE486),"",'Berechnungen 2'!BE486)</f>
        <v>0</v>
      </c>
      <c r="AE283" s="200">
        <f>IF(ISERROR('Berechnungen 2'!BF486),"",'Berechnungen 2'!BF486)</f>
        <v>0</v>
      </c>
      <c r="AF283" s="200">
        <f>IF(ISERROR('Berechnungen 2'!BG486),"",'Berechnungen 2'!BG486)</f>
        <v>0</v>
      </c>
      <c r="AG283" s="199" t="str">
        <f>IF(ISNUMBER(A283),IF(ISERROR('Berechnungen 2'!BK486),"",'Berechnungen 2'!BK486),"")</f>
        <v/>
      </c>
      <c r="AH283" s="200">
        <f>IF(ISERROR('Berechnungen 2'!BL486),"",'Berechnungen 2'!BL486)</f>
        <v>0</v>
      </c>
      <c r="AI283" s="200">
        <f>IF(ISERROR('Berechnungen 2'!BM486),"",'Berechnungen 2'!BM486)</f>
        <v>0</v>
      </c>
    </row>
    <row r="284" spans="1:35" x14ac:dyDescent="0.2">
      <c r="A284" s="71" t="str">
        <f t="shared" si="91"/>
        <v/>
      </c>
      <c r="B284" s="193">
        <f t="shared" si="92"/>
        <v>272</v>
      </c>
      <c r="C284" s="192">
        <f ca="1">IF(ISERROR(LARGE('Berechnungen 1'!$A$12:$A$311,B284)),"",LARGE('Berechnungen 1'!$A$12:$A$311,B284))</f>
        <v>29</v>
      </c>
      <c r="D284" s="76" t="str">
        <f t="shared" si="93"/>
        <v/>
      </c>
      <c r="E284" s="76" t="str">
        <f t="shared" si="93"/>
        <v/>
      </c>
      <c r="F284" s="155" t="str">
        <f t="shared" si="79"/>
        <v/>
      </c>
      <c r="G284" s="204" t="str">
        <f t="shared" si="80"/>
        <v/>
      </c>
      <c r="H284" s="156" t="str">
        <f t="shared" si="81"/>
        <v/>
      </c>
      <c r="I284" s="155" t="str">
        <f t="shared" si="82"/>
        <v/>
      </c>
      <c r="J284" s="184">
        <f t="shared" ca="1" si="83"/>
        <v>999999</v>
      </c>
      <c r="K284" s="184">
        <f>IF(OR(ISBLANK('Etape 1'!E279),ISBLANK('Etape 1'!F279)),IF(AND(ISBLANK('Etape 1'!B279),ISBLANK('Etape 1'!C279),ISBLANK('Etape 1'!D279),ISBLANK('Etape 1'!E279),ISBLANK('Etape 1'!F279),ISBLANK('Etape 1'!G279),ISBLANK('Etape 1'!H279)),999,9999),IF(VLOOKUP($C284,Matrix_Berechnungen1.Rang.Pumpendaten.Zwischenresultate,$C$9,0)&gt;0,VLOOKUP($C284,Matrix_Berechnungen1.Rang.Pumpendaten.Zwischenresultate,K$9,0),""))</f>
        <v>999</v>
      </c>
      <c r="L284" s="184">
        <f t="shared" ca="1" si="94"/>
        <v>272</v>
      </c>
      <c r="M284" s="184">
        <f t="shared" ca="1" si="94"/>
        <v>0</v>
      </c>
      <c r="N284" s="84"/>
      <c r="O284" s="84"/>
      <c r="P284" s="84"/>
      <c r="Q284" s="69" t="str">
        <f t="shared" si="84"/>
        <v/>
      </c>
      <c r="R284" s="84"/>
      <c r="S284" s="65" t="str">
        <f t="shared" si="85"/>
        <v/>
      </c>
      <c r="T284" s="69" t="str">
        <f t="shared" si="86"/>
        <v/>
      </c>
      <c r="U284" s="84"/>
      <c r="V284" s="65" t="str">
        <f t="shared" si="87"/>
        <v/>
      </c>
      <c r="W284" s="108"/>
      <c r="X284" s="108"/>
      <c r="Y284" s="108"/>
      <c r="Z284" s="110" t="str">
        <f t="shared" si="88"/>
        <v/>
      </c>
      <c r="AA284" s="199">
        <f>IF(ISERROR('Berechnungen 2'!AR487),"",'Berechnungen 2'!AR487)</f>
        <v>0</v>
      </c>
      <c r="AB284" s="200">
        <f>IF(ISERROR('Berechnungen 2'!AS487),"",'Berechnungen 2'!AS487)</f>
        <v>0</v>
      </c>
      <c r="AC284" s="200">
        <f>IF(ISERROR('Berechnungen 2'!AT487),"",'Berechnungen 2'!AT487)</f>
        <v>0</v>
      </c>
      <c r="AD284" s="199">
        <f>IF(ISERROR('Berechnungen 2'!BE487),"",'Berechnungen 2'!BE487)</f>
        <v>0</v>
      </c>
      <c r="AE284" s="200">
        <f>IF(ISERROR('Berechnungen 2'!BF487),"",'Berechnungen 2'!BF487)</f>
        <v>0</v>
      </c>
      <c r="AF284" s="200">
        <f>IF(ISERROR('Berechnungen 2'!BG487),"",'Berechnungen 2'!BG487)</f>
        <v>0</v>
      </c>
      <c r="AG284" s="199" t="str">
        <f>IF(ISNUMBER(A284),IF(ISERROR('Berechnungen 2'!BK487),"",'Berechnungen 2'!BK487),"")</f>
        <v/>
      </c>
      <c r="AH284" s="200">
        <f>IF(ISERROR('Berechnungen 2'!BL487),"",'Berechnungen 2'!BL487)</f>
        <v>0</v>
      </c>
      <c r="AI284" s="200">
        <f>IF(ISERROR('Berechnungen 2'!BM487),"",'Berechnungen 2'!BM487)</f>
        <v>0</v>
      </c>
    </row>
    <row r="285" spans="1:35" x14ac:dyDescent="0.2">
      <c r="A285" s="71" t="str">
        <f t="shared" si="91"/>
        <v/>
      </c>
      <c r="B285" s="193">
        <f t="shared" si="92"/>
        <v>273</v>
      </c>
      <c r="C285" s="192">
        <f ca="1">IF(ISERROR(LARGE('Berechnungen 1'!$A$12:$A$311,B285)),"",LARGE('Berechnungen 1'!$A$12:$A$311,B285))</f>
        <v>28</v>
      </c>
      <c r="D285" s="76" t="str">
        <f t="shared" si="93"/>
        <v/>
      </c>
      <c r="E285" s="76" t="str">
        <f t="shared" si="93"/>
        <v/>
      </c>
      <c r="F285" s="155" t="str">
        <f t="shared" si="79"/>
        <v/>
      </c>
      <c r="G285" s="204" t="str">
        <f t="shared" si="80"/>
        <v/>
      </c>
      <c r="H285" s="156" t="str">
        <f t="shared" si="81"/>
        <v/>
      </c>
      <c r="I285" s="155" t="str">
        <f t="shared" si="82"/>
        <v/>
      </c>
      <c r="J285" s="184">
        <f t="shared" ca="1" si="83"/>
        <v>999999</v>
      </c>
      <c r="K285" s="184">
        <f>IF(OR(ISBLANK('Etape 1'!E280),ISBLANK('Etape 1'!F280)),IF(AND(ISBLANK('Etape 1'!B280),ISBLANK('Etape 1'!C280),ISBLANK('Etape 1'!D280),ISBLANK('Etape 1'!E280),ISBLANK('Etape 1'!F280),ISBLANK('Etape 1'!G280),ISBLANK('Etape 1'!H280)),999,9999),IF(VLOOKUP($C285,Matrix_Berechnungen1.Rang.Pumpendaten.Zwischenresultate,$C$9,0)&gt;0,VLOOKUP($C285,Matrix_Berechnungen1.Rang.Pumpendaten.Zwischenresultate,K$9,0),""))</f>
        <v>999</v>
      </c>
      <c r="L285" s="184">
        <f t="shared" ca="1" si="94"/>
        <v>273</v>
      </c>
      <c r="M285" s="184">
        <f t="shared" ca="1" si="94"/>
        <v>0</v>
      </c>
      <c r="N285" s="84"/>
      <c r="O285" s="84"/>
      <c r="P285" s="84"/>
      <c r="Q285" s="69" t="str">
        <f t="shared" si="84"/>
        <v/>
      </c>
      <c r="R285" s="84"/>
      <c r="S285" s="65" t="str">
        <f t="shared" si="85"/>
        <v/>
      </c>
      <c r="T285" s="69" t="str">
        <f t="shared" si="86"/>
        <v/>
      </c>
      <c r="U285" s="84"/>
      <c r="V285" s="65" t="str">
        <f t="shared" si="87"/>
        <v/>
      </c>
      <c r="W285" s="108"/>
      <c r="X285" s="108"/>
      <c r="Y285" s="108"/>
      <c r="Z285" s="110" t="str">
        <f t="shared" si="88"/>
        <v/>
      </c>
      <c r="AA285" s="199">
        <f>IF(ISERROR('Berechnungen 2'!AR488),"",'Berechnungen 2'!AR488)</f>
        <v>0</v>
      </c>
      <c r="AB285" s="200">
        <f>IF(ISERROR('Berechnungen 2'!AS488),"",'Berechnungen 2'!AS488)</f>
        <v>0</v>
      </c>
      <c r="AC285" s="200">
        <f>IF(ISERROR('Berechnungen 2'!AT488),"",'Berechnungen 2'!AT488)</f>
        <v>0</v>
      </c>
      <c r="AD285" s="199">
        <f>IF(ISERROR('Berechnungen 2'!BE488),"",'Berechnungen 2'!BE488)</f>
        <v>0</v>
      </c>
      <c r="AE285" s="200">
        <f>IF(ISERROR('Berechnungen 2'!BF488),"",'Berechnungen 2'!BF488)</f>
        <v>0</v>
      </c>
      <c r="AF285" s="200">
        <f>IF(ISERROR('Berechnungen 2'!BG488),"",'Berechnungen 2'!BG488)</f>
        <v>0</v>
      </c>
      <c r="AG285" s="199" t="str">
        <f>IF(ISNUMBER(A285),IF(ISERROR('Berechnungen 2'!BK488),"",'Berechnungen 2'!BK488),"")</f>
        <v/>
      </c>
      <c r="AH285" s="200">
        <f>IF(ISERROR('Berechnungen 2'!BL488),"",'Berechnungen 2'!BL488)</f>
        <v>0</v>
      </c>
      <c r="AI285" s="200">
        <f>IF(ISERROR('Berechnungen 2'!BM488),"",'Berechnungen 2'!BM488)</f>
        <v>0</v>
      </c>
    </row>
    <row r="286" spans="1:35" x14ac:dyDescent="0.2">
      <c r="A286" s="71" t="str">
        <f t="shared" si="91"/>
        <v/>
      </c>
      <c r="B286" s="193">
        <f t="shared" si="92"/>
        <v>274</v>
      </c>
      <c r="C286" s="192">
        <f ca="1">IF(ISERROR(LARGE('Berechnungen 1'!$A$12:$A$311,B286)),"",LARGE('Berechnungen 1'!$A$12:$A$311,B286))</f>
        <v>27</v>
      </c>
      <c r="D286" s="76" t="str">
        <f t="shared" si="93"/>
        <v/>
      </c>
      <c r="E286" s="76" t="str">
        <f t="shared" si="93"/>
        <v/>
      </c>
      <c r="F286" s="155" t="str">
        <f t="shared" si="79"/>
        <v/>
      </c>
      <c r="G286" s="204" t="str">
        <f t="shared" si="80"/>
        <v/>
      </c>
      <c r="H286" s="156" t="str">
        <f t="shared" si="81"/>
        <v/>
      </c>
      <c r="I286" s="155" t="str">
        <f t="shared" si="82"/>
        <v/>
      </c>
      <c r="J286" s="184">
        <f t="shared" ca="1" si="83"/>
        <v>999999</v>
      </c>
      <c r="K286" s="184">
        <f>IF(OR(ISBLANK('Etape 1'!E281),ISBLANK('Etape 1'!F281)),IF(AND(ISBLANK('Etape 1'!B281),ISBLANK('Etape 1'!C281),ISBLANK('Etape 1'!D281),ISBLANK('Etape 1'!E281),ISBLANK('Etape 1'!F281),ISBLANK('Etape 1'!G281),ISBLANK('Etape 1'!H281)),999,9999),IF(VLOOKUP($C286,Matrix_Berechnungen1.Rang.Pumpendaten.Zwischenresultate,$C$9,0)&gt;0,VLOOKUP($C286,Matrix_Berechnungen1.Rang.Pumpendaten.Zwischenresultate,K$9,0),""))</f>
        <v>999</v>
      </c>
      <c r="L286" s="184">
        <f t="shared" ca="1" si="94"/>
        <v>274</v>
      </c>
      <c r="M286" s="184">
        <f t="shared" ca="1" si="94"/>
        <v>0</v>
      </c>
      <c r="N286" s="84"/>
      <c r="O286" s="84"/>
      <c r="P286" s="84"/>
      <c r="Q286" s="69" t="str">
        <f t="shared" si="84"/>
        <v/>
      </c>
      <c r="R286" s="84"/>
      <c r="S286" s="65" t="str">
        <f t="shared" si="85"/>
        <v/>
      </c>
      <c r="T286" s="69" t="str">
        <f t="shared" si="86"/>
        <v/>
      </c>
      <c r="U286" s="84"/>
      <c r="V286" s="65" t="str">
        <f t="shared" si="87"/>
        <v/>
      </c>
      <c r="W286" s="108"/>
      <c r="X286" s="108"/>
      <c r="Y286" s="108"/>
      <c r="Z286" s="110" t="str">
        <f t="shared" si="88"/>
        <v/>
      </c>
      <c r="AA286" s="199">
        <f>IF(ISERROR('Berechnungen 2'!AR489),"",'Berechnungen 2'!AR489)</f>
        <v>0</v>
      </c>
      <c r="AB286" s="200">
        <f>IF(ISERROR('Berechnungen 2'!AS489),"",'Berechnungen 2'!AS489)</f>
        <v>0</v>
      </c>
      <c r="AC286" s="200">
        <f>IF(ISERROR('Berechnungen 2'!AT489),"",'Berechnungen 2'!AT489)</f>
        <v>0</v>
      </c>
      <c r="AD286" s="199">
        <f>IF(ISERROR('Berechnungen 2'!BE489),"",'Berechnungen 2'!BE489)</f>
        <v>0</v>
      </c>
      <c r="AE286" s="200">
        <f>IF(ISERROR('Berechnungen 2'!BF489),"",'Berechnungen 2'!BF489)</f>
        <v>0</v>
      </c>
      <c r="AF286" s="200">
        <f>IF(ISERROR('Berechnungen 2'!BG489),"",'Berechnungen 2'!BG489)</f>
        <v>0</v>
      </c>
      <c r="AG286" s="199" t="str">
        <f>IF(ISNUMBER(A286),IF(ISERROR('Berechnungen 2'!BK489),"",'Berechnungen 2'!BK489),"")</f>
        <v/>
      </c>
      <c r="AH286" s="200">
        <f>IF(ISERROR('Berechnungen 2'!BL489),"",'Berechnungen 2'!BL489)</f>
        <v>0</v>
      </c>
      <c r="AI286" s="200">
        <f>IF(ISERROR('Berechnungen 2'!BM489),"",'Berechnungen 2'!BM489)</f>
        <v>0</v>
      </c>
    </row>
    <row r="287" spans="1:35" x14ac:dyDescent="0.2">
      <c r="A287" s="71" t="str">
        <f t="shared" si="91"/>
        <v/>
      </c>
      <c r="B287" s="193">
        <f t="shared" si="92"/>
        <v>275</v>
      </c>
      <c r="C287" s="192">
        <f ca="1">IF(ISERROR(LARGE('Berechnungen 1'!$A$12:$A$311,B287)),"",LARGE('Berechnungen 1'!$A$12:$A$311,B287))</f>
        <v>26</v>
      </c>
      <c r="D287" s="76" t="str">
        <f t="shared" si="93"/>
        <v/>
      </c>
      <c r="E287" s="76" t="str">
        <f t="shared" si="93"/>
        <v/>
      </c>
      <c r="F287" s="155" t="str">
        <f t="shared" si="79"/>
        <v/>
      </c>
      <c r="G287" s="204" t="str">
        <f t="shared" si="80"/>
        <v/>
      </c>
      <c r="H287" s="156" t="str">
        <f t="shared" si="81"/>
        <v/>
      </c>
      <c r="I287" s="155" t="str">
        <f t="shared" si="82"/>
        <v/>
      </c>
      <c r="J287" s="184">
        <f t="shared" ca="1" si="83"/>
        <v>999999</v>
      </c>
      <c r="K287" s="184">
        <f>IF(OR(ISBLANK('Etape 1'!E282),ISBLANK('Etape 1'!F282)),IF(AND(ISBLANK('Etape 1'!B282),ISBLANK('Etape 1'!C282),ISBLANK('Etape 1'!D282),ISBLANK('Etape 1'!E282),ISBLANK('Etape 1'!F282),ISBLANK('Etape 1'!G282),ISBLANK('Etape 1'!H282)),999,9999),IF(VLOOKUP($C287,Matrix_Berechnungen1.Rang.Pumpendaten.Zwischenresultate,$C$9,0)&gt;0,VLOOKUP($C287,Matrix_Berechnungen1.Rang.Pumpendaten.Zwischenresultate,K$9,0),""))</f>
        <v>999</v>
      </c>
      <c r="L287" s="184">
        <f t="shared" ca="1" si="94"/>
        <v>275</v>
      </c>
      <c r="M287" s="184">
        <f t="shared" ca="1" si="94"/>
        <v>0</v>
      </c>
      <c r="N287" s="84"/>
      <c r="O287" s="84"/>
      <c r="P287" s="84"/>
      <c r="Q287" s="69" t="str">
        <f t="shared" si="84"/>
        <v/>
      </c>
      <c r="R287" s="84"/>
      <c r="S287" s="65" t="str">
        <f t="shared" si="85"/>
        <v/>
      </c>
      <c r="T287" s="69" t="str">
        <f t="shared" si="86"/>
        <v/>
      </c>
      <c r="U287" s="84"/>
      <c r="V287" s="65" t="str">
        <f t="shared" si="87"/>
        <v/>
      </c>
      <c r="W287" s="108"/>
      <c r="X287" s="108"/>
      <c r="Y287" s="108"/>
      <c r="Z287" s="110" t="str">
        <f t="shared" si="88"/>
        <v/>
      </c>
      <c r="AA287" s="199">
        <f>IF(ISERROR('Berechnungen 2'!AR490),"",'Berechnungen 2'!AR490)</f>
        <v>0</v>
      </c>
      <c r="AB287" s="200">
        <f>IF(ISERROR('Berechnungen 2'!AS490),"",'Berechnungen 2'!AS490)</f>
        <v>0</v>
      </c>
      <c r="AC287" s="200">
        <f>IF(ISERROR('Berechnungen 2'!AT490),"",'Berechnungen 2'!AT490)</f>
        <v>0</v>
      </c>
      <c r="AD287" s="199">
        <f>IF(ISERROR('Berechnungen 2'!BE490),"",'Berechnungen 2'!BE490)</f>
        <v>0</v>
      </c>
      <c r="AE287" s="200">
        <f>IF(ISERROR('Berechnungen 2'!BF490),"",'Berechnungen 2'!BF490)</f>
        <v>0</v>
      </c>
      <c r="AF287" s="200">
        <f>IF(ISERROR('Berechnungen 2'!BG490),"",'Berechnungen 2'!BG490)</f>
        <v>0</v>
      </c>
      <c r="AG287" s="199" t="str">
        <f>IF(ISNUMBER(A287),IF(ISERROR('Berechnungen 2'!BK490),"",'Berechnungen 2'!BK490),"")</f>
        <v/>
      </c>
      <c r="AH287" s="200">
        <f>IF(ISERROR('Berechnungen 2'!BL490),"",'Berechnungen 2'!BL490)</f>
        <v>0</v>
      </c>
      <c r="AI287" s="200">
        <f>IF(ISERROR('Berechnungen 2'!BM490),"",'Berechnungen 2'!BM490)</f>
        <v>0</v>
      </c>
    </row>
    <row r="288" spans="1:35" x14ac:dyDescent="0.2">
      <c r="A288" s="71" t="str">
        <f t="shared" si="91"/>
        <v/>
      </c>
      <c r="B288" s="193">
        <f t="shared" si="92"/>
        <v>276</v>
      </c>
      <c r="C288" s="192">
        <f ca="1">IF(ISERROR(LARGE('Berechnungen 1'!$A$12:$A$311,B288)),"",LARGE('Berechnungen 1'!$A$12:$A$311,B288))</f>
        <v>25</v>
      </c>
      <c r="D288" s="76" t="str">
        <f t="shared" si="93"/>
        <v/>
      </c>
      <c r="E288" s="76" t="str">
        <f t="shared" si="93"/>
        <v/>
      </c>
      <c r="F288" s="155" t="str">
        <f t="shared" si="79"/>
        <v/>
      </c>
      <c r="G288" s="204" t="str">
        <f t="shared" si="80"/>
        <v/>
      </c>
      <c r="H288" s="156" t="str">
        <f t="shared" si="81"/>
        <v/>
      </c>
      <c r="I288" s="155" t="str">
        <f t="shared" si="82"/>
        <v/>
      </c>
      <c r="J288" s="184">
        <f t="shared" ca="1" si="83"/>
        <v>999999</v>
      </c>
      <c r="K288" s="184">
        <f>IF(OR(ISBLANK('Etape 1'!E283),ISBLANK('Etape 1'!F283)),IF(AND(ISBLANK('Etape 1'!B283),ISBLANK('Etape 1'!C283),ISBLANK('Etape 1'!D283),ISBLANK('Etape 1'!E283),ISBLANK('Etape 1'!F283),ISBLANK('Etape 1'!G283),ISBLANK('Etape 1'!H283)),999,9999),IF(VLOOKUP($C288,Matrix_Berechnungen1.Rang.Pumpendaten.Zwischenresultate,$C$9,0)&gt;0,VLOOKUP($C288,Matrix_Berechnungen1.Rang.Pumpendaten.Zwischenresultate,K$9,0),""))</f>
        <v>999</v>
      </c>
      <c r="L288" s="184">
        <f t="shared" ca="1" si="94"/>
        <v>276</v>
      </c>
      <c r="M288" s="184">
        <f t="shared" ca="1" si="94"/>
        <v>0</v>
      </c>
      <c r="N288" s="84"/>
      <c r="O288" s="84"/>
      <c r="P288" s="84"/>
      <c r="Q288" s="69" t="str">
        <f t="shared" si="84"/>
        <v/>
      </c>
      <c r="R288" s="84"/>
      <c r="S288" s="65" t="str">
        <f t="shared" si="85"/>
        <v/>
      </c>
      <c r="T288" s="69" t="str">
        <f t="shared" si="86"/>
        <v/>
      </c>
      <c r="U288" s="84"/>
      <c r="V288" s="65" t="str">
        <f t="shared" si="87"/>
        <v/>
      </c>
      <c r="W288" s="108"/>
      <c r="X288" s="108"/>
      <c r="Y288" s="108"/>
      <c r="Z288" s="110" t="str">
        <f t="shared" si="88"/>
        <v/>
      </c>
      <c r="AA288" s="199">
        <f>IF(ISERROR('Berechnungen 2'!AR491),"",'Berechnungen 2'!AR491)</f>
        <v>0</v>
      </c>
      <c r="AB288" s="200">
        <f>IF(ISERROR('Berechnungen 2'!AS491),"",'Berechnungen 2'!AS491)</f>
        <v>0</v>
      </c>
      <c r="AC288" s="200">
        <f>IF(ISERROR('Berechnungen 2'!AT491),"",'Berechnungen 2'!AT491)</f>
        <v>0</v>
      </c>
      <c r="AD288" s="199">
        <f>IF(ISERROR('Berechnungen 2'!BE491),"",'Berechnungen 2'!BE491)</f>
        <v>0</v>
      </c>
      <c r="AE288" s="200">
        <f>IF(ISERROR('Berechnungen 2'!BF491),"",'Berechnungen 2'!BF491)</f>
        <v>0</v>
      </c>
      <c r="AF288" s="200">
        <f>IF(ISERROR('Berechnungen 2'!BG491),"",'Berechnungen 2'!BG491)</f>
        <v>0</v>
      </c>
      <c r="AG288" s="199" t="str">
        <f>IF(ISNUMBER(A288),IF(ISERROR('Berechnungen 2'!BK491),"",'Berechnungen 2'!BK491),"")</f>
        <v/>
      </c>
      <c r="AH288" s="200">
        <f>IF(ISERROR('Berechnungen 2'!BL491),"",'Berechnungen 2'!BL491)</f>
        <v>0</v>
      </c>
      <c r="AI288" s="200">
        <f>IF(ISERROR('Berechnungen 2'!BM491),"",'Berechnungen 2'!BM491)</f>
        <v>0</v>
      </c>
    </row>
    <row r="289" spans="1:35" x14ac:dyDescent="0.2">
      <c r="A289" s="71" t="str">
        <f t="shared" si="91"/>
        <v/>
      </c>
      <c r="B289" s="193">
        <f t="shared" si="92"/>
        <v>277</v>
      </c>
      <c r="C289" s="192">
        <f ca="1">IF(ISERROR(LARGE('Berechnungen 1'!$A$12:$A$311,B289)),"",LARGE('Berechnungen 1'!$A$12:$A$311,B289))</f>
        <v>24</v>
      </c>
      <c r="D289" s="76" t="str">
        <f t="shared" si="93"/>
        <v/>
      </c>
      <c r="E289" s="76" t="str">
        <f t="shared" si="93"/>
        <v/>
      </c>
      <c r="F289" s="155" t="str">
        <f t="shared" si="79"/>
        <v/>
      </c>
      <c r="G289" s="204" t="str">
        <f t="shared" si="80"/>
        <v/>
      </c>
      <c r="H289" s="156" t="str">
        <f t="shared" si="81"/>
        <v/>
      </c>
      <c r="I289" s="155" t="str">
        <f t="shared" si="82"/>
        <v/>
      </c>
      <c r="J289" s="184">
        <f t="shared" ca="1" si="83"/>
        <v>999999</v>
      </c>
      <c r="K289" s="184">
        <f>IF(OR(ISBLANK('Etape 1'!E284),ISBLANK('Etape 1'!F284)),IF(AND(ISBLANK('Etape 1'!B284),ISBLANK('Etape 1'!C284),ISBLANK('Etape 1'!D284),ISBLANK('Etape 1'!E284),ISBLANK('Etape 1'!F284),ISBLANK('Etape 1'!G284),ISBLANK('Etape 1'!H284)),999,9999),IF(VLOOKUP($C289,Matrix_Berechnungen1.Rang.Pumpendaten.Zwischenresultate,$C$9,0)&gt;0,VLOOKUP($C289,Matrix_Berechnungen1.Rang.Pumpendaten.Zwischenresultate,K$9,0),""))</f>
        <v>999</v>
      </c>
      <c r="L289" s="184">
        <f t="shared" ca="1" si="94"/>
        <v>277</v>
      </c>
      <c r="M289" s="184">
        <f t="shared" ca="1" si="94"/>
        <v>0</v>
      </c>
      <c r="N289" s="84"/>
      <c r="O289" s="84"/>
      <c r="P289" s="84"/>
      <c r="Q289" s="69" t="str">
        <f t="shared" si="84"/>
        <v/>
      </c>
      <c r="R289" s="84"/>
      <c r="S289" s="65" t="str">
        <f t="shared" si="85"/>
        <v/>
      </c>
      <c r="T289" s="69" t="str">
        <f t="shared" si="86"/>
        <v/>
      </c>
      <c r="U289" s="84"/>
      <c r="V289" s="65" t="str">
        <f t="shared" si="87"/>
        <v/>
      </c>
      <c r="W289" s="108"/>
      <c r="X289" s="108"/>
      <c r="Y289" s="108"/>
      <c r="Z289" s="110" t="str">
        <f t="shared" si="88"/>
        <v/>
      </c>
      <c r="AA289" s="199">
        <f>IF(ISERROR('Berechnungen 2'!AR492),"",'Berechnungen 2'!AR492)</f>
        <v>0</v>
      </c>
      <c r="AB289" s="200">
        <f>IF(ISERROR('Berechnungen 2'!AS492),"",'Berechnungen 2'!AS492)</f>
        <v>0</v>
      </c>
      <c r="AC289" s="200">
        <f>IF(ISERROR('Berechnungen 2'!AT492),"",'Berechnungen 2'!AT492)</f>
        <v>0</v>
      </c>
      <c r="AD289" s="199">
        <f>IF(ISERROR('Berechnungen 2'!BE492),"",'Berechnungen 2'!BE492)</f>
        <v>0</v>
      </c>
      <c r="AE289" s="200">
        <f>IF(ISERROR('Berechnungen 2'!BF492),"",'Berechnungen 2'!BF492)</f>
        <v>0</v>
      </c>
      <c r="AF289" s="200">
        <f>IF(ISERROR('Berechnungen 2'!BG492),"",'Berechnungen 2'!BG492)</f>
        <v>0</v>
      </c>
      <c r="AG289" s="199" t="str">
        <f>IF(ISNUMBER(A289),IF(ISERROR('Berechnungen 2'!BK492),"",'Berechnungen 2'!BK492),"")</f>
        <v/>
      </c>
      <c r="AH289" s="200">
        <f>IF(ISERROR('Berechnungen 2'!BL492),"",'Berechnungen 2'!BL492)</f>
        <v>0</v>
      </c>
      <c r="AI289" s="200">
        <f>IF(ISERROR('Berechnungen 2'!BM492),"",'Berechnungen 2'!BM492)</f>
        <v>0</v>
      </c>
    </row>
    <row r="290" spans="1:35" x14ac:dyDescent="0.2">
      <c r="A290" s="71" t="str">
        <f t="shared" si="91"/>
        <v/>
      </c>
      <c r="B290" s="193">
        <f t="shared" si="92"/>
        <v>278</v>
      </c>
      <c r="C290" s="192">
        <f ca="1">IF(ISERROR(LARGE('Berechnungen 1'!$A$12:$A$311,B290)),"",LARGE('Berechnungen 1'!$A$12:$A$311,B290))</f>
        <v>23</v>
      </c>
      <c r="D290" s="76" t="str">
        <f t="shared" si="93"/>
        <v/>
      </c>
      <c r="E290" s="76" t="str">
        <f t="shared" si="93"/>
        <v/>
      </c>
      <c r="F290" s="155" t="str">
        <f t="shared" si="79"/>
        <v/>
      </c>
      <c r="G290" s="204" t="str">
        <f t="shared" si="80"/>
        <v/>
      </c>
      <c r="H290" s="156" t="str">
        <f t="shared" si="81"/>
        <v/>
      </c>
      <c r="I290" s="155" t="str">
        <f t="shared" si="82"/>
        <v/>
      </c>
      <c r="J290" s="184">
        <f t="shared" ca="1" si="83"/>
        <v>999999</v>
      </c>
      <c r="K290" s="184">
        <f>IF(OR(ISBLANK('Etape 1'!E285),ISBLANK('Etape 1'!F285)),IF(AND(ISBLANK('Etape 1'!B285),ISBLANK('Etape 1'!C285),ISBLANK('Etape 1'!D285),ISBLANK('Etape 1'!E285),ISBLANK('Etape 1'!F285),ISBLANK('Etape 1'!G285),ISBLANK('Etape 1'!H285)),999,9999),IF(VLOOKUP($C290,Matrix_Berechnungen1.Rang.Pumpendaten.Zwischenresultate,$C$9,0)&gt;0,VLOOKUP($C290,Matrix_Berechnungen1.Rang.Pumpendaten.Zwischenresultate,K$9,0),""))</f>
        <v>999</v>
      </c>
      <c r="L290" s="184">
        <f t="shared" ca="1" si="94"/>
        <v>278</v>
      </c>
      <c r="M290" s="184">
        <f t="shared" ca="1" si="94"/>
        <v>0</v>
      </c>
      <c r="N290" s="84"/>
      <c r="O290" s="84"/>
      <c r="P290" s="84"/>
      <c r="Q290" s="69" t="str">
        <f t="shared" si="84"/>
        <v/>
      </c>
      <c r="R290" s="84"/>
      <c r="S290" s="65" t="str">
        <f t="shared" si="85"/>
        <v/>
      </c>
      <c r="T290" s="69" t="str">
        <f t="shared" si="86"/>
        <v/>
      </c>
      <c r="U290" s="84"/>
      <c r="V290" s="65" t="str">
        <f t="shared" si="87"/>
        <v/>
      </c>
      <c r="W290" s="108"/>
      <c r="X290" s="108"/>
      <c r="Y290" s="108"/>
      <c r="Z290" s="110" t="str">
        <f t="shared" si="88"/>
        <v/>
      </c>
      <c r="AA290" s="199">
        <f>IF(ISERROR('Berechnungen 2'!AR493),"",'Berechnungen 2'!AR493)</f>
        <v>0</v>
      </c>
      <c r="AB290" s="200">
        <f>IF(ISERROR('Berechnungen 2'!AS493),"",'Berechnungen 2'!AS493)</f>
        <v>0</v>
      </c>
      <c r="AC290" s="200">
        <f>IF(ISERROR('Berechnungen 2'!AT493),"",'Berechnungen 2'!AT493)</f>
        <v>0</v>
      </c>
      <c r="AD290" s="199">
        <f>IF(ISERROR('Berechnungen 2'!BE493),"",'Berechnungen 2'!BE493)</f>
        <v>0</v>
      </c>
      <c r="AE290" s="200">
        <f>IF(ISERROR('Berechnungen 2'!BF493),"",'Berechnungen 2'!BF493)</f>
        <v>0</v>
      </c>
      <c r="AF290" s="200">
        <f>IF(ISERROR('Berechnungen 2'!BG493),"",'Berechnungen 2'!BG493)</f>
        <v>0</v>
      </c>
      <c r="AG290" s="199" t="str">
        <f>IF(ISNUMBER(A290),IF(ISERROR('Berechnungen 2'!BK493),"",'Berechnungen 2'!BK493),"")</f>
        <v/>
      </c>
      <c r="AH290" s="200">
        <f>IF(ISERROR('Berechnungen 2'!BL493),"",'Berechnungen 2'!BL493)</f>
        <v>0</v>
      </c>
      <c r="AI290" s="200">
        <f>IF(ISERROR('Berechnungen 2'!BM493),"",'Berechnungen 2'!BM493)</f>
        <v>0</v>
      </c>
    </row>
    <row r="291" spans="1:35" x14ac:dyDescent="0.2">
      <c r="A291" s="71" t="str">
        <f t="shared" si="91"/>
        <v/>
      </c>
      <c r="B291" s="193">
        <f t="shared" si="92"/>
        <v>279</v>
      </c>
      <c r="C291" s="192">
        <f ca="1">IF(ISERROR(LARGE('Berechnungen 1'!$A$12:$A$311,B291)),"",LARGE('Berechnungen 1'!$A$12:$A$311,B291))</f>
        <v>22</v>
      </c>
      <c r="D291" s="76" t="str">
        <f t="shared" si="93"/>
        <v/>
      </c>
      <c r="E291" s="76" t="str">
        <f t="shared" si="93"/>
        <v/>
      </c>
      <c r="F291" s="155" t="str">
        <f t="shared" si="79"/>
        <v/>
      </c>
      <c r="G291" s="204" t="str">
        <f t="shared" si="80"/>
        <v/>
      </c>
      <c r="H291" s="156" t="str">
        <f t="shared" si="81"/>
        <v/>
      </c>
      <c r="I291" s="155" t="str">
        <f t="shared" si="82"/>
        <v/>
      </c>
      <c r="J291" s="184">
        <f t="shared" ca="1" si="83"/>
        <v>999999</v>
      </c>
      <c r="K291" s="184">
        <f>IF(OR(ISBLANK('Etape 1'!E286),ISBLANK('Etape 1'!F286)),IF(AND(ISBLANK('Etape 1'!B286),ISBLANK('Etape 1'!C286),ISBLANK('Etape 1'!D286),ISBLANK('Etape 1'!E286),ISBLANK('Etape 1'!F286),ISBLANK('Etape 1'!G286),ISBLANK('Etape 1'!H286)),999,9999),IF(VLOOKUP($C291,Matrix_Berechnungen1.Rang.Pumpendaten.Zwischenresultate,$C$9,0)&gt;0,VLOOKUP($C291,Matrix_Berechnungen1.Rang.Pumpendaten.Zwischenresultate,K$9,0),""))</f>
        <v>999</v>
      </c>
      <c r="L291" s="184">
        <f t="shared" ca="1" si="94"/>
        <v>279</v>
      </c>
      <c r="M291" s="184">
        <f t="shared" ca="1" si="94"/>
        <v>0</v>
      </c>
      <c r="N291" s="84"/>
      <c r="O291" s="84"/>
      <c r="P291" s="84"/>
      <c r="Q291" s="69" t="str">
        <f t="shared" si="84"/>
        <v/>
      </c>
      <c r="R291" s="84"/>
      <c r="S291" s="65" t="str">
        <f t="shared" si="85"/>
        <v/>
      </c>
      <c r="T291" s="69" t="str">
        <f t="shared" si="86"/>
        <v/>
      </c>
      <c r="U291" s="84"/>
      <c r="V291" s="65" t="str">
        <f t="shared" si="87"/>
        <v/>
      </c>
      <c r="W291" s="108"/>
      <c r="X291" s="108"/>
      <c r="Y291" s="108"/>
      <c r="Z291" s="110" t="str">
        <f t="shared" si="88"/>
        <v/>
      </c>
      <c r="AA291" s="199">
        <f>IF(ISERROR('Berechnungen 2'!AR494),"",'Berechnungen 2'!AR494)</f>
        <v>0</v>
      </c>
      <c r="AB291" s="200">
        <f>IF(ISERROR('Berechnungen 2'!AS494),"",'Berechnungen 2'!AS494)</f>
        <v>0</v>
      </c>
      <c r="AC291" s="200">
        <f>IF(ISERROR('Berechnungen 2'!AT494),"",'Berechnungen 2'!AT494)</f>
        <v>0</v>
      </c>
      <c r="AD291" s="199">
        <f>IF(ISERROR('Berechnungen 2'!BE494),"",'Berechnungen 2'!BE494)</f>
        <v>0</v>
      </c>
      <c r="AE291" s="200">
        <f>IF(ISERROR('Berechnungen 2'!BF494),"",'Berechnungen 2'!BF494)</f>
        <v>0</v>
      </c>
      <c r="AF291" s="200">
        <f>IF(ISERROR('Berechnungen 2'!BG494),"",'Berechnungen 2'!BG494)</f>
        <v>0</v>
      </c>
      <c r="AG291" s="199" t="str">
        <f>IF(ISNUMBER(A291),IF(ISERROR('Berechnungen 2'!BK494),"",'Berechnungen 2'!BK494),"")</f>
        <v/>
      </c>
      <c r="AH291" s="200">
        <f>IF(ISERROR('Berechnungen 2'!BL494),"",'Berechnungen 2'!BL494)</f>
        <v>0</v>
      </c>
      <c r="AI291" s="200">
        <f>IF(ISERROR('Berechnungen 2'!BM494),"",'Berechnungen 2'!BM494)</f>
        <v>0</v>
      </c>
    </row>
    <row r="292" spans="1:35" x14ac:dyDescent="0.2">
      <c r="A292" s="71" t="str">
        <f t="shared" si="91"/>
        <v/>
      </c>
      <c r="B292" s="193">
        <f t="shared" si="92"/>
        <v>280</v>
      </c>
      <c r="C292" s="192">
        <f ca="1">IF(ISERROR(LARGE('Berechnungen 1'!$A$12:$A$311,B292)),"",LARGE('Berechnungen 1'!$A$12:$A$311,B292))</f>
        <v>21</v>
      </c>
      <c r="D292" s="76" t="str">
        <f t="shared" si="93"/>
        <v/>
      </c>
      <c r="E292" s="76" t="str">
        <f t="shared" si="93"/>
        <v/>
      </c>
      <c r="F292" s="155" t="str">
        <f t="shared" si="79"/>
        <v/>
      </c>
      <c r="G292" s="204" t="str">
        <f t="shared" si="80"/>
        <v/>
      </c>
      <c r="H292" s="156" t="str">
        <f t="shared" si="81"/>
        <v/>
      </c>
      <c r="I292" s="155" t="str">
        <f t="shared" si="82"/>
        <v/>
      </c>
      <c r="J292" s="184">
        <f t="shared" ca="1" si="83"/>
        <v>999999</v>
      </c>
      <c r="K292" s="184">
        <f>IF(OR(ISBLANK('Etape 1'!E287),ISBLANK('Etape 1'!F287)),IF(AND(ISBLANK('Etape 1'!B287),ISBLANK('Etape 1'!C287),ISBLANK('Etape 1'!D287),ISBLANK('Etape 1'!E287),ISBLANK('Etape 1'!F287),ISBLANK('Etape 1'!G287),ISBLANK('Etape 1'!H287)),999,9999),IF(VLOOKUP($C292,Matrix_Berechnungen1.Rang.Pumpendaten.Zwischenresultate,$C$9,0)&gt;0,VLOOKUP($C292,Matrix_Berechnungen1.Rang.Pumpendaten.Zwischenresultate,K$9,0),""))</f>
        <v>999</v>
      </c>
      <c r="L292" s="184">
        <f t="shared" ca="1" si="94"/>
        <v>280</v>
      </c>
      <c r="M292" s="184">
        <f t="shared" ca="1" si="94"/>
        <v>0</v>
      </c>
      <c r="N292" s="84"/>
      <c r="O292" s="84"/>
      <c r="P292" s="84"/>
      <c r="Q292" s="69" t="str">
        <f t="shared" si="84"/>
        <v/>
      </c>
      <c r="R292" s="84"/>
      <c r="S292" s="65" t="str">
        <f t="shared" si="85"/>
        <v/>
      </c>
      <c r="T292" s="69" t="str">
        <f t="shared" si="86"/>
        <v/>
      </c>
      <c r="U292" s="84"/>
      <c r="V292" s="65" t="str">
        <f t="shared" si="87"/>
        <v/>
      </c>
      <c r="W292" s="108"/>
      <c r="X292" s="108"/>
      <c r="Y292" s="108"/>
      <c r="Z292" s="110" t="str">
        <f t="shared" si="88"/>
        <v/>
      </c>
      <c r="AA292" s="199">
        <f>IF(ISERROR('Berechnungen 2'!AR495),"",'Berechnungen 2'!AR495)</f>
        <v>0</v>
      </c>
      <c r="AB292" s="200">
        <f>IF(ISERROR('Berechnungen 2'!AS495),"",'Berechnungen 2'!AS495)</f>
        <v>0</v>
      </c>
      <c r="AC292" s="200">
        <f>IF(ISERROR('Berechnungen 2'!AT495),"",'Berechnungen 2'!AT495)</f>
        <v>0</v>
      </c>
      <c r="AD292" s="199">
        <f>IF(ISERROR('Berechnungen 2'!BE495),"",'Berechnungen 2'!BE495)</f>
        <v>0</v>
      </c>
      <c r="AE292" s="200">
        <f>IF(ISERROR('Berechnungen 2'!BF495),"",'Berechnungen 2'!BF495)</f>
        <v>0</v>
      </c>
      <c r="AF292" s="200">
        <f>IF(ISERROR('Berechnungen 2'!BG495),"",'Berechnungen 2'!BG495)</f>
        <v>0</v>
      </c>
      <c r="AG292" s="199" t="str">
        <f>IF(ISNUMBER(A292),IF(ISERROR('Berechnungen 2'!BK495),"",'Berechnungen 2'!BK495),"")</f>
        <v/>
      </c>
      <c r="AH292" s="200">
        <f>IF(ISERROR('Berechnungen 2'!BL495),"",'Berechnungen 2'!BL495)</f>
        <v>0</v>
      </c>
      <c r="AI292" s="200">
        <f>IF(ISERROR('Berechnungen 2'!BM495),"",'Berechnungen 2'!BM495)</f>
        <v>0</v>
      </c>
    </row>
    <row r="293" spans="1:35" x14ac:dyDescent="0.2">
      <c r="A293" s="71" t="str">
        <f t="shared" si="91"/>
        <v/>
      </c>
      <c r="B293" s="193">
        <f t="shared" si="92"/>
        <v>281</v>
      </c>
      <c r="C293" s="192">
        <f ca="1">IF(ISERROR(LARGE('Berechnungen 1'!$A$12:$A$311,B293)),"",LARGE('Berechnungen 1'!$A$12:$A$311,B293))</f>
        <v>20</v>
      </c>
      <c r="D293" s="76" t="str">
        <f t="shared" ref="D293:E312" si="95">IF(ISNUMBER($A293),IF(VLOOKUP($C293,Matrix_Berechnungen1.Rang.Pumpendaten.Zwischenresultate,$C$9,0)&gt;0,IF(VLOOKUP($C293,Matrix_Berechnungen1.Rang.Pumpendaten.Zwischenresultate,D$9,0)=0,"",VLOOKUP($C293,Matrix_Berechnungen1.Rang.Pumpendaten.Zwischenresultate,D$9,0)),""),"")</f>
        <v/>
      </c>
      <c r="E293" s="76" t="str">
        <f t="shared" si="95"/>
        <v/>
      </c>
      <c r="F293" s="155" t="str">
        <f t="shared" si="79"/>
        <v/>
      </c>
      <c r="G293" s="204" t="str">
        <f t="shared" si="80"/>
        <v/>
      </c>
      <c r="H293" s="156" t="str">
        <f t="shared" si="81"/>
        <v/>
      </c>
      <c r="I293" s="155" t="str">
        <f t="shared" si="82"/>
        <v/>
      </c>
      <c r="J293" s="184">
        <f t="shared" ca="1" si="83"/>
        <v>999999</v>
      </c>
      <c r="K293" s="184">
        <f>IF(OR(ISBLANK('Etape 1'!E288),ISBLANK('Etape 1'!F288)),IF(AND(ISBLANK('Etape 1'!B288),ISBLANK('Etape 1'!C288),ISBLANK('Etape 1'!D288),ISBLANK('Etape 1'!E288),ISBLANK('Etape 1'!F288),ISBLANK('Etape 1'!G288),ISBLANK('Etape 1'!H288)),999,9999),IF(VLOOKUP($C293,Matrix_Berechnungen1.Rang.Pumpendaten.Zwischenresultate,$C$9,0)&gt;0,VLOOKUP($C293,Matrix_Berechnungen1.Rang.Pumpendaten.Zwischenresultate,K$9,0),""))</f>
        <v>999</v>
      </c>
      <c r="L293" s="184">
        <f t="shared" ref="L293:M312" ca="1" si="96">IF(VLOOKUP($C293,Matrix_Berechnungen1.Rang.Pumpendaten.Zwischenresultate,$C$9,0)&gt;0,VLOOKUP($C293,Matrix_Berechnungen1.Rang.Pumpendaten.Zwischenresultate,L$9,0),"")</f>
        <v>281</v>
      </c>
      <c r="M293" s="184">
        <f t="shared" ca="1" si="96"/>
        <v>0</v>
      </c>
      <c r="N293" s="84"/>
      <c r="O293" s="84"/>
      <c r="P293" s="84"/>
      <c r="Q293" s="69" t="str">
        <f t="shared" si="84"/>
        <v/>
      </c>
      <c r="R293" s="84"/>
      <c r="S293" s="65" t="str">
        <f t="shared" si="85"/>
        <v/>
      </c>
      <c r="T293" s="69" t="str">
        <f t="shared" si="86"/>
        <v/>
      </c>
      <c r="U293" s="84"/>
      <c r="V293" s="65" t="str">
        <f t="shared" si="87"/>
        <v/>
      </c>
      <c r="W293" s="108"/>
      <c r="X293" s="108"/>
      <c r="Y293" s="108"/>
      <c r="Z293" s="110" t="str">
        <f t="shared" si="88"/>
        <v/>
      </c>
      <c r="AA293" s="199">
        <f>IF(ISERROR('Berechnungen 2'!AR496),"",'Berechnungen 2'!AR496)</f>
        <v>0</v>
      </c>
      <c r="AB293" s="200">
        <f>IF(ISERROR('Berechnungen 2'!AS496),"",'Berechnungen 2'!AS496)</f>
        <v>0</v>
      </c>
      <c r="AC293" s="200">
        <f>IF(ISERROR('Berechnungen 2'!AT496),"",'Berechnungen 2'!AT496)</f>
        <v>0</v>
      </c>
      <c r="AD293" s="199">
        <f>IF(ISERROR('Berechnungen 2'!BE496),"",'Berechnungen 2'!BE496)</f>
        <v>0</v>
      </c>
      <c r="AE293" s="200">
        <f>IF(ISERROR('Berechnungen 2'!BF496),"",'Berechnungen 2'!BF496)</f>
        <v>0</v>
      </c>
      <c r="AF293" s="200">
        <f>IF(ISERROR('Berechnungen 2'!BG496),"",'Berechnungen 2'!BG496)</f>
        <v>0</v>
      </c>
      <c r="AG293" s="199" t="str">
        <f>IF(ISNUMBER(A293),IF(ISERROR('Berechnungen 2'!BK496),"",'Berechnungen 2'!BK496),"")</f>
        <v/>
      </c>
      <c r="AH293" s="200">
        <f>IF(ISERROR('Berechnungen 2'!BL496),"",'Berechnungen 2'!BL496)</f>
        <v>0</v>
      </c>
      <c r="AI293" s="200">
        <f>IF(ISERROR('Berechnungen 2'!BM496),"",'Berechnungen 2'!BM496)</f>
        <v>0</v>
      </c>
    </row>
    <row r="294" spans="1:35" x14ac:dyDescent="0.2">
      <c r="A294" s="71" t="str">
        <f t="shared" si="91"/>
        <v/>
      </c>
      <c r="B294" s="193">
        <f t="shared" si="92"/>
        <v>282</v>
      </c>
      <c r="C294" s="192">
        <f ca="1">IF(ISERROR(LARGE('Berechnungen 1'!$A$12:$A$311,B294)),"",LARGE('Berechnungen 1'!$A$12:$A$311,B294))</f>
        <v>19</v>
      </c>
      <c r="D294" s="76" t="str">
        <f t="shared" si="95"/>
        <v/>
      </c>
      <c r="E294" s="76" t="str">
        <f t="shared" si="95"/>
        <v/>
      </c>
      <c r="F294" s="155" t="str">
        <f t="shared" si="79"/>
        <v/>
      </c>
      <c r="G294" s="204" t="str">
        <f t="shared" si="80"/>
        <v/>
      </c>
      <c r="H294" s="156" t="str">
        <f t="shared" si="81"/>
        <v/>
      </c>
      <c r="I294" s="155" t="str">
        <f t="shared" si="82"/>
        <v/>
      </c>
      <c r="J294" s="184">
        <f t="shared" ca="1" si="83"/>
        <v>999999</v>
      </c>
      <c r="K294" s="184">
        <f>IF(OR(ISBLANK('Etape 1'!E289),ISBLANK('Etape 1'!F289)),IF(AND(ISBLANK('Etape 1'!B289),ISBLANK('Etape 1'!C289),ISBLANK('Etape 1'!D289),ISBLANK('Etape 1'!E289),ISBLANK('Etape 1'!F289),ISBLANK('Etape 1'!G289),ISBLANK('Etape 1'!H289)),999,9999),IF(VLOOKUP($C294,Matrix_Berechnungen1.Rang.Pumpendaten.Zwischenresultate,$C$9,0)&gt;0,VLOOKUP($C294,Matrix_Berechnungen1.Rang.Pumpendaten.Zwischenresultate,K$9,0),""))</f>
        <v>999</v>
      </c>
      <c r="L294" s="184">
        <f t="shared" ca="1" si="96"/>
        <v>282</v>
      </c>
      <c r="M294" s="184">
        <f t="shared" ca="1" si="96"/>
        <v>0</v>
      </c>
      <c r="N294" s="84"/>
      <c r="O294" s="84"/>
      <c r="P294" s="84"/>
      <c r="Q294" s="69" t="str">
        <f t="shared" si="84"/>
        <v/>
      </c>
      <c r="R294" s="84"/>
      <c r="S294" s="65" t="str">
        <f t="shared" si="85"/>
        <v/>
      </c>
      <c r="T294" s="69" t="str">
        <f t="shared" si="86"/>
        <v/>
      </c>
      <c r="U294" s="84"/>
      <c r="V294" s="65" t="str">
        <f t="shared" si="87"/>
        <v/>
      </c>
      <c r="W294" s="108"/>
      <c r="X294" s="108"/>
      <c r="Y294" s="108"/>
      <c r="Z294" s="110" t="str">
        <f t="shared" si="88"/>
        <v/>
      </c>
      <c r="AA294" s="199">
        <f>IF(ISERROR('Berechnungen 2'!AR497),"",'Berechnungen 2'!AR497)</f>
        <v>0</v>
      </c>
      <c r="AB294" s="200">
        <f>IF(ISERROR('Berechnungen 2'!AS497),"",'Berechnungen 2'!AS497)</f>
        <v>0</v>
      </c>
      <c r="AC294" s="200">
        <f>IF(ISERROR('Berechnungen 2'!AT497),"",'Berechnungen 2'!AT497)</f>
        <v>0</v>
      </c>
      <c r="AD294" s="199">
        <f>IF(ISERROR('Berechnungen 2'!BE497),"",'Berechnungen 2'!BE497)</f>
        <v>0</v>
      </c>
      <c r="AE294" s="200">
        <f>IF(ISERROR('Berechnungen 2'!BF497),"",'Berechnungen 2'!BF497)</f>
        <v>0</v>
      </c>
      <c r="AF294" s="200">
        <f>IF(ISERROR('Berechnungen 2'!BG497),"",'Berechnungen 2'!BG497)</f>
        <v>0</v>
      </c>
      <c r="AG294" s="199" t="str">
        <f>IF(ISNUMBER(A294),IF(ISERROR('Berechnungen 2'!BK497),"",'Berechnungen 2'!BK497),"")</f>
        <v/>
      </c>
      <c r="AH294" s="200">
        <f>IF(ISERROR('Berechnungen 2'!BL497),"",'Berechnungen 2'!BL497)</f>
        <v>0</v>
      </c>
      <c r="AI294" s="200">
        <f>IF(ISERROR('Berechnungen 2'!BM497),"",'Berechnungen 2'!BM497)</f>
        <v>0</v>
      </c>
    </row>
    <row r="295" spans="1:35" x14ac:dyDescent="0.2">
      <c r="A295" s="71" t="str">
        <f t="shared" si="91"/>
        <v/>
      </c>
      <c r="B295" s="193">
        <f t="shared" si="92"/>
        <v>283</v>
      </c>
      <c r="C295" s="192">
        <f ca="1">IF(ISERROR(LARGE('Berechnungen 1'!$A$12:$A$311,B295)),"",LARGE('Berechnungen 1'!$A$12:$A$311,B295))</f>
        <v>18</v>
      </c>
      <c r="D295" s="76" t="str">
        <f t="shared" si="95"/>
        <v/>
      </c>
      <c r="E295" s="76" t="str">
        <f t="shared" si="95"/>
        <v/>
      </c>
      <c r="F295" s="155" t="str">
        <f t="shared" si="79"/>
        <v/>
      </c>
      <c r="G295" s="204" t="str">
        <f t="shared" si="80"/>
        <v/>
      </c>
      <c r="H295" s="156" t="str">
        <f t="shared" si="81"/>
        <v/>
      </c>
      <c r="I295" s="155" t="str">
        <f t="shared" si="82"/>
        <v/>
      </c>
      <c r="J295" s="184">
        <f t="shared" ca="1" si="83"/>
        <v>999999</v>
      </c>
      <c r="K295" s="184">
        <f>IF(OR(ISBLANK('Etape 1'!E290),ISBLANK('Etape 1'!F290)),IF(AND(ISBLANK('Etape 1'!B290),ISBLANK('Etape 1'!C290),ISBLANK('Etape 1'!D290),ISBLANK('Etape 1'!E290),ISBLANK('Etape 1'!F290),ISBLANK('Etape 1'!G290),ISBLANK('Etape 1'!H290)),999,9999),IF(VLOOKUP($C295,Matrix_Berechnungen1.Rang.Pumpendaten.Zwischenresultate,$C$9,0)&gt;0,VLOOKUP($C295,Matrix_Berechnungen1.Rang.Pumpendaten.Zwischenresultate,K$9,0),""))</f>
        <v>999</v>
      </c>
      <c r="L295" s="184">
        <f t="shared" ca="1" si="96"/>
        <v>283</v>
      </c>
      <c r="M295" s="184">
        <f t="shared" ca="1" si="96"/>
        <v>0</v>
      </c>
      <c r="N295" s="84"/>
      <c r="O295" s="84"/>
      <c r="P295" s="84"/>
      <c r="Q295" s="69" t="str">
        <f t="shared" si="84"/>
        <v/>
      </c>
      <c r="R295" s="84"/>
      <c r="S295" s="65" t="str">
        <f t="shared" si="85"/>
        <v/>
      </c>
      <c r="T295" s="69" t="str">
        <f t="shared" si="86"/>
        <v/>
      </c>
      <c r="U295" s="84"/>
      <c r="V295" s="65" t="str">
        <f t="shared" si="87"/>
        <v/>
      </c>
      <c r="W295" s="108"/>
      <c r="X295" s="108"/>
      <c r="Y295" s="108"/>
      <c r="Z295" s="110" t="str">
        <f t="shared" si="88"/>
        <v/>
      </c>
      <c r="AA295" s="199">
        <f>IF(ISERROR('Berechnungen 2'!AR498),"",'Berechnungen 2'!AR498)</f>
        <v>0</v>
      </c>
      <c r="AB295" s="200">
        <f>IF(ISERROR('Berechnungen 2'!AS498),"",'Berechnungen 2'!AS498)</f>
        <v>0</v>
      </c>
      <c r="AC295" s="200">
        <f>IF(ISERROR('Berechnungen 2'!AT498),"",'Berechnungen 2'!AT498)</f>
        <v>0</v>
      </c>
      <c r="AD295" s="199">
        <f>IF(ISERROR('Berechnungen 2'!BE498),"",'Berechnungen 2'!BE498)</f>
        <v>0</v>
      </c>
      <c r="AE295" s="200">
        <f>IF(ISERROR('Berechnungen 2'!BF498),"",'Berechnungen 2'!BF498)</f>
        <v>0</v>
      </c>
      <c r="AF295" s="200">
        <f>IF(ISERROR('Berechnungen 2'!BG498),"",'Berechnungen 2'!BG498)</f>
        <v>0</v>
      </c>
      <c r="AG295" s="199" t="str">
        <f>IF(ISNUMBER(A295),IF(ISERROR('Berechnungen 2'!BK498),"",'Berechnungen 2'!BK498),"")</f>
        <v/>
      </c>
      <c r="AH295" s="200">
        <f>IF(ISERROR('Berechnungen 2'!BL498),"",'Berechnungen 2'!BL498)</f>
        <v>0</v>
      </c>
      <c r="AI295" s="200">
        <f>IF(ISERROR('Berechnungen 2'!BM498),"",'Berechnungen 2'!BM498)</f>
        <v>0</v>
      </c>
    </row>
    <row r="296" spans="1:35" x14ac:dyDescent="0.2">
      <c r="A296" s="71" t="str">
        <f t="shared" si="91"/>
        <v/>
      </c>
      <c r="B296" s="193">
        <f t="shared" si="92"/>
        <v>284</v>
      </c>
      <c r="C296" s="192">
        <f ca="1">IF(ISERROR(LARGE('Berechnungen 1'!$A$12:$A$311,B296)),"",LARGE('Berechnungen 1'!$A$12:$A$311,B296))</f>
        <v>17</v>
      </c>
      <c r="D296" s="76" t="str">
        <f t="shared" si="95"/>
        <v/>
      </c>
      <c r="E296" s="76" t="str">
        <f t="shared" si="95"/>
        <v/>
      </c>
      <c r="F296" s="155" t="str">
        <f t="shared" si="79"/>
        <v/>
      </c>
      <c r="G296" s="204" t="str">
        <f t="shared" si="80"/>
        <v/>
      </c>
      <c r="H296" s="156" t="str">
        <f t="shared" si="81"/>
        <v/>
      </c>
      <c r="I296" s="155" t="str">
        <f t="shared" si="82"/>
        <v/>
      </c>
      <c r="J296" s="184">
        <f t="shared" ca="1" si="83"/>
        <v>999999</v>
      </c>
      <c r="K296" s="184">
        <f>IF(OR(ISBLANK('Etape 1'!E291),ISBLANK('Etape 1'!F291)),IF(AND(ISBLANK('Etape 1'!B291),ISBLANK('Etape 1'!C291),ISBLANK('Etape 1'!D291),ISBLANK('Etape 1'!E291),ISBLANK('Etape 1'!F291),ISBLANK('Etape 1'!G291),ISBLANK('Etape 1'!H291)),999,9999),IF(VLOOKUP($C296,Matrix_Berechnungen1.Rang.Pumpendaten.Zwischenresultate,$C$9,0)&gt;0,VLOOKUP($C296,Matrix_Berechnungen1.Rang.Pumpendaten.Zwischenresultate,K$9,0),""))</f>
        <v>999</v>
      </c>
      <c r="L296" s="184">
        <f t="shared" ca="1" si="96"/>
        <v>284</v>
      </c>
      <c r="M296" s="184">
        <f t="shared" ca="1" si="96"/>
        <v>0</v>
      </c>
      <c r="N296" s="84"/>
      <c r="O296" s="84"/>
      <c r="P296" s="84"/>
      <c r="Q296" s="69" t="str">
        <f t="shared" si="84"/>
        <v/>
      </c>
      <c r="R296" s="84"/>
      <c r="S296" s="65" t="str">
        <f t="shared" si="85"/>
        <v/>
      </c>
      <c r="T296" s="69" t="str">
        <f t="shared" si="86"/>
        <v/>
      </c>
      <c r="U296" s="84"/>
      <c r="V296" s="65" t="str">
        <f t="shared" si="87"/>
        <v/>
      </c>
      <c r="W296" s="108"/>
      <c r="X296" s="108"/>
      <c r="Y296" s="108"/>
      <c r="Z296" s="110" t="str">
        <f t="shared" si="88"/>
        <v/>
      </c>
      <c r="AA296" s="199">
        <f>IF(ISERROR('Berechnungen 2'!AR499),"",'Berechnungen 2'!AR499)</f>
        <v>0</v>
      </c>
      <c r="AB296" s="200">
        <f>IF(ISERROR('Berechnungen 2'!AS499),"",'Berechnungen 2'!AS499)</f>
        <v>0</v>
      </c>
      <c r="AC296" s="200">
        <f>IF(ISERROR('Berechnungen 2'!AT499),"",'Berechnungen 2'!AT499)</f>
        <v>0</v>
      </c>
      <c r="AD296" s="199">
        <f>IF(ISERROR('Berechnungen 2'!BE499),"",'Berechnungen 2'!BE499)</f>
        <v>0</v>
      </c>
      <c r="AE296" s="200">
        <f>IF(ISERROR('Berechnungen 2'!BF499),"",'Berechnungen 2'!BF499)</f>
        <v>0</v>
      </c>
      <c r="AF296" s="200">
        <f>IF(ISERROR('Berechnungen 2'!BG499),"",'Berechnungen 2'!BG499)</f>
        <v>0</v>
      </c>
      <c r="AG296" s="199" t="str">
        <f>IF(ISNUMBER(A296),IF(ISERROR('Berechnungen 2'!BK499),"",'Berechnungen 2'!BK499),"")</f>
        <v/>
      </c>
      <c r="AH296" s="200">
        <f>IF(ISERROR('Berechnungen 2'!BL499),"",'Berechnungen 2'!BL499)</f>
        <v>0</v>
      </c>
      <c r="AI296" s="200">
        <f>IF(ISERROR('Berechnungen 2'!BM499),"",'Berechnungen 2'!BM499)</f>
        <v>0</v>
      </c>
    </row>
    <row r="297" spans="1:35" x14ac:dyDescent="0.2">
      <c r="A297" s="71" t="str">
        <f t="shared" si="91"/>
        <v/>
      </c>
      <c r="B297" s="193">
        <f t="shared" si="92"/>
        <v>285</v>
      </c>
      <c r="C297" s="192">
        <f ca="1">IF(ISERROR(LARGE('Berechnungen 1'!$A$12:$A$311,B297)),"",LARGE('Berechnungen 1'!$A$12:$A$311,B297))</f>
        <v>16</v>
      </c>
      <c r="D297" s="76" t="str">
        <f t="shared" si="95"/>
        <v/>
      </c>
      <c r="E297" s="76" t="str">
        <f t="shared" si="95"/>
        <v/>
      </c>
      <c r="F297" s="155" t="str">
        <f t="shared" si="79"/>
        <v/>
      </c>
      <c r="G297" s="204" t="str">
        <f t="shared" si="80"/>
        <v/>
      </c>
      <c r="H297" s="156" t="str">
        <f t="shared" si="81"/>
        <v/>
      </c>
      <c r="I297" s="155" t="str">
        <f t="shared" si="82"/>
        <v/>
      </c>
      <c r="J297" s="184">
        <f t="shared" ca="1" si="83"/>
        <v>999999</v>
      </c>
      <c r="K297" s="184">
        <f>IF(OR(ISBLANK('Etape 1'!E292),ISBLANK('Etape 1'!F292)),IF(AND(ISBLANK('Etape 1'!B292),ISBLANK('Etape 1'!C292),ISBLANK('Etape 1'!D292),ISBLANK('Etape 1'!E292),ISBLANK('Etape 1'!F292),ISBLANK('Etape 1'!G292),ISBLANK('Etape 1'!H292)),999,9999),IF(VLOOKUP($C297,Matrix_Berechnungen1.Rang.Pumpendaten.Zwischenresultate,$C$9,0)&gt;0,VLOOKUP($C297,Matrix_Berechnungen1.Rang.Pumpendaten.Zwischenresultate,K$9,0),""))</f>
        <v>999</v>
      </c>
      <c r="L297" s="184">
        <f t="shared" ca="1" si="96"/>
        <v>285</v>
      </c>
      <c r="M297" s="184">
        <f t="shared" ca="1" si="96"/>
        <v>0</v>
      </c>
      <c r="N297" s="84"/>
      <c r="O297" s="84"/>
      <c r="P297" s="84"/>
      <c r="Q297" s="69" t="str">
        <f t="shared" si="84"/>
        <v/>
      </c>
      <c r="R297" s="84"/>
      <c r="S297" s="65" t="str">
        <f t="shared" si="85"/>
        <v/>
      </c>
      <c r="T297" s="69" t="str">
        <f t="shared" si="86"/>
        <v/>
      </c>
      <c r="U297" s="84"/>
      <c r="V297" s="65" t="str">
        <f t="shared" si="87"/>
        <v/>
      </c>
      <c r="W297" s="108"/>
      <c r="X297" s="108"/>
      <c r="Y297" s="108"/>
      <c r="Z297" s="110" t="str">
        <f t="shared" si="88"/>
        <v/>
      </c>
      <c r="AA297" s="199">
        <f>IF(ISERROR('Berechnungen 2'!AR500),"",'Berechnungen 2'!AR500)</f>
        <v>0</v>
      </c>
      <c r="AB297" s="200">
        <f>IF(ISERROR('Berechnungen 2'!AS500),"",'Berechnungen 2'!AS500)</f>
        <v>0</v>
      </c>
      <c r="AC297" s="200">
        <f>IF(ISERROR('Berechnungen 2'!AT500),"",'Berechnungen 2'!AT500)</f>
        <v>0</v>
      </c>
      <c r="AD297" s="199">
        <f>IF(ISERROR('Berechnungen 2'!BE500),"",'Berechnungen 2'!BE500)</f>
        <v>0</v>
      </c>
      <c r="AE297" s="200">
        <f>IF(ISERROR('Berechnungen 2'!BF500),"",'Berechnungen 2'!BF500)</f>
        <v>0</v>
      </c>
      <c r="AF297" s="200">
        <f>IF(ISERROR('Berechnungen 2'!BG500),"",'Berechnungen 2'!BG500)</f>
        <v>0</v>
      </c>
      <c r="AG297" s="199" t="str">
        <f>IF(ISNUMBER(A297),IF(ISERROR('Berechnungen 2'!BK500),"",'Berechnungen 2'!BK500),"")</f>
        <v/>
      </c>
      <c r="AH297" s="200">
        <f>IF(ISERROR('Berechnungen 2'!BL500),"",'Berechnungen 2'!BL500)</f>
        <v>0</v>
      </c>
      <c r="AI297" s="200">
        <f>IF(ISERROR('Berechnungen 2'!BM500),"",'Berechnungen 2'!BM500)</f>
        <v>0</v>
      </c>
    </row>
    <row r="298" spans="1:35" x14ac:dyDescent="0.2">
      <c r="A298" s="71" t="str">
        <f t="shared" si="91"/>
        <v/>
      </c>
      <c r="B298" s="193">
        <f t="shared" si="92"/>
        <v>286</v>
      </c>
      <c r="C298" s="192">
        <f ca="1">IF(ISERROR(LARGE('Berechnungen 1'!$A$12:$A$311,B298)),"",LARGE('Berechnungen 1'!$A$12:$A$311,B298))</f>
        <v>15</v>
      </c>
      <c r="D298" s="76" t="str">
        <f t="shared" si="95"/>
        <v/>
      </c>
      <c r="E298" s="76" t="str">
        <f t="shared" si="95"/>
        <v/>
      </c>
      <c r="F298" s="155" t="str">
        <f t="shared" si="79"/>
        <v/>
      </c>
      <c r="G298" s="204" t="str">
        <f t="shared" si="80"/>
        <v/>
      </c>
      <c r="H298" s="156" t="str">
        <f t="shared" si="81"/>
        <v/>
      </c>
      <c r="I298" s="155" t="str">
        <f t="shared" si="82"/>
        <v/>
      </c>
      <c r="J298" s="184">
        <f t="shared" ca="1" si="83"/>
        <v>999999</v>
      </c>
      <c r="K298" s="184">
        <f>IF(OR(ISBLANK('Etape 1'!E293),ISBLANK('Etape 1'!F293)),IF(AND(ISBLANK('Etape 1'!B293),ISBLANK('Etape 1'!C293),ISBLANK('Etape 1'!D293),ISBLANK('Etape 1'!E293),ISBLANK('Etape 1'!F293),ISBLANK('Etape 1'!G293),ISBLANK('Etape 1'!H293)),999,9999),IF(VLOOKUP($C298,Matrix_Berechnungen1.Rang.Pumpendaten.Zwischenresultate,$C$9,0)&gt;0,VLOOKUP($C298,Matrix_Berechnungen1.Rang.Pumpendaten.Zwischenresultate,K$9,0),""))</f>
        <v>999</v>
      </c>
      <c r="L298" s="184">
        <f t="shared" ca="1" si="96"/>
        <v>286</v>
      </c>
      <c r="M298" s="184">
        <f t="shared" ca="1" si="96"/>
        <v>0</v>
      </c>
      <c r="N298" s="84"/>
      <c r="O298" s="84"/>
      <c r="P298" s="84"/>
      <c r="Q298" s="69" t="str">
        <f t="shared" si="84"/>
        <v/>
      </c>
      <c r="R298" s="84"/>
      <c r="S298" s="65" t="str">
        <f t="shared" si="85"/>
        <v/>
      </c>
      <c r="T298" s="69" t="str">
        <f t="shared" si="86"/>
        <v/>
      </c>
      <c r="U298" s="84"/>
      <c r="V298" s="65" t="str">
        <f t="shared" si="87"/>
        <v/>
      </c>
      <c r="W298" s="108"/>
      <c r="X298" s="108"/>
      <c r="Y298" s="108"/>
      <c r="Z298" s="110" t="str">
        <f t="shared" si="88"/>
        <v/>
      </c>
      <c r="AA298" s="199">
        <f>IF(ISERROR('Berechnungen 2'!AR501),"",'Berechnungen 2'!AR501)</f>
        <v>0</v>
      </c>
      <c r="AB298" s="200">
        <f>IF(ISERROR('Berechnungen 2'!AS501),"",'Berechnungen 2'!AS501)</f>
        <v>0</v>
      </c>
      <c r="AC298" s="200">
        <f>IF(ISERROR('Berechnungen 2'!AT501),"",'Berechnungen 2'!AT501)</f>
        <v>0</v>
      </c>
      <c r="AD298" s="199">
        <f>IF(ISERROR('Berechnungen 2'!BE501),"",'Berechnungen 2'!BE501)</f>
        <v>0</v>
      </c>
      <c r="AE298" s="200">
        <f>IF(ISERROR('Berechnungen 2'!BF501),"",'Berechnungen 2'!BF501)</f>
        <v>0</v>
      </c>
      <c r="AF298" s="200">
        <f>IF(ISERROR('Berechnungen 2'!BG501),"",'Berechnungen 2'!BG501)</f>
        <v>0</v>
      </c>
      <c r="AG298" s="199" t="str">
        <f>IF(ISNUMBER(A298),IF(ISERROR('Berechnungen 2'!BK501),"",'Berechnungen 2'!BK501),"")</f>
        <v/>
      </c>
      <c r="AH298" s="200">
        <f>IF(ISERROR('Berechnungen 2'!BL501),"",'Berechnungen 2'!BL501)</f>
        <v>0</v>
      </c>
      <c r="AI298" s="200">
        <f>IF(ISERROR('Berechnungen 2'!BM501),"",'Berechnungen 2'!BM501)</f>
        <v>0</v>
      </c>
    </row>
    <row r="299" spans="1:35" x14ac:dyDescent="0.2">
      <c r="A299" s="71" t="str">
        <f t="shared" si="91"/>
        <v/>
      </c>
      <c r="B299" s="193">
        <f t="shared" si="92"/>
        <v>287</v>
      </c>
      <c r="C299" s="192">
        <f ca="1">IF(ISERROR(LARGE('Berechnungen 1'!$A$12:$A$311,B299)),"",LARGE('Berechnungen 1'!$A$12:$A$311,B299))</f>
        <v>14</v>
      </c>
      <c r="D299" s="76" t="str">
        <f t="shared" si="95"/>
        <v/>
      </c>
      <c r="E299" s="76" t="str">
        <f t="shared" si="95"/>
        <v/>
      </c>
      <c r="F299" s="155" t="str">
        <f t="shared" si="79"/>
        <v/>
      </c>
      <c r="G299" s="204" t="str">
        <f t="shared" si="80"/>
        <v/>
      </c>
      <c r="H299" s="156" t="str">
        <f t="shared" si="81"/>
        <v/>
      </c>
      <c r="I299" s="155" t="str">
        <f t="shared" si="82"/>
        <v/>
      </c>
      <c r="J299" s="184">
        <f t="shared" ca="1" si="83"/>
        <v>999999</v>
      </c>
      <c r="K299" s="184">
        <f>IF(OR(ISBLANK('Etape 1'!E294),ISBLANK('Etape 1'!F294)),IF(AND(ISBLANK('Etape 1'!B294),ISBLANK('Etape 1'!C294),ISBLANK('Etape 1'!D294),ISBLANK('Etape 1'!E294),ISBLANK('Etape 1'!F294),ISBLANK('Etape 1'!G294),ISBLANK('Etape 1'!H294)),999,9999),IF(VLOOKUP($C299,Matrix_Berechnungen1.Rang.Pumpendaten.Zwischenresultate,$C$9,0)&gt;0,VLOOKUP($C299,Matrix_Berechnungen1.Rang.Pumpendaten.Zwischenresultate,K$9,0),""))</f>
        <v>999</v>
      </c>
      <c r="L299" s="184">
        <f t="shared" ca="1" si="96"/>
        <v>287</v>
      </c>
      <c r="M299" s="184">
        <f t="shared" ca="1" si="96"/>
        <v>0</v>
      </c>
      <c r="N299" s="84"/>
      <c r="O299" s="84"/>
      <c r="P299" s="84"/>
      <c r="Q299" s="69" t="str">
        <f t="shared" si="84"/>
        <v/>
      </c>
      <c r="R299" s="84"/>
      <c r="S299" s="65" t="str">
        <f t="shared" si="85"/>
        <v/>
      </c>
      <c r="T299" s="69" t="str">
        <f t="shared" si="86"/>
        <v/>
      </c>
      <c r="U299" s="84"/>
      <c r="V299" s="65" t="str">
        <f t="shared" si="87"/>
        <v/>
      </c>
      <c r="W299" s="108"/>
      <c r="X299" s="108"/>
      <c r="Y299" s="108"/>
      <c r="Z299" s="110" t="str">
        <f t="shared" si="88"/>
        <v/>
      </c>
      <c r="AA299" s="199">
        <f>IF(ISERROR('Berechnungen 2'!AR502),"",'Berechnungen 2'!AR502)</f>
        <v>0</v>
      </c>
      <c r="AB299" s="200">
        <f>IF(ISERROR('Berechnungen 2'!AS502),"",'Berechnungen 2'!AS502)</f>
        <v>0</v>
      </c>
      <c r="AC299" s="200">
        <f>IF(ISERROR('Berechnungen 2'!AT502),"",'Berechnungen 2'!AT502)</f>
        <v>0</v>
      </c>
      <c r="AD299" s="199">
        <f>IF(ISERROR('Berechnungen 2'!BE502),"",'Berechnungen 2'!BE502)</f>
        <v>0</v>
      </c>
      <c r="AE299" s="200">
        <f>IF(ISERROR('Berechnungen 2'!BF502),"",'Berechnungen 2'!BF502)</f>
        <v>0</v>
      </c>
      <c r="AF299" s="200">
        <f>IF(ISERROR('Berechnungen 2'!BG502),"",'Berechnungen 2'!BG502)</f>
        <v>0</v>
      </c>
      <c r="AG299" s="199" t="str">
        <f>IF(ISNUMBER(A299),IF(ISERROR('Berechnungen 2'!BK502),"",'Berechnungen 2'!BK502),"")</f>
        <v/>
      </c>
      <c r="AH299" s="200">
        <f>IF(ISERROR('Berechnungen 2'!BL502),"",'Berechnungen 2'!BL502)</f>
        <v>0</v>
      </c>
      <c r="AI299" s="200">
        <f>IF(ISERROR('Berechnungen 2'!BM502),"",'Berechnungen 2'!BM502)</f>
        <v>0</v>
      </c>
    </row>
    <row r="300" spans="1:35" x14ac:dyDescent="0.2">
      <c r="A300" s="71" t="str">
        <f t="shared" si="91"/>
        <v/>
      </c>
      <c r="B300" s="193">
        <f t="shared" si="92"/>
        <v>288</v>
      </c>
      <c r="C300" s="192">
        <f ca="1">IF(ISERROR(LARGE('Berechnungen 1'!$A$12:$A$311,B300)),"",LARGE('Berechnungen 1'!$A$12:$A$311,B300))</f>
        <v>13</v>
      </c>
      <c r="D300" s="76" t="str">
        <f t="shared" si="95"/>
        <v/>
      </c>
      <c r="E300" s="76" t="str">
        <f t="shared" si="95"/>
        <v/>
      </c>
      <c r="F300" s="155" t="str">
        <f t="shared" si="79"/>
        <v/>
      </c>
      <c r="G300" s="204" t="str">
        <f t="shared" si="80"/>
        <v/>
      </c>
      <c r="H300" s="156" t="str">
        <f t="shared" si="81"/>
        <v/>
      </c>
      <c r="I300" s="155" t="str">
        <f t="shared" si="82"/>
        <v/>
      </c>
      <c r="J300" s="184">
        <f t="shared" ca="1" si="83"/>
        <v>999999</v>
      </c>
      <c r="K300" s="184">
        <f>IF(OR(ISBLANK('Etape 1'!E295),ISBLANK('Etape 1'!F295)),IF(AND(ISBLANK('Etape 1'!B295),ISBLANK('Etape 1'!C295),ISBLANK('Etape 1'!D295),ISBLANK('Etape 1'!E295),ISBLANK('Etape 1'!F295),ISBLANK('Etape 1'!G295),ISBLANK('Etape 1'!H295)),999,9999),IF(VLOOKUP($C300,Matrix_Berechnungen1.Rang.Pumpendaten.Zwischenresultate,$C$9,0)&gt;0,VLOOKUP($C300,Matrix_Berechnungen1.Rang.Pumpendaten.Zwischenresultate,K$9,0),""))</f>
        <v>999</v>
      </c>
      <c r="L300" s="184">
        <f t="shared" ca="1" si="96"/>
        <v>288</v>
      </c>
      <c r="M300" s="184">
        <f t="shared" ca="1" si="96"/>
        <v>0</v>
      </c>
      <c r="N300" s="84"/>
      <c r="O300" s="84"/>
      <c r="P300" s="84"/>
      <c r="Q300" s="69" t="str">
        <f t="shared" si="84"/>
        <v/>
      </c>
      <c r="R300" s="84"/>
      <c r="S300" s="65" t="str">
        <f t="shared" si="85"/>
        <v/>
      </c>
      <c r="T300" s="69" t="str">
        <f t="shared" si="86"/>
        <v/>
      </c>
      <c r="U300" s="84"/>
      <c r="V300" s="65" t="str">
        <f t="shared" si="87"/>
        <v/>
      </c>
      <c r="W300" s="108"/>
      <c r="X300" s="108"/>
      <c r="Y300" s="108"/>
      <c r="Z300" s="110" t="str">
        <f t="shared" si="88"/>
        <v/>
      </c>
      <c r="AA300" s="199">
        <f>IF(ISERROR('Berechnungen 2'!AR503),"",'Berechnungen 2'!AR503)</f>
        <v>0</v>
      </c>
      <c r="AB300" s="200">
        <f>IF(ISERROR('Berechnungen 2'!AS503),"",'Berechnungen 2'!AS503)</f>
        <v>0</v>
      </c>
      <c r="AC300" s="200">
        <f>IF(ISERROR('Berechnungen 2'!AT503),"",'Berechnungen 2'!AT503)</f>
        <v>0</v>
      </c>
      <c r="AD300" s="199">
        <f>IF(ISERROR('Berechnungen 2'!BE503),"",'Berechnungen 2'!BE503)</f>
        <v>0</v>
      </c>
      <c r="AE300" s="200">
        <f>IF(ISERROR('Berechnungen 2'!BF503),"",'Berechnungen 2'!BF503)</f>
        <v>0</v>
      </c>
      <c r="AF300" s="200">
        <f>IF(ISERROR('Berechnungen 2'!BG503),"",'Berechnungen 2'!BG503)</f>
        <v>0</v>
      </c>
      <c r="AG300" s="199" t="str">
        <f>IF(ISNUMBER(A300),IF(ISERROR('Berechnungen 2'!BK503),"",'Berechnungen 2'!BK503),"")</f>
        <v/>
      </c>
      <c r="AH300" s="200">
        <f>IF(ISERROR('Berechnungen 2'!BL503),"",'Berechnungen 2'!BL503)</f>
        <v>0</v>
      </c>
      <c r="AI300" s="200">
        <f>IF(ISERROR('Berechnungen 2'!BM503),"",'Berechnungen 2'!BM503)</f>
        <v>0</v>
      </c>
    </row>
    <row r="301" spans="1:35" x14ac:dyDescent="0.2">
      <c r="A301" s="71" t="str">
        <f t="shared" si="91"/>
        <v/>
      </c>
      <c r="B301" s="193">
        <f t="shared" si="92"/>
        <v>289</v>
      </c>
      <c r="C301" s="192">
        <f ca="1">IF(ISERROR(LARGE('Berechnungen 1'!$A$12:$A$311,B301)),"",LARGE('Berechnungen 1'!$A$12:$A$311,B301))</f>
        <v>12</v>
      </c>
      <c r="D301" s="76" t="str">
        <f t="shared" si="95"/>
        <v/>
      </c>
      <c r="E301" s="76" t="str">
        <f t="shared" si="95"/>
        <v/>
      </c>
      <c r="F301" s="155" t="str">
        <f t="shared" si="79"/>
        <v/>
      </c>
      <c r="G301" s="204" t="str">
        <f t="shared" si="80"/>
        <v/>
      </c>
      <c r="H301" s="156" t="str">
        <f t="shared" si="81"/>
        <v/>
      </c>
      <c r="I301" s="155" t="str">
        <f t="shared" si="82"/>
        <v/>
      </c>
      <c r="J301" s="184">
        <f t="shared" ca="1" si="83"/>
        <v>999999</v>
      </c>
      <c r="K301" s="184">
        <f>IF(OR(ISBLANK('Etape 1'!E296),ISBLANK('Etape 1'!F296)),IF(AND(ISBLANK('Etape 1'!B296),ISBLANK('Etape 1'!C296),ISBLANK('Etape 1'!D296),ISBLANK('Etape 1'!E296),ISBLANK('Etape 1'!F296),ISBLANK('Etape 1'!G296),ISBLANK('Etape 1'!H296)),999,9999),IF(VLOOKUP($C301,Matrix_Berechnungen1.Rang.Pumpendaten.Zwischenresultate,$C$9,0)&gt;0,VLOOKUP($C301,Matrix_Berechnungen1.Rang.Pumpendaten.Zwischenresultate,K$9,0),""))</f>
        <v>999</v>
      </c>
      <c r="L301" s="184">
        <f t="shared" ca="1" si="96"/>
        <v>289</v>
      </c>
      <c r="M301" s="184">
        <f t="shared" ca="1" si="96"/>
        <v>0</v>
      </c>
      <c r="N301" s="84"/>
      <c r="O301" s="84"/>
      <c r="P301" s="84"/>
      <c r="Q301" s="69" t="str">
        <f t="shared" si="84"/>
        <v/>
      </c>
      <c r="R301" s="84"/>
      <c r="S301" s="65" t="str">
        <f t="shared" si="85"/>
        <v/>
      </c>
      <c r="T301" s="69" t="str">
        <f t="shared" si="86"/>
        <v/>
      </c>
      <c r="U301" s="84"/>
      <c r="V301" s="65" t="str">
        <f t="shared" si="87"/>
        <v/>
      </c>
      <c r="W301" s="108"/>
      <c r="X301" s="108"/>
      <c r="Y301" s="108"/>
      <c r="Z301" s="110" t="str">
        <f t="shared" si="88"/>
        <v/>
      </c>
      <c r="AA301" s="199">
        <f>IF(ISERROR('Berechnungen 2'!AR504),"",'Berechnungen 2'!AR504)</f>
        <v>0</v>
      </c>
      <c r="AB301" s="200">
        <f>IF(ISERROR('Berechnungen 2'!AS504),"",'Berechnungen 2'!AS504)</f>
        <v>0</v>
      </c>
      <c r="AC301" s="200">
        <f>IF(ISERROR('Berechnungen 2'!AT504),"",'Berechnungen 2'!AT504)</f>
        <v>0</v>
      </c>
      <c r="AD301" s="199">
        <f>IF(ISERROR('Berechnungen 2'!BE504),"",'Berechnungen 2'!BE504)</f>
        <v>0</v>
      </c>
      <c r="AE301" s="200">
        <f>IF(ISERROR('Berechnungen 2'!BF504),"",'Berechnungen 2'!BF504)</f>
        <v>0</v>
      </c>
      <c r="AF301" s="200">
        <f>IF(ISERROR('Berechnungen 2'!BG504),"",'Berechnungen 2'!BG504)</f>
        <v>0</v>
      </c>
      <c r="AG301" s="199" t="str">
        <f>IF(ISNUMBER(A301),IF(ISERROR('Berechnungen 2'!BK504),"",'Berechnungen 2'!BK504),"")</f>
        <v/>
      </c>
      <c r="AH301" s="200">
        <f>IF(ISERROR('Berechnungen 2'!BL504),"",'Berechnungen 2'!BL504)</f>
        <v>0</v>
      </c>
      <c r="AI301" s="200">
        <f>IF(ISERROR('Berechnungen 2'!BM504),"",'Berechnungen 2'!BM504)</f>
        <v>0</v>
      </c>
    </row>
    <row r="302" spans="1:35" x14ac:dyDescent="0.2">
      <c r="A302" s="71" t="str">
        <f t="shared" si="91"/>
        <v/>
      </c>
      <c r="B302" s="193">
        <f t="shared" si="92"/>
        <v>290</v>
      </c>
      <c r="C302" s="192">
        <f ca="1">IF(ISERROR(LARGE('Berechnungen 1'!$A$12:$A$311,B302)),"",LARGE('Berechnungen 1'!$A$12:$A$311,B302))</f>
        <v>11</v>
      </c>
      <c r="D302" s="76" t="str">
        <f t="shared" si="95"/>
        <v/>
      </c>
      <c r="E302" s="76" t="str">
        <f t="shared" si="95"/>
        <v/>
      </c>
      <c r="F302" s="155" t="str">
        <f t="shared" si="79"/>
        <v/>
      </c>
      <c r="G302" s="204" t="str">
        <f t="shared" si="80"/>
        <v/>
      </c>
      <c r="H302" s="156" t="str">
        <f t="shared" si="81"/>
        <v/>
      </c>
      <c r="I302" s="155" t="str">
        <f t="shared" si="82"/>
        <v/>
      </c>
      <c r="J302" s="184">
        <f t="shared" ca="1" si="83"/>
        <v>999999</v>
      </c>
      <c r="K302" s="184">
        <f>IF(OR(ISBLANK('Etape 1'!E297),ISBLANK('Etape 1'!F297)),IF(AND(ISBLANK('Etape 1'!B297),ISBLANK('Etape 1'!C297),ISBLANK('Etape 1'!D297),ISBLANK('Etape 1'!E297),ISBLANK('Etape 1'!F297),ISBLANK('Etape 1'!G297),ISBLANK('Etape 1'!H297)),999,9999),IF(VLOOKUP($C302,Matrix_Berechnungen1.Rang.Pumpendaten.Zwischenresultate,$C$9,0)&gt;0,VLOOKUP($C302,Matrix_Berechnungen1.Rang.Pumpendaten.Zwischenresultate,K$9,0),""))</f>
        <v>999</v>
      </c>
      <c r="L302" s="184">
        <f t="shared" ca="1" si="96"/>
        <v>290</v>
      </c>
      <c r="M302" s="184">
        <f t="shared" ca="1" si="96"/>
        <v>0</v>
      </c>
      <c r="N302" s="84"/>
      <c r="O302" s="84"/>
      <c r="P302" s="84"/>
      <c r="Q302" s="69" t="str">
        <f t="shared" si="84"/>
        <v/>
      </c>
      <c r="R302" s="84"/>
      <c r="S302" s="65" t="str">
        <f t="shared" si="85"/>
        <v/>
      </c>
      <c r="T302" s="69" t="str">
        <f t="shared" si="86"/>
        <v/>
      </c>
      <c r="U302" s="84"/>
      <c r="V302" s="65" t="str">
        <f t="shared" si="87"/>
        <v/>
      </c>
      <c r="W302" s="108"/>
      <c r="X302" s="108"/>
      <c r="Y302" s="108"/>
      <c r="Z302" s="110" t="str">
        <f t="shared" si="88"/>
        <v/>
      </c>
      <c r="AA302" s="199">
        <f>IF(ISERROR('Berechnungen 2'!AR505),"",'Berechnungen 2'!AR505)</f>
        <v>0</v>
      </c>
      <c r="AB302" s="200">
        <f>IF(ISERROR('Berechnungen 2'!AS505),"",'Berechnungen 2'!AS505)</f>
        <v>0</v>
      </c>
      <c r="AC302" s="200">
        <f>IF(ISERROR('Berechnungen 2'!AT505),"",'Berechnungen 2'!AT505)</f>
        <v>0</v>
      </c>
      <c r="AD302" s="199">
        <f>IF(ISERROR('Berechnungen 2'!BE505),"",'Berechnungen 2'!BE505)</f>
        <v>0</v>
      </c>
      <c r="AE302" s="200">
        <f>IF(ISERROR('Berechnungen 2'!BF505),"",'Berechnungen 2'!BF505)</f>
        <v>0</v>
      </c>
      <c r="AF302" s="200">
        <f>IF(ISERROR('Berechnungen 2'!BG505),"",'Berechnungen 2'!BG505)</f>
        <v>0</v>
      </c>
      <c r="AG302" s="199" t="str">
        <f>IF(ISNUMBER(A302),IF(ISERROR('Berechnungen 2'!BK505),"",'Berechnungen 2'!BK505),"")</f>
        <v/>
      </c>
      <c r="AH302" s="200">
        <f>IF(ISERROR('Berechnungen 2'!BL505),"",'Berechnungen 2'!BL505)</f>
        <v>0</v>
      </c>
      <c r="AI302" s="200">
        <f>IF(ISERROR('Berechnungen 2'!BM505),"",'Berechnungen 2'!BM505)</f>
        <v>0</v>
      </c>
    </row>
    <row r="303" spans="1:35" x14ac:dyDescent="0.2">
      <c r="A303" s="71" t="str">
        <f t="shared" si="91"/>
        <v/>
      </c>
      <c r="B303" s="193">
        <f t="shared" si="92"/>
        <v>291</v>
      </c>
      <c r="C303" s="192">
        <f ca="1">IF(ISERROR(LARGE('Berechnungen 1'!$A$12:$A$311,B303)),"",LARGE('Berechnungen 1'!$A$12:$A$311,B303))</f>
        <v>10</v>
      </c>
      <c r="D303" s="76" t="str">
        <f t="shared" si="95"/>
        <v/>
      </c>
      <c r="E303" s="76" t="str">
        <f t="shared" si="95"/>
        <v/>
      </c>
      <c r="F303" s="155" t="str">
        <f t="shared" ref="F303:F312" si="97">IF(ISNUMBER(A303),IF(VLOOKUP($C303,Matrix_Berechnungen1.Rang.Pumpendaten.Zwischenresultate,C$9,0)&gt;0,IF(VLOOKUP($C303,Matrix_Berechnungen1.Rang.Pumpendaten.Zwischenresultate,F$9,0)=0,"",VLOOKUP($C303,Matrix_Berechnungen1.Rang.Pumpendaten.Zwischenresultate,F$9,0)),""),"")</f>
        <v/>
      </c>
      <c r="G303" s="204" t="str">
        <f t="shared" ref="G303:G312" si="98">IF(ISNUMBER(A303),IF(VLOOKUP($C303,Matrix_Berechnungen1.Rang.Pumpendaten.Zwischenresultate,C$9,0)&gt;0,IF(VLOOKUP($C303,Matrix_Berechnungen1.Rang.Pumpendaten.Zwischenresultate,G$9,0)=0,"",VLOOKUP($C303,Matrix_Berechnungen1.Rang.Pumpendaten.Zwischenresultate,G$9,0)),""),"")</f>
        <v/>
      </c>
      <c r="H303" s="156" t="str">
        <f t="shared" ref="H303:H312" si="99">IF(ISNUMBER(A303),IF(VLOOKUP($C303,Matrix_Berechnungen1.Rang.Pumpendaten.Zwischenresultate,C$9,0)&gt;0,IF(VLOOKUP($C303,Matrix_Berechnungen1.Rang.Pumpendaten.Zwischenresultate,H$9,0)=0,"",VLOOKUP($C303,Matrix_Berechnungen1.Rang.Pumpendaten.Zwischenresultate,H$9,0)),""),"")</f>
        <v/>
      </c>
      <c r="I303" s="155" t="str">
        <f t="shared" ref="I303:I312" si="100">IF(ISNUMBER(A303),IF(VLOOKUP($C303,Matrix_Berechnungen1.Rang.Pumpendaten.Zwischenresultate,C$9,0)&gt;0,IF(VLOOKUP($C303,Matrix_Berechnungen1.Rang.Pumpendaten.Zwischenresultate,I$9,0)=0,"",VLOOKUP($C303,Matrix_Berechnungen1.Rang.Pumpendaten.Zwischenresultate,I$9,0)),""),"")</f>
        <v/>
      </c>
      <c r="J303" s="184">
        <f t="shared" ref="J303:J312" ca="1" si="101">IF(VLOOKUP($C303,Matrix_Berechnungen1.Rang.Pumpendaten.Zwischenresultate,C$9,0)&gt;0,VLOOKUP($C303,Matrix_Berechnungen1.Rang.Pumpendaten.Zwischenresultate,J$9,0),"")</f>
        <v>999999</v>
      </c>
      <c r="K303" s="184">
        <f>IF(OR(ISBLANK('Etape 1'!E298),ISBLANK('Etape 1'!F298)),IF(AND(ISBLANK('Etape 1'!B298),ISBLANK('Etape 1'!C298),ISBLANK('Etape 1'!D298),ISBLANK('Etape 1'!E298),ISBLANK('Etape 1'!F298),ISBLANK('Etape 1'!G298),ISBLANK('Etape 1'!H298)),999,9999),IF(VLOOKUP($C303,Matrix_Berechnungen1.Rang.Pumpendaten.Zwischenresultate,$C$9,0)&gt;0,VLOOKUP($C303,Matrix_Berechnungen1.Rang.Pumpendaten.Zwischenresultate,K$9,0),""))</f>
        <v>999</v>
      </c>
      <c r="L303" s="184">
        <f t="shared" ca="1" si="96"/>
        <v>291</v>
      </c>
      <c r="M303" s="184">
        <f t="shared" ca="1" si="96"/>
        <v>0</v>
      </c>
      <c r="N303" s="84"/>
      <c r="O303" s="84"/>
      <c r="P303" s="84"/>
      <c r="Q303" s="69" t="str">
        <f t="shared" ref="Q303:Q312" si="102">IF(ISNUMBER(A303),St.Wert_Motor.Pole.Anzahl,"")</f>
        <v/>
      </c>
      <c r="R303" s="84"/>
      <c r="S303" s="65" t="str">
        <f t="shared" ref="S303:S312" si="103">IF(ISBLANK(R303),Q303,R303)</f>
        <v/>
      </c>
      <c r="T303" s="69" t="str">
        <f t="shared" ref="T303:T312" si="104">IF(ISNUMBER(A303),VLOOKUP($C303,Matrix_Berechnungen1.Rang.Pumpendaten.Zwischenresultate,T$9,0),"")</f>
        <v/>
      </c>
      <c r="U303" s="84"/>
      <c r="V303" s="65" t="str">
        <f t="shared" ref="V303:V312" si="105">IF(ISBLANK(U303),T303,U303)</f>
        <v/>
      </c>
      <c r="W303" s="108"/>
      <c r="X303" s="108"/>
      <c r="Y303" s="108"/>
      <c r="Z303" s="110" t="str">
        <f t="shared" ref="Z303:Z312" si="106">IF(ISNUMBER(A303),IF(ISNUMBER(H303),H303-SUM(W303:Y303),0-SUM(W303:Y303)),"")</f>
        <v/>
      </c>
      <c r="AA303" s="199">
        <f>IF(ISERROR('Berechnungen 2'!AR506),"",'Berechnungen 2'!AR506)</f>
        <v>0</v>
      </c>
      <c r="AB303" s="200">
        <f>IF(ISERROR('Berechnungen 2'!AS506),"",'Berechnungen 2'!AS506)</f>
        <v>0</v>
      </c>
      <c r="AC303" s="200">
        <f>IF(ISERROR('Berechnungen 2'!AT506),"",'Berechnungen 2'!AT506)</f>
        <v>0</v>
      </c>
      <c r="AD303" s="199">
        <f>IF(ISERROR('Berechnungen 2'!BE506),"",'Berechnungen 2'!BE506)</f>
        <v>0</v>
      </c>
      <c r="AE303" s="200">
        <f>IF(ISERROR('Berechnungen 2'!BF506),"",'Berechnungen 2'!BF506)</f>
        <v>0</v>
      </c>
      <c r="AF303" s="200">
        <f>IF(ISERROR('Berechnungen 2'!BG506),"",'Berechnungen 2'!BG506)</f>
        <v>0</v>
      </c>
      <c r="AG303" s="199" t="str">
        <f>IF(ISNUMBER(A303),IF(ISERROR('Berechnungen 2'!BK506),"",'Berechnungen 2'!BK506),"")</f>
        <v/>
      </c>
      <c r="AH303" s="200">
        <f>IF(ISERROR('Berechnungen 2'!BL506),"",'Berechnungen 2'!BL506)</f>
        <v>0</v>
      </c>
      <c r="AI303" s="200">
        <f>IF(ISERROR('Berechnungen 2'!BM506),"",'Berechnungen 2'!BM506)</f>
        <v>0</v>
      </c>
    </row>
    <row r="304" spans="1:35" x14ac:dyDescent="0.2">
      <c r="A304" s="71" t="str">
        <f t="shared" si="91"/>
        <v/>
      </c>
      <c r="B304" s="193">
        <f t="shared" si="92"/>
        <v>292</v>
      </c>
      <c r="C304" s="192">
        <f ca="1">IF(ISERROR(LARGE('Berechnungen 1'!$A$12:$A$311,B304)),"",LARGE('Berechnungen 1'!$A$12:$A$311,B304))</f>
        <v>9</v>
      </c>
      <c r="D304" s="76" t="str">
        <f t="shared" si="95"/>
        <v/>
      </c>
      <c r="E304" s="76" t="str">
        <f t="shared" si="95"/>
        <v/>
      </c>
      <c r="F304" s="155" t="str">
        <f t="shared" si="97"/>
        <v/>
      </c>
      <c r="G304" s="204" t="str">
        <f t="shared" si="98"/>
        <v/>
      </c>
      <c r="H304" s="156" t="str">
        <f t="shared" si="99"/>
        <v/>
      </c>
      <c r="I304" s="155" t="str">
        <f t="shared" si="100"/>
        <v/>
      </c>
      <c r="J304" s="184">
        <f t="shared" ca="1" si="101"/>
        <v>999999</v>
      </c>
      <c r="K304" s="184">
        <f>IF(OR(ISBLANK('Etape 1'!E299),ISBLANK('Etape 1'!F299)),IF(AND(ISBLANK('Etape 1'!B299),ISBLANK('Etape 1'!C299),ISBLANK('Etape 1'!D299),ISBLANK('Etape 1'!E299),ISBLANK('Etape 1'!F299),ISBLANK('Etape 1'!G299),ISBLANK('Etape 1'!H299)),999,9999),IF(VLOOKUP($C304,Matrix_Berechnungen1.Rang.Pumpendaten.Zwischenresultate,$C$9,0)&gt;0,VLOOKUP($C304,Matrix_Berechnungen1.Rang.Pumpendaten.Zwischenresultate,K$9,0),""))</f>
        <v>999</v>
      </c>
      <c r="L304" s="184">
        <f t="shared" ca="1" si="96"/>
        <v>292</v>
      </c>
      <c r="M304" s="184">
        <f t="shared" ca="1" si="96"/>
        <v>0</v>
      </c>
      <c r="N304" s="84"/>
      <c r="O304" s="84"/>
      <c r="P304" s="84"/>
      <c r="Q304" s="69" t="str">
        <f t="shared" si="102"/>
        <v/>
      </c>
      <c r="R304" s="84"/>
      <c r="S304" s="65" t="str">
        <f t="shared" si="103"/>
        <v/>
      </c>
      <c r="T304" s="69" t="str">
        <f t="shared" si="104"/>
        <v/>
      </c>
      <c r="U304" s="84"/>
      <c r="V304" s="65" t="str">
        <f t="shared" si="105"/>
        <v/>
      </c>
      <c r="W304" s="108"/>
      <c r="X304" s="108"/>
      <c r="Y304" s="108"/>
      <c r="Z304" s="110" t="str">
        <f t="shared" si="106"/>
        <v/>
      </c>
      <c r="AA304" s="199">
        <f>IF(ISERROR('Berechnungen 2'!AR507),"",'Berechnungen 2'!AR507)</f>
        <v>0</v>
      </c>
      <c r="AB304" s="200">
        <f>IF(ISERROR('Berechnungen 2'!AS507),"",'Berechnungen 2'!AS507)</f>
        <v>0</v>
      </c>
      <c r="AC304" s="200">
        <f>IF(ISERROR('Berechnungen 2'!AT507),"",'Berechnungen 2'!AT507)</f>
        <v>0</v>
      </c>
      <c r="AD304" s="199">
        <f>IF(ISERROR('Berechnungen 2'!BE507),"",'Berechnungen 2'!BE507)</f>
        <v>0</v>
      </c>
      <c r="AE304" s="200">
        <f>IF(ISERROR('Berechnungen 2'!BF507),"",'Berechnungen 2'!BF507)</f>
        <v>0</v>
      </c>
      <c r="AF304" s="200">
        <f>IF(ISERROR('Berechnungen 2'!BG507),"",'Berechnungen 2'!BG507)</f>
        <v>0</v>
      </c>
      <c r="AG304" s="199" t="str">
        <f>IF(ISNUMBER(A304),IF(ISERROR('Berechnungen 2'!BK507),"",'Berechnungen 2'!BK507),"")</f>
        <v/>
      </c>
      <c r="AH304" s="200">
        <f>IF(ISERROR('Berechnungen 2'!BL507),"",'Berechnungen 2'!BL507)</f>
        <v>0</v>
      </c>
      <c r="AI304" s="200">
        <f>IF(ISERROR('Berechnungen 2'!BM507),"",'Berechnungen 2'!BM507)</f>
        <v>0</v>
      </c>
    </row>
    <row r="305" spans="1:35" x14ac:dyDescent="0.2">
      <c r="A305" s="71" t="str">
        <f t="shared" si="91"/>
        <v/>
      </c>
      <c r="B305" s="193">
        <f t="shared" si="92"/>
        <v>293</v>
      </c>
      <c r="C305" s="192">
        <f ca="1">IF(ISERROR(LARGE('Berechnungen 1'!$A$12:$A$311,B305)),"",LARGE('Berechnungen 1'!$A$12:$A$311,B305))</f>
        <v>8</v>
      </c>
      <c r="D305" s="76" t="str">
        <f t="shared" si="95"/>
        <v/>
      </c>
      <c r="E305" s="76" t="str">
        <f t="shared" si="95"/>
        <v/>
      </c>
      <c r="F305" s="155" t="str">
        <f t="shared" si="97"/>
        <v/>
      </c>
      <c r="G305" s="204" t="str">
        <f t="shared" si="98"/>
        <v/>
      </c>
      <c r="H305" s="156" t="str">
        <f t="shared" si="99"/>
        <v/>
      </c>
      <c r="I305" s="155" t="str">
        <f t="shared" si="100"/>
        <v/>
      </c>
      <c r="J305" s="184">
        <f t="shared" ca="1" si="101"/>
        <v>999999</v>
      </c>
      <c r="K305" s="184">
        <f>IF(OR(ISBLANK('Etape 1'!E300),ISBLANK('Etape 1'!F300)),IF(AND(ISBLANK('Etape 1'!B300),ISBLANK('Etape 1'!C300),ISBLANK('Etape 1'!D300),ISBLANK('Etape 1'!E300),ISBLANK('Etape 1'!F300),ISBLANK('Etape 1'!G300),ISBLANK('Etape 1'!H300)),999,9999),IF(VLOOKUP($C305,Matrix_Berechnungen1.Rang.Pumpendaten.Zwischenresultate,$C$9,0)&gt;0,VLOOKUP($C305,Matrix_Berechnungen1.Rang.Pumpendaten.Zwischenresultate,K$9,0),""))</f>
        <v>999</v>
      </c>
      <c r="L305" s="184">
        <f t="shared" ca="1" si="96"/>
        <v>293</v>
      </c>
      <c r="M305" s="184">
        <f t="shared" ca="1" si="96"/>
        <v>0</v>
      </c>
      <c r="N305" s="84"/>
      <c r="O305" s="84"/>
      <c r="P305" s="84"/>
      <c r="Q305" s="69" t="str">
        <f t="shared" si="102"/>
        <v/>
      </c>
      <c r="R305" s="84"/>
      <c r="S305" s="65" t="str">
        <f t="shared" si="103"/>
        <v/>
      </c>
      <c r="T305" s="69" t="str">
        <f t="shared" si="104"/>
        <v/>
      </c>
      <c r="U305" s="84"/>
      <c r="V305" s="65" t="str">
        <f t="shared" si="105"/>
        <v/>
      </c>
      <c r="W305" s="108"/>
      <c r="X305" s="108"/>
      <c r="Y305" s="108"/>
      <c r="Z305" s="110" t="str">
        <f t="shared" si="106"/>
        <v/>
      </c>
      <c r="AA305" s="199">
        <f>IF(ISERROR('Berechnungen 2'!AR508),"",'Berechnungen 2'!AR508)</f>
        <v>0</v>
      </c>
      <c r="AB305" s="200">
        <f>IF(ISERROR('Berechnungen 2'!AS508),"",'Berechnungen 2'!AS508)</f>
        <v>0</v>
      </c>
      <c r="AC305" s="200">
        <f>IF(ISERROR('Berechnungen 2'!AT508),"",'Berechnungen 2'!AT508)</f>
        <v>0</v>
      </c>
      <c r="AD305" s="199">
        <f>IF(ISERROR('Berechnungen 2'!BE508),"",'Berechnungen 2'!BE508)</f>
        <v>0</v>
      </c>
      <c r="AE305" s="200">
        <f>IF(ISERROR('Berechnungen 2'!BF508),"",'Berechnungen 2'!BF508)</f>
        <v>0</v>
      </c>
      <c r="AF305" s="200">
        <f>IF(ISERROR('Berechnungen 2'!BG508),"",'Berechnungen 2'!BG508)</f>
        <v>0</v>
      </c>
      <c r="AG305" s="199" t="str">
        <f>IF(ISNUMBER(A305),IF(ISERROR('Berechnungen 2'!BK508),"",'Berechnungen 2'!BK508),"")</f>
        <v/>
      </c>
      <c r="AH305" s="200">
        <f>IF(ISERROR('Berechnungen 2'!BL508),"",'Berechnungen 2'!BL508)</f>
        <v>0</v>
      </c>
      <c r="AI305" s="200">
        <f>IF(ISERROR('Berechnungen 2'!BM508),"",'Berechnungen 2'!BM508)</f>
        <v>0</v>
      </c>
    </row>
    <row r="306" spans="1:35" x14ac:dyDescent="0.2">
      <c r="A306" s="71" t="str">
        <f t="shared" si="91"/>
        <v/>
      </c>
      <c r="B306" s="193">
        <f t="shared" si="92"/>
        <v>294</v>
      </c>
      <c r="C306" s="192">
        <f ca="1">IF(ISERROR(LARGE('Berechnungen 1'!$A$12:$A$311,B306)),"",LARGE('Berechnungen 1'!$A$12:$A$311,B306))</f>
        <v>7</v>
      </c>
      <c r="D306" s="76" t="str">
        <f t="shared" si="95"/>
        <v/>
      </c>
      <c r="E306" s="76" t="str">
        <f t="shared" si="95"/>
        <v/>
      </c>
      <c r="F306" s="155" t="str">
        <f t="shared" si="97"/>
        <v/>
      </c>
      <c r="G306" s="204" t="str">
        <f t="shared" si="98"/>
        <v/>
      </c>
      <c r="H306" s="156" t="str">
        <f t="shared" si="99"/>
        <v/>
      </c>
      <c r="I306" s="155" t="str">
        <f t="shared" si="100"/>
        <v/>
      </c>
      <c r="J306" s="184">
        <f t="shared" ca="1" si="101"/>
        <v>999999</v>
      </c>
      <c r="K306" s="184">
        <f>IF(OR(ISBLANK('Etape 1'!E301),ISBLANK('Etape 1'!F301)),IF(AND(ISBLANK('Etape 1'!B301),ISBLANK('Etape 1'!C301),ISBLANK('Etape 1'!D301),ISBLANK('Etape 1'!E301),ISBLANK('Etape 1'!F301),ISBLANK('Etape 1'!G301),ISBLANK('Etape 1'!H301)),999,9999),IF(VLOOKUP($C306,Matrix_Berechnungen1.Rang.Pumpendaten.Zwischenresultate,$C$9,0)&gt;0,VLOOKUP($C306,Matrix_Berechnungen1.Rang.Pumpendaten.Zwischenresultate,K$9,0),""))</f>
        <v>999</v>
      </c>
      <c r="L306" s="184">
        <f t="shared" ca="1" si="96"/>
        <v>294</v>
      </c>
      <c r="M306" s="184">
        <f t="shared" ca="1" si="96"/>
        <v>0</v>
      </c>
      <c r="N306" s="84"/>
      <c r="O306" s="84"/>
      <c r="P306" s="84"/>
      <c r="Q306" s="69" t="str">
        <f t="shared" si="102"/>
        <v/>
      </c>
      <c r="R306" s="84"/>
      <c r="S306" s="65" t="str">
        <f t="shared" si="103"/>
        <v/>
      </c>
      <c r="T306" s="69" t="str">
        <f t="shared" si="104"/>
        <v/>
      </c>
      <c r="U306" s="84"/>
      <c r="V306" s="65" t="str">
        <f t="shared" si="105"/>
        <v/>
      </c>
      <c r="W306" s="108"/>
      <c r="X306" s="108"/>
      <c r="Y306" s="108"/>
      <c r="Z306" s="110" t="str">
        <f t="shared" si="106"/>
        <v/>
      </c>
      <c r="AA306" s="199">
        <f>IF(ISERROR('Berechnungen 2'!AR509),"",'Berechnungen 2'!AR509)</f>
        <v>0</v>
      </c>
      <c r="AB306" s="200">
        <f>IF(ISERROR('Berechnungen 2'!AS509),"",'Berechnungen 2'!AS509)</f>
        <v>0</v>
      </c>
      <c r="AC306" s="200">
        <f>IF(ISERROR('Berechnungen 2'!AT509),"",'Berechnungen 2'!AT509)</f>
        <v>0</v>
      </c>
      <c r="AD306" s="199">
        <f>IF(ISERROR('Berechnungen 2'!BE509),"",'Berechnungen 2'!BE509)</f>
        <v>0</v>
      </c>
      <c r="AE306" s="200">
        <f>IF(ISERROR('Berechnungen 2'!BF509),"",'Berechnungen 2'!BF509)</f>
        <v>0</v>
      </c>
      <c r="AF306" s="200">
        <f>IF(ISERROR('Berechnungen 2'!BG509),"",'Berechnungen 2'!BG509)</f>
        <v>0</v>
      </c>
      <c r="AG306" s="199" t="str">
        <f>IF(ISNUMBER(A306),IF(ISERROR('Berechnungen 2'!BK509),"",'Berechnungen 2'!BK509),"")</f>
        <v/>
      </c>
      <c r="AH306" s="200">
        <f>IF(ISERROR('Berechnungen 2'!BL509),"",'Berechnungen 2'!BL509)</f>
        <v>0</v>
      </c>
      <c r="AI306" s="200">
        <f>IF(ISERROR('Berechnungen 2'!BM509),"",'Berechnungen 2'!BM509)</f>
        <v>0</v>
      </c>
    </row>
    <row r="307" spans="1:35" x14ac:dyDescent="0.2">
      <c r="A307" s="71" t="str">
        <f t="shared" si="91"/>
        <v/>
      </c>
      <c r="B307" s="193">
        <f t="shared" si="92"/>
        <v>295</v>
      </c>
      <c r="C307" s="192">
        <f ca="1">IF(ISERROR(LARGE('Berechnungen 1'!$A$12:$A$311,B307)),"",LARGE('Berechnungen 1'!$A$12:$A$311,B307))</f>
        <v>6</v>
      </c>
      <c r="D307" s="76" t="str">
        <f t="shared" si="95"/>
        <v/>
      </c>
      <c r="E307" s="76" t="str">
        <f t="shared" si="95"/>
        <v/>
      </c>
      <c r="F307" s="155" t="str">
        <f t="shared" si="97"/>
        <v/>
      </c>
      <c r="G307" s="204" t="str">
        <f t="shared" si="98"/>
        <v/>
      </c>
      <c r="H307" s="156" t="str">
        <f t="shared" si="99"/>
        <v/>
      </c>
      <c r="I307" s="155" t="str">
        <f t="shared" si="100"/>
        <v/>
      </c>
      <c r="J307" s="184">
        <f t="shared" ca="1" si="101"/>
        <v>999999</v>
      </c>
      <c r="K307" s="184">
        <f>IF(OR(ISBLANK('Etape 1'!E302),ISBLANK('Etape 1'!F302)),IF(AND(ISBLANK('Etape 1'!B302),ISBLANK('Etape 1'!C302),ISBLANK('Etape 1'!D302),ISBLANK('Etape 1'!E302),ISBLANK('Etape 1'!F302),ISBLANK('Etape 1'!G302),ISBLANK('Etape 1'!H302)),999,9999),IF(VLOOKUP($C307,Matrix_Berechnungen1.Rang.Pumpendaten.Zwischenresultate,$C$9,0)&gt;0,VLOOKUP($C307,Matrix_Berechnungen1.Rang.Pumpendaten.Zwischenresultate,K$9,0),""))</f>
        <v>999</v>
      </c>
      <c r="L307" s="184">
        <f t="shared" ca="1" si="96"/>
        <v>295</v>
      </c>
      <c r="M307" s="184">
        <f t="shared" ca="1" si="96"/>
        <v>0</v>
      </c>
      <c r="N307" s="84"/>
      <c r="O307" s="84"/>
      <c r="P307" s="84"/>
      <c r="Q307" s="69" t="str">
        <f t="shared" si="102"/>
        <v/>
      </c>
      <c r="R307" s="84"/>
      <c r="S307" s="65" t="str">
        <f t="shared" si="103"/>
        <v/>
      </c>
      <c r="T307" s="69" t="str">
        <f t="shared" si="104"/>
        <v/>
      </c>
      <c r="U307" s="84"/>
      <c r="V307" s="65" t="str">
        <f t="shared" si="105"/>
        <v/>
      </c>
      <c r="W307" s="108"/>
      <c r="X307" s="108"/>
      <c r="Y307" s="108"/>
      <c r="Z307" s="110" t="str">
        <f t="shared" si="106"/>
        <v/>
      </c>
      <c r="AA307" s="199">
        <f>IF(ISERROR('Berechnungen 2'!AR510),"",'Berechnungen 2'!AR510)</f>
        <v>0</v>
      </c>
      <c r="AB307" s="200">
        <f>IF(ISERROR('Berechnungen 2'!AS510),"",'Berechnungen 2'!AS510)</f>
        <v>0</v>
      </c>
      <c r="AC307" s="200">
        <f>IF(ISERROR('Berechnungen 2'!AT510),"",'Berechnungen 2'!AT510)</f>
        <v>0</v>
      </c>
      <c r="AD307" s="199">
        <f>IF(ISERROR('Berechnungen 2'!BE510),"",'Berechnungen 2'!BE510)</f>
        <v>0</v>
      </c>
      <c r="AE307" s="200">
        <f>IF(ISERROR('Berechnungen 2'!BF510),"",'Berechnungen 2'!BF510)</f>
        <v>0</v>
      </c>
      <c r="AF307" s="200">
        <f>IF(ISERROR('Berechnungen 2'!BG510),"",'Berechnungen 2'!BG510)</f>
        <v>0</v>
      </c>
      <c r="AG307" s="199" t="str">
        <f>IF(ISNUMBER(A307),IF(ISERROR('Berechnungen 2'!BK510),"",'Berechnungen 2'!BK510),"")</f>
        <v/>
      </c>
      <c r="AH307" s="200">
        <f>IF(ISERROR('Berechnungen 2'!BL510),"",'Berechnungen 2'!BL510)</f>
        <v>0</v>
      </c>
      <c r="AI307" s="200">
        <f>IF(ISERROR('Berechnungen 2'!BM510),"",'Berechnungen 2'!BM510)</f>
        <v>0</v>
      </c>
    </row>
    <row r="308" spans="1:35" x14ac:dyDescent="0.2">
      <c r="A308" s="71" t="str">
        <f t="shared" si="91"/>
        <v/>
      </c>
      <c r="B308" s="193">
        <f t="shared" si="92"/>
        <v>296</v>
      </c>
      <c r="C308" s="192">
        <f ca="1">IF(ISERROR(LARGE('Berechnungen 1'!$A$12:$A$311,B308)),"",LARGE('Berechnungen 1'!$A$12:$A$311,B308))</f>
        <v>5</v>
      </c>
      <c r="D308" s="76" t="str">
        <f t="shared" si="95"/>
        <v/>
      </c>
      <c r="E308" s="76" t="str">
        <f t="shared" si="95"/>
        <v/>
      </c>
      <c r="F308" s="155" t="str">
        <f t="shared" si="97"/>
        <v/>
      </c>
      <c r="G308" s="204" t="str">
        <f t="shared" si="98"/>
        <v/>
      </c>
      <c r="H308" s="156" t="str">
        <f t="shared" si="99"/>
        <v/>
      </c>
      <c r="I308" s="155" t="str">
        <f t="shared" si="100"/>
        <v/>
      </c>
      <c r="J308" s="184">
        <f t="shared" ca="1" si="101"/>
        <v>999999</v>
      </c>
      <c r="K308" s="184">
        <f>IF(OR(ISBLANK('Etape 1'!E303),ISBLANK('Etape 1'!F303)),IF(AND(ISBLANK('Etape 1'!B303),ISBLANK('Etape 1'!C303),ISBLANK('Etape 1'!D303),ISBLANK('Etape 1'!E303),ISBLANK('Etape 1'!F303),ISBLANK('Etape 1'!G303),ISBLANK('Etape 1'!H303)),999,9999),IF(VLOOKUP($C308,Matrix_Berechnungen1.Rang.Pumpendaten.Zwischenresultate,$C$9,0)&gt;0,VLOOKUP($C308,Matrix_Berechnungen1.Rang.Pumpendaten.Zwischenresultate,K$9,0),""))</f>
        <v>999</v>
      </c>
      <c r="L308" s="184">
        <f t="shared" ca="1" si="96"/>
        <v>296</v>
      </c>
      <c r="M308" s="184">
        <f t="shared" ca="1" si="96"/>
        <v>0</v>
      </c>
      <c r="N308" s="84"/>
      <c r="O308" s="84"/>
      <c r="P308" s="84"/>
      <c r="Q308" s="69" t="str">
        <f t="shared" si="102"/>
        <v/>
      </c>
      <c r="R308" s="84"/>
      <c r="S308" s="65" t="str">
        <f t="shared" si="103"/>
        <v/>
      </c>
      <c r="T308" s="69" t="str">
        <f t="shared" si="104"/>
        <v/>
      </c>
      <c r="U308" s="84"/>
      <c r="V308" s="65" t="str">
        <f t="shared" si="105"/>
        <v/>
      </c>
      <c r="W308" s="108"/>
      <c r="X308" s="108"/>
      <c r="Y308" s="108"/>
      <c r="Z308" s="110" t="str">
        <f t="shared" si="106"/>
        <v/>
      </c>
      <c r="AA308" s="199">
        <f>IF(ISERROR('Berechnungen 2'!AR511),"",'Berechnungen 2'!AR511)</f>
        <v>0</v>
      </c>
      <c r="AB308" s="200">
        <f>IF(ISERROR('Berechnungen 2'!AS511),"",'Berechnungen 2'!AS511)</f>
        <v>0</v>
      </c>
      <c r="AC308" s="200">
        <f>IF(ISERROR('Berechnungen 2'!AT511),"",'Berechnungen 2'!AT511)</f>
        <v>0</v>
      </c>
      <c r="AD308" s="199">
        <f>IF(ISERROR('Berechnungen 2'!BE511),"",'Berechnungen 2'!BE511)</f>
        <v>0</v>
      </c>
      <c r="AE308" s="200">
        <f>IF(ISERROR('Berechnungen 2'!BF511),"",'Berechnungen 2'!BF511)</f>
        <v>0</v>
      </c>
      <c r="AF308" s="200">
        <f>IF(ISERROR('Berechnungen 2'!BG511),"",'Berechnungen 2'!BG511)</f>
        <v>0</v>
      </c>
      <c r="AG308" s="199" t="str">
        <f>IF(ISNUMBER(A308),IF(ISERROR('Berechnungen 2'!BK511),"",'Berechnungen 2'!BK511),"")</f>
        <v/>
      </c>
      <c r="AH308" s="200">
        <f>IF(ISERROR('Berechnungen 2'!BL511),"",'Berechnungen 2'!BL511)</f>
        <v>0</v>
      </c>
      <c r="AI308" s="200">
        <f>IF(ISERROR('Berechnungen 2'!BM511),"",'Berechnungen 2'!BM511)</f>
        <v>0</v>
      </c>
    </row>
    <row r="309" spans="1:35" x14ac:dyDescent="0.2">
      <c r="A309" s="71" t="str">
        <f t="shared" si="91"/>
        <v/>
      </c>
      <c r="B309" s="193">
        <f t="shared" si="92"/>
        <v>297</v>
      </c>
      <c r="C309" s="192">
        <f ca="1">IF(ISERROR(LARGE('Berechnungen 1'!$A$12:$A$311,B309)),"",LARGE('Berechnungen 1'!$A$12:$A$311,B309))</f>
        <v>4</v>
      </c>
      <c r="D309" s="76" t="str">
        <f t="shared" si="95"/>
        <v/>
      </c>
      <c r="E309" s="76" t="str">
        <f t="shared" si="95"/>
        <v/>
      </c>
      <c r="F309" s="155" t="str">
        <f t="shared" si="97"/>
        <v/>
      </c>
      <c r="G309" s="204" t="str">
        <f t="shared" si="98"/>
        <v/>
      </c>
      <c r="H309" s="156" t="str">
        <f t="shared" si="99"/>
        <v/>
      </c>
      <c r="I309" s="155" t="str">
        <f t="shared" si="100"/>
        <v/>
      </c>
      <c r="J309" s="184">
        <f t="shared" ca="1" si="101"/>
        <v>999999</v>
      </c>
      <c r="K309" s="184">
        <f>IF(OR(ISBLANK('Etape 1'!E304),ISBLANK('Etape 1'!F304)),IF(AND(ISBLANK('Etape 1'!B304),ISBLANK('Etape 1'!C304),ISBLANK('Etape 1'!D304),ISBLANK('Etape 1'!E304),ISBLANK('Etape 1'!F304),ISBLANK('Etape 1'!G304),ISBLANK('Etape 1'!H304)),999,9999),IF(VLOOKUP($C309,Matrix_Berechnungen1.Rang.Pumpendaten.Zwischenresultate,$C$9,0)&gt;0,VLOOKUP($C309,Matrix_Berechnungen1.Rang.Pumpendaten.Zwischenresultate,K$9,0),""))</f>
        <v>999</v>
      </c>
      <c r="L309" s="184">
        <f t="shared" ca="1" si="96"/>
        <v>297</v>
      </c>
      <c r="M309" s="184">
        <f t="shared" ca="1" si="96"/>
        <v>0</v>
      </c>
      <c r="N309" s="84"/>
      <c r="O309" s="84"/>
      <c r="P309" s="84"/>
      <c r="Q309" s="69" t="str">
        <f t="shared" si="102"/>
        <v/>
      </c>
      <c r="R309" s="84"/>
      <c r="S309" s="65" t="str">
        <f t="shared" si="103"/>
        <v/>
      </c>
      <c r="T309" s="69" t="str">
        <f t="shared" si="104"/>
        <v/>
      </c>
      <c r="U309" s="84"/>
      <c r="V309" s="65" t="str">
        <f t="shared" si="105"/>
        <v/>
      </c>
      <c r="W309" s="108"/>
      <c r="X309" s="108"/>
      <c r="Y309" s="108"/>
      <c r="Z309" s="110" t="str">
        <f t="shared" si="106"/>
        <v/>
      </c>
      <c r="AA309" s="199">
        <f>IF(ISERROR('Berechnungen 2'!AR512),"",'Berechnungen 2'!AR512)</f>
        <v>0</v>
      </c>
      <c r="AB309" s="200">
        <f>IF(ISERROR('Berechnungen 2'!AS512),"",'Berechnungen 2'!AS512)</f>
        <v>0</v>
      </c>
      <c r="AC309" s="200">
        <f>IF(ISERROR('Berechnungen 2'!AT512),"",'Berechnungen 2'!AT512)</f>
        <v>0</v>
      </c>
      <c r="AD309" s="199">
        <f>IF(ISERROR('Berechnungen 2'!BE512),"",'Berechnungen 2'!BE512)</f>
        <v>0</v>
      </c>
      <c r="AE309" s="200">
        <f>IF(ISERROR('Berechnungen 2'!BF512),"",'Berechnungen 2'!BF512)</f>
        <v>0</v>
      </c>
      <c r="AF309" s="200">
        <f>IF(ISERROR('Berechnungen 2'!BG512),"",'Berechnungen 2'!BG512)</f>
        <v>0</v>
      </c>
      <c r="AG309" s="199" t="str">
        <f>IF(ISNUMBER(A309),IF(ISERROR('Berechnungen 2'!BK512),"",'Berechnungen 2'!BK512),"")</f>
        <v/>
      </c>
      <c r="AH309" s="200">
        <f>IF(ISERROR('Berechnungen 2'!BL512),"",'Berechnungen 2'!BL512)</f>
        <v>0</v>
      </c>
      <c r="AI309" s="200">
        <f>IF(ISERROR('Berechnungen 2'!BM512),"",'Berechnungen 2'!BM512)</f>
        <v>0</v>
      </c>
    </row>
    <row r="310" spans="1:35" x14ac:dyDescent="0.2">
      <c r="A310" s="71" t="str">
        <f t="shared" si="91"/>
        <v/>
      </c>
      <c r="B310" s="193">
        <f t="shared" si="92"/>
        <v>298</v>
      </c>
      <c r="C310" s="192">
        <f ca="1">IF(ISERROR(LARGE('Berechnungen 1'!$A$12:$A$311,B310)),"",LARGE('Berechnungen 1'!$A$12:$A$311,B310))</f>
        <v>3</v>
      </c>
      <c r="D310" s="76" t="str">
        <f t="shared" si="95"/>
        <v/>
      </c>
      <c r="E310" s="76" t="str">
        <f t="shared" si="95"/>
        <v/>
      </c>
      <c r="F310" s="155" t="str">
        <f t="shared" si="97"/>
        <v/>
      </c>
      <c r="G310" s="204" t="str">
        <f t="shared" si="98"/>
        <v/>
      </c>
      <c r="H310" s="156" t="str">
        <f t="shared" si="99"/>
        <v/>
      </c>
      <c r="I310" s="155" t="str">
        <f t="shared" si="100"/>
        <v/>
      </c>
      <c r="J310" s="184">
        <f t="shared" ca="1" si="101"/>
        <v>999999</v>
      </c>
      <c r="K310" s="184">
        <f>IF(OR(ISBLANK('Etape 1'!E305),ISBLANK('Etape 1'!F305)),IF(AND(ISBLANK('Etape 1'!B305),ISBLANK('Etape 1'!C305),ISBLANK('Etape 1'!D305),ISBLANK('Etape 1'!E305),ISBLANK('Etape 1'!F305),ISBLANK('Etape 1'!G305),ISBLANK('Etape 1'!H305)),999,9999),IF(VLOOKUP($C310,Matrix_Berechnungen1.Rang.Pumpendaten.Zwischenresultate,$C$9,0)&gt;0,VLOOKUP($C310,Matrix_Berechnungen1.Rang.Pumpendaten.Zwischenresultate,K$9,0),""))</f>
        <v>999</v>
      </c>
      <c r="L310" s="184">
        <f t="shared" ca="1" si="96"/>
        <v>298</v>
      </c>
      <c r="M310" s="184">
        <f t="shared" ca="1" si="96"/>
        <v>0</v>
      </c>
      <c r="N310" s="84"/>
      <c r="O310" s="84"/>
      <c r="P310" s="84"/>
      <c r="Q310" s="69" t="str">
        <f t="shared" si="102"/>
        <v/>
      </c>
      <c r="R310" s="84"/>
      <c r="S310" s="65" t="str">
        <f t="shared" si="103"/>
        <v/>
      </c>
      <c r="T310" s="69" t="str">
        <f t="shared" si="104"/>
        <v/>
      </c>
      <c r="U310" s="84"/>
      <c r="V310" s="65" t="str">
        <f t="shared" si="105"/>
        <v/>
      </c>
      <c r="W310" s="108"/>
      <c r="X310" s="108"/>
      <c r="Y310" s="108"/>
      <c r="Z310" s="110" t="str">
        <f t="shared" si="106"/>
        <v/>
      </c>
      <c r="AA310" s="199">
        <f>IF(ISERROR('Berechnungen 2'!AR513),"",'Berechnungen 2'!AR513)</f>
        <v>0</v>
      </c>
      <c r="AB310" s="200">
        <f>IF(ISERROR('Berechnungen 2'!AS513),"",'Berechnungen 2'!AS513)</f>
        <v>0</v>
      </c>
      <c r="AC310" s="200">
        <f>IF(ISERROR('Berechnungen 2'!AT513),"",'Berechnungen 2'!AT513)</f>
        <v>0</v>
      </c>
      <c r="AD310" s="199">
        <f>IF(ISERROR('Berechnungen 2'!BE513),"",'Berechnungen 2'!BE513)</f>
        <v>0</v>
      </c>
      <c r="AE310" s="200">
        <f>IF(ISERROR('Berechnungen 2'!BF513),"",'Berechnungen 2'!BF513)</f>
        <v>0</v>
      </c>
      <c r="AF310" s="200">
        <f>IF(ISERROR('Berechnungen 2'!BG513),"",'Berechnungen 2'!BG513)</f>
        <v>0</v>
      </c>
      <c r="AG310" s="199" t="str">
        <f>IF(ISNUMBER(A310),IF(ISERROR('Berechnungen 2'!BK513),"",'Berechnungen 2'!BK513),"")</f>
        <v/>
      </c>
      <c r="AH310" s="200">
        <f>IF(ISERROR('Berechnungen 2'!BL513),"",'Berechnungen 2'!BL513)</f>
        <v>0</v>
      </c>
      <c r="AI310" s="200">
        <f>IF(ISERROR('Berechnungen 2'!BM513),"",'Berechnungen 2'!BM513)</f>
        <v>0</v>
      </c>
    </row>
    <row r="311" spans="1:35" x14ac:dyDescent="0.2">
      <c r="A311" s="71" t="str">
        <f t="shared" si="91"/>
        <v/>
      </c>
      <c r="B311" s="193">
        <f t="shared" si="92"/>
        <v>299</v>
      </c>
      <c r="C311" s="192">
        <f ca="1">IF(ISERROR(LARGE('Berechnungen 1'!$A$12:$A$311,B311)),"",LARGE('Berechnungen 1'!$A$12:$A$311,B311))</f>
        <v>2</v>
      </c>
      <c r="D311" s="76" t="str">
        <f t="shared" si="95"/>
        <v/>
      </c>
      <c r="E311" s="76" t="str">
        <f t="shared" si="95"/>
        <v/>
      </c>
      <c r="F311" s="155" t="str">
        <f t="shared" si="97"/>
        <v/>
      </c>
      <c r="G311" s="204" t="str">
        <f t="shared" si="98"/>
        <v/>
      </c>
      <c r="H311" s="156" t="str">
        <f t="shared" si="99"/>
        <v/>
      </c>
      <c r="I311" s="155" t="str">
        <f t="shared" si="100"/>
        <v/>
      </c>
      <c r="J311" s="184">
        <f t="shared" ca="1" si="101"/>
        <v>999999</v>
      </c>
      <c r="K311" s="184">
        <f>IF(OR(ISBLANK('Etape 1'!E306),ISBLANK('Etape 1'!F306)),IF(AND(ISBLANK('Etape 1'!B306),ISBLANK('Etape 1'!C306),ISBLANK('Etape 1'!D306),ISBLANK('Etape 1'!E306),ISBLANK('Etape 1'!F306),ISBLANK('Etape 1'!G306),ISBLANK('Etape 1'!H306)),999,9999),IF(VLOOKUP($C311,Matrix_Berechnungen1.Rang.Pumpendaten.Zwischenresultate,$C$9,0)&gt;0,VLOOKUP($C311,Matrix_Berechnungen1.Rang.Pumpendaten.Zwischenresultate,K$9,0),""))</f>
        <v>999</v>
      </c>
      <c r="L311" s="184">
        <f t="shared" ca="1" si="96"/>
        <v>299</v>
      </c>
      <c r="M311" s="184">
        <f t="shared" ca="1" si="96"/>
        <v>0</v>
      </c>
      <c r="N311" s="84"/>
      <c r="O311" s="84"/>
      <c r="P311" s="84"/>
      <c r="Q311" s="69" t="str">
        <f t="shared" si="102"/>
        <v/>
      </c>
      <c r="R311" s="84"/>
      <c r="S311" s="65" t="str">
        <f t="shared" si="103"/>
        <v/>
      </c>
      <c r="T311" s="69" t="str">
        <f t="shared" si="104"/>
        <v/>
      </c>
      <c r="U311" s="84"/>
      <c r="V311" s="65" t="str">
        <f t="shared" si="105"/>
        <v/>
      </c>
      <c r="W311" s="108"/>
      <c r="X311" s="108"/>
      <c r="Y311" s="108"/>
      <c r="Z311" s="110" t="str">
        <f t="shared" si="106"/>
        <v/>
      </c>
      <c r="AA311" s="199">
        <f>IF(ISERROR('Berechnungen 2'!AR514),"",'Berechnungen 2'!AR514)</f>
        <v>0</v>
      </c>
      <c r="AB311" s="200">
        <f>IF(ISERROR('Berechnungen 2'!AS514),"",'Berechnungen 2'!AS514)</f>
        <v>0</v>
      </c>
      <c r="AC311" s="200">
        <f>IF(ISERROR('Berechnungen 2'!AT514),"",'Berechnungen 2'!AT514)</f>
        <v>0</v>
      </c>
      <c r="AD311" s="199">
        <f>IF(ISERROR('Berechnungen 2'!BE514),"",'Berechnungen 2'!BE514)</f>
        <v>0</v>
      </c>
      <c r="AE311" s="200">
        <f>IF(ISERROR('Berechnungen 2'!BF514),"",'Berechnungen 2'!BF514)</f>
        <v>0</v>
      </c>
      <c r="AF311" s="200">
        <f>IF(ISERROR('Berechnungen 2'!BG514),"",'Berechnungen 2'!BG514)</f>
        <v>0</v>
      </c>
      <c r="AG311" s="199" t="str">
        <f>IF(ISNUMBER(A311),IF(ISERROR('Berechnungen 2'!BK514),"",'Berechnungen 2'!BK514),"")</f>
        <v/>
      </c>
      <c r="AH311" s="200">
        <f>IF(ISERROR('Berechnungen 2'!BL514),"",'Berechnungen 2'!BL514)</f>
        <v>0</v>
      </c>
      <c r="AI311" s="200">
        <f>IF(ISERROR('Berechnungen 2'!BM514),"",'Berechnungen 2'!BM514)</f>
        <v>0</v>
      </c>
    </row>
    <row r="312" spans="1:35" x14ac:dyDescent="0.2">
      <c r="A312" s="71" t="str">
        <f t="shared" si="91"/>
        <v/>
      </c>
      <c r="B312" s="193">
        <f t="shared" si="92"/>
        <v>300</v>
      </c>
      <c r="C312" s="192">
        <f ca="1">IF(ISERROR(LARGE('Berechnungen 1'!$A$12:$A$311,B312)),"",LARGE('Berechnungen 1'!$A$12:$A$311,B312))</f>
        <v>1</v>
      </c>
      <c r="D312" s="76" t="str">
        <f t="shared" si="95"/>
        <v/>
      </c>
      <c r="E312" s="76" t="str">
        <f t="shared" si="95"/>
        <v/>
      </c>
      <c r="F312" s="155" t="str">
        <f t="shared" si="97"/>
        <v/>
      </c>
      <c r="G312" s="204" t="str">
        <f t="shared" si="98"/>
        <v/>
      </c>
      <c r="H312" s="156" t="str">
        <f t="shared" si="99"/>
        <v/>
      </c>
      <c r="I312" s="155" t="str">
        <f t="shared" si="100"/>
        <v/>
      </c>
      <c r="J312" s="184">
        <f t="shared" ca="1" si="101"/>
        <v>999999</v>
      </c>
      <c r="K312" s="184">
        <f>IF(OR(ISBLANK('Etape 1'!E307),ISBLANK('Etape 1'!F307)),IF(AND(ISBLANK('Etape 1'!B307),ISBLANK('Etape 1'!C307),ISBLANK('Etape 1'!D307),ISBLANK('Etape 1'!E307),ISBLANK('Etape 1'!F307),ISBLANK('Etape 1'!G307),ISBLANK('Etape 1'!H307)),999,9999),IF(VLOOKUP($C312,Matrix_Berechnungen1.Rang.Pumpendaten.Zwischenresultate,$C$9,0)&gt;0,VLOOKUP($C312,Matrix_Berechnungen1.Rang.Pumpendaten.Zwischenresultate,K$9,0),""))</f>
        <v>999</v>
      </c>
      <c r="L312" s="184">
        <f t="shared" ca="1" si="96"/>
        <v>300</v>
      </c>
      <c r="M312" s="184">
        <f t="shared" ca="1" si="96"/>
        <v>0</v>
      </c>
      <c r="N312" s="84"/>
      <c r="O312" s="84"/>
      <c r="P312" s="84"/>
      <c r="Q312" s="69" t="str">
        <f t="shared" si="102"/>
        <v/>
      </c>
      <c r="R312" s="84"/>
      <c r="S312" s="65" t="str">
        <f t="shared" si="103"/>
        <v/>
      </c>
      <c r="T312" s="69" t="str">
        <f t="shared" si="104"/>
        <v/>
      </c>
      <c r="U312" s="84"/>
      <c r="V312" s="65" t="str">
        <f t="shared" si="105"/>
        <v/>
      </c>
      <c r="W312" s="108"/>
      <c r="X312" s="108"/>
      <c r="Y312" s="108"/>
      <c r="Z312" s="110" t="str">
        <f t="shared" si="106"/>
        <v/>
      </c>
      <c r="AA312" s="199">
        <f>IF(ISERROR('Berechnungen 2'!AR515),"",'Berechnungen 2'!AR515)</f>
        <v>0</v>
      </c>
      <c r="AB312" s="200">
        <f>IF(ISERROR('Berechnungen 2'!AS515),"",'Berechnungen 2'!AS515)</f>
        <v>0</v>
      </c>
      <c r="AC312" s="200">
        <f>IF(ISERROR('Berechnungen 2'!AT515),"",'Berechnungen 2'!AT515)</f>
        <v>0</v>
      </c>
      <c r="AD312" s="199">
        <f>IF(ISERROR('Berechnungen 2'!BE515),"",'Berechnungen 2'!BE515)</f>
        <v>0</v>
      </c>
      <c r="AE312" s="200">
        <f>IF(ISERROR('Berechnungen 2'!BF515),"",'Berechnungen 2'!BF515)</f>
        <v>0</v>
      </c>
      <c r="AF312" s="200">
        <f>IF(ISERROR('Berechnungen 2'!BG515),"",'Berechnungen 2'!BG515)</f>
        <v>0</v>
      </c>
      <c r="AG312" s="199" t="str">
        <f>IF(ISNUMBER(A312),IF(ISERROR('Berechnungen 2'!BK515),"",'Berechnungen 2'!BK515),"")</f>
        <v/>
      </c>
      <c r="AH312" s="200">
        <f>IF(ISERROR('Berechnungen 2'!BL515),"",'Berechnungen 2'!BL515)</f>
        <v>0</v>
      </c>
      <c r="AI312" s="200">
        <f>IF(ISERROR('Berechnungen 2'!BM515),"",'Berechnungen 2'!BM515)</f>
        <v>0</v>
      </c>
    </row>
    <row r="313" spans="1:35" s="5" customFormat="1" x14ac:dyDescent="0.2">
      <c r="B313" s="185"/>
      <c r="C313" s="185"/>
      <c r="J313" s="185"/>
      <c r="K313" s="185"/>
      <c r="L313" s="185"/>
      <c r="M313" s="185"/>
    </row>
  </sheetData>
  <sheetProtection password="9982" sheet="1" objects="1" scenarios="1" selectLockedCells="1"/>
  <dataConsolidate/>
  <mergeCells count="10">
    <mergeCell ref="AG11:AI11"/>
    <mergeCell ref="AA10:AI10"/>
    <mergeCell ref="Q11:S11"/>
    <mergeCell ref="Q10:V10"/>
    <mergeCell ref="T11:V11"/>
    <mergeCell ref="O2:Z2"/>
    <mergeCell ref="N10:P10"/>
    <mergeCell ref="W10:Z10"/>
    <mergeCell ref="AA11:AC11"/>
    <mergeCell ref="AD11:AF11"/>
  </mergeCells>
  <phoneticPr fontId="16" type="noConversion"/>
  <conditionalFormatting sqref="A13:I312">
    <cfRule type="expression" dxfId="22" priority="4">
      <formula>$K13=9999</formula>
    </cfRule>
    <cfRule type="expression" dxfId="21" priority="6">
      <formula>$K13=2</formula>
    </cfRule>
    <cfRule type="expression" dxfId="20" priority="16">
      <formula>$K13=1</formula>
    </cfRule>
  </conditionalFormatting>
  <conditionalFormatting sqref="W13:Y312 N13:P312">
    <cfRule type="expression" dxfId="19" priority="14">
      <formula>ISNUMBER($A13)</formula>
    </cfRule>
  </conditionalFormatting>
  <conditionalFormatting sqref="R13:R312">
    <cfRule type="expression" dxfId="18" priority="11">
      <formula>ISNUMBER($A13)</formula>
    </cfRule>
  </conditionalFormatting>
  <conditionalFormatting sqref="U13:U312">
    <cfRule type="expression" dxfId="17" priority="9">
      <formula>ISNUMBER($A13)</formula>
    </cfRule>
  </conditionalFormatting>
  <conditionalFormatting sqref="Z13:Z312">
    <cfRule type="iconSet" priority="7">
      <iconSet iconSet="3Symbols2">
        <cfvo type="percent" val="0"/>
        <cfvo type="num" val="0"/>
        <cfvo type="num" val="0"/>
      </iconSet>
    </cfRule>
  </conditionalFormatting>
  <conditionalFormatting sqref="A13:AI312">
    <cfRule type="expression" dxfId="16" priority="5">
      <formula>$K13=0</formula>
    </cfRule>
  </conditionalFormatting>
  <conditionalFormatting sqref="A10:G10">
    <cfRule type="expression" dxfId="15" priority="3">
      <formula>$K$10=9999</formula>
    </cfRule>
  </conditionalFormatting>
  <conditionalFormatting sqref="D13:AI312">
    <cfRule type="expression" dxfId="14" priority="2">
      <formula>$K13=0</formula>
    </cfRule>
  </conditionalFormatting>
  <conditionalFormatting sqref="AB13:AI312">
    <cfRule type="expression" dxfId="13" priority="1">
      <formula>$K13=9999</formula>
    </cfRule>
  </conditionalFormatting>
  <dataValidations count="7">
    <dataValidation type="list" allowBlank="1" showInputMessage="1" showErrorMessage="1" errorTitle="Kreislauf offen / geschlossen" error="Für den Kreislauf können nur die Werte des Dropdown-Menüs (&quot;offen&quot; oder &quot;geschlossen&quot;) eingegeben werden._x000a_Der Wert kann auch leer gelassen werden (falls nicht bekannt)." sqref="N13:N312">
      <formula1>Liste.Dropdown_Kreislauf.offen.geschlossen</formula1>
    </dataValidation>
    <dataValidation type="list" allowBlank="1" showInputMessage="1" showErrorMessage="1" sqref="O13:O312">
      <formula1>Liste.Dropdown_Bedarf.variabel.kst</formula1>
    </dataValidation>
    <dataValidation type="list" allowBlank="1" showInputMessage="1" showErrorMessage="1" sqref="P13:P312">
      <formula1>Liste.Dropdown_Regulierungsart</formula1>
    </dataValidation>
    <dataValidation type="list" allowBlank="1" showInputMessage="1" showErrorMessage="1" sqref="U13:U312">
      <formula1>Liste.Dropdown_Motor.Effizienzklassen</formula1>
    </dataValidation>
    <dataValidation type="list" allowBlank="1" showInputMessage="1" showErrorMessage="1" sqref="R13:R312">
      <formula1>"2,4,6"</formula1>
    </dataValidation>
    <dataValidation type="whole" allowBlank="1" showInputMessage="1" showErrorMessage="1" errorTitle="Anzahl Stunden pro Jahr" error="Der Wert muss zwischen 0 und 8'760 liegen." sqref="W13:Y312">
      <formula1>0</formula1>
      <formula2>8760</formula2>
    </dataValidation>
    <dataValidation type="list" allowBlank="1" showInputMessage="1" showErrorMessage="1" sqref="E8">
      <formula1>Liste.Dropdown_Sortiervariante</formula1>
    </dataValidation>
  </dataValidations>
  <pageMargins left="0.51181102362204722" right="0.51181102362204722" top="0.39370078740157483" bottom="0.31496062992125984" header="0.31496062992125984" footer="0.23622047244094491"/>
  <pageSetup paperSize="9" scale="77" pageOrder="overThenDown" orientation="landscape" r:id="rId1"/>
  <colBreaks count="1" manualBreakCount="1">
    <brk id="26" max="1048575" man="1"/>
  </colBreaks>
  <ignoredErrors>
    <ignoredError sqref="Z13:Z110" unlockedFormula="1"/>
  </ignoredErrors>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AE313"/>
  <sheetViews>
    <sheetView showGridLines="0" zoomScaleNormal="100" zoomScalePageLayoutView="110" workbookViewId="0">
      <pane xSplit="9" ySplit="12" topLeftCell="J13" activePane="bottomRight" state="frozen"/>
      <selection activeCell="A7" sqref="A7"/>
      <selection pane="topRight" activeCell="A7" sqref="A7"/>
      <selection pane="bottomLeft" activeCell="A7" sqref="A7"/>
      <selection pane="bottomRight" activeCell="E8" sqref="E8"/>
    </sheetView>
  </sheetViews>
  <sheetFormatPr baseColWidth="10" defaultColWidth="10.75" defaultRowHeight="14.25" x14ac:dyDescent="0.2"/>
  <cols>
    <col min="1" max="1" width="3.375" style="2" customWidth="1"/>
    <col min="2" max="3" width="4.75" style="185" hidden="1" customWidth="1"/>
    <col min="4" max="5" width="23.375" style="2" customWidth="1"/>
    <col min="6" max="6" width="13.125" style="2" customWidth="1"/>
    <col min="7" max="8" width="5.375" style="2" customWidth="1"/>
    <col min="9" max="9" width="5.75" style="2" customWidth="1"/>
    <col min="10" max="10" width="8.25" style="2" customWidth="1"/>
    <col min="11" max="11" width="7.25" style="2" customWidth="1"/>
    <col min="12" max="12" width="8.25" style="2" customWidth="1"/>
    <col min="13" max="13" width="7.25" style="2" customWidth="1"/>
    <col min="14" max="14" width="9.375" style="2" customWidth="1"/>
    <col min="15" max="15" width="8.25" style="2" customWidth="1"/>
    <col min="16" max="16" width="5.875" style="2" customWidth="1"/>
    <col min="17" max="17" width="8.875" style="2" customWidth="1"/>
    <col min="18" max="18" width="8" style="2" customWidth="1"/>
    <col min="19" max="20" width="29.75" style="2" customWidth="1"/>
    <col min="26" max="26" width="13.375" style="307" customWidth="1"/>
    <col min="27" max="27" width="11.375" style="307" customWidth="1"/>
    <col min="28" max="28" width="29.75" style="307" customWidth="1"/>
    <col min="29" max="31" width="9.375" style="307" customWidth="1"/>
    <col min="32" max="16384" width="10.75" style="2"/>
  </cols>
  <sheetData>
    <row r="1" spans="1:31" ht="18" x14ac:dyDescent="0.25">
      <c r="A1" s="1" t="str">
        <f>Sprachen!C69</f>
        <v>Outil d'analyse grossière ProEPA - installations de pompage efficaces (énergie)</v>
      </c>
      <c r="C1" s="186"/>
      <c r="S1" s="141" t="str">
        <f>'Etape 1'!I1</f>
        <v>Version 1.4.03, 2017-03-27</v>
      </c>
      <c r="T1" s="141"/>
    </row>
    <row r="2" spans="1:31" ht="15.75" x14ac:dyDescent="0.25">
      <c r="A2" s="3" t="str">
        <f>Sprachen!C70</f>
        <v>Résultats détaillés</v>
      </c>
      <c r="C2" s="187"/>
      <c r="K2" s="422" t="str">
        <f>IF(ISBLANK(Txt_Firma.Name.etc),"",Txt_Firma.Name.etc)</f>
        <v>Muster AG, Pumpenstrasse 1, 9999 Musterdorf</v>
      </c>
      <c r="L2" s="422"/>
      <c r="M2" s="422"/>
      <c r="N2" s="422"/>
      <c r="O2" s="422"/>
      <c r="P2" s="422"/>
      <c r="Q2" s="422"/>
      <c r="R2" s="422"/>
      <c r="S2" s="422"/>
      <c r="T2" s="297"/>
    </row>
    <row r="3" spans="1:31" ht="2.4500000000000002" customHeight="1" x14ac:dyDescent="0.2">
      <c r="S3" s="16"/>
      <c r="T3" s="16"/>
    </row>
    <row r="4" spans="1:31" x14ac:dyDescent="0.2">
      <c r="A4" s="16" t="str">
        <f>Sprachen!C71</f>
        <v>Dans la présente feuille de calcul, le potentiel d'économie estimé est indiqué et commenté pour chaque</v>
      </c>
      <c r="D4" s="16"/>
      <c r="E4" s="16"/>
      <c r="F4" s="16"/>
      <c r="G4" s="16"/>
      <c r="H4" s="16"/>
      <c r="I4" s="16"/>
      <c r="S4" s="16"/>
      <c r="T4" s="16"/>
    </row>
    <row r="5" spans="1:31" x14ac:dyDescent="0.2">
      <c r="A5" s="16" t="str">
        <f>Sprachen!C72</f>
        <v>installation de pompage sélectionnée dans l'étape 1.</v>
      </c>
      <c r="D5" s="16"/>
      <c r="E5" s="16"/>
      <c r="F5" s="16"/>
      <c r="G5" s="16"/>
      <c r="H5" s="16"/>
      <c r="I5" s="16"/>
      <c r="S5" s="16"/>
      <c r="T5" s="16"/>
    </row>
    <row r="6" spans="1:31" s="62" customFormat="1" ht="2.4500000000000002" customHeight="1" x14ac:dyDescent="0.2">
      <c r="A6" s="94"/>
      <c r="B6" s="188"/>
      <c r="C6" s="188"/>
      <c r="D6" s="94"/>
      <c r="E6" s="94"/>
      <c r="F6" s="94"/>
      <c r="G6" s="94"/>
      <c r="H6" s="94"/>
      <c r="I6" s="94"/>
      <c r="J6" s="94"/>
      <c r="K6" s="94"/>
      <c r="L6" s="94"/>
      <c r="M6" s="94"/>
      <c r="N6" s="94"/>
      <c r="O6" s="94"/>
      <c r="P6" s="94"/>
      <c r="S6" s="225"/>
      <c r="T6" s="225"/>
      <c r="Z6" s="307"/>
      <c r="AA6" s="307"/>
      <c r="AB6" s="307"/>
      <c r="AC6" s="307"/>
      <c r="AD6" s="307"/>
      <c r="AE6" s="307"/>
    </row>
    <row r="7" spans="1:31" x14ac:dyDescent="0.2">
      <c r="A7" s="16"/>
      <c r="D7" s="145" t="str">
        <f>Sprachen!C73</f>
        <v>Prix du courant:</v>
      </c>
      <c r="E7" s="2">
        <f>Preis_Strom.Schritt2</f>
        <v>16</v>
      </c>
      <c r="F7" s="2" t="str">
        <f>Sprachen!C74</f>
        <v>Rp/kWh</v>
      </c>
      <c r="G7" s="16"/>
      <c r="H7" s="16"/>
      <c r="I7" s="16"/>
      <c r="S7" s="16"/>
      <c r="T7" s="16"/>
    </row>
    <row r="8" spans="1:31" x14ac:dyDescent="0.2">
      <c r="D8" s="146" t="str">
        <f>Sprachen!C75</f>
        <v>Trier selon:</v>
      </c>
      <c r="E8" s="220" t="s">
        <v>333</v>
      </c>
      <c r="F8" s="94" t="str">
        <f ca="1">VLOOKUP(E8,Matrix_Uebersetzung,2,FALSE)</f>
        <v>Puissance nominale</v>
      </c>
      <c r="S8" s="16"/>
      <c r="T8" s="16"/>
      <c r="Z8" s="303"/>
      <c r="AA8" s="303"/>
      <c r="AB8" s="303"/>
      <c r="AC8" s="303"/>
      <c r="AD8" s="303"/>
      <c r="AE8" s="303"/>
    </row>
    <row r="9" spans="1:31" s="62" customFormat="1" ht="2.4500000000000002" customHeight="1" x14ac:dyDescent="0.2">
      <c r="A9" s="94">
        <f>'Berechnungen 2'!N11</f>
        <v>10</v>
      </c>
      <c r="B9" s="188"/>
      <c r="C9" s="188">
        <f>'Berechnungen 2'!N11</f>
        <v>10</v>
      </c>
      <c r="D9" s="94">
        <f>'Berechnungen 2'!F11</f>
        <v>2</v>
      </c>
      <c r="E9" s="94">
        <f>'Berechnungen 2'!G11</f>
        <v>3</v>
      </c>
      <c r="F9" s="94">
        <f>'Berechnungen 2'!H11</f>
        <v>4</v>
      </c>
      <c r="G9" s="94">
        <f>'Berechnungen 2'!I11</f>
        <v>5</v>
      </c>
      <c r="H9" s="94">
        <f>'Berechnungen 2'!J11</f>
        <v>6</v>
      </c>
      <c r="I9" s="94">
        <f>'Berechnungen 2'!K11</f>
        <v>7</v>
      </c>
      <c r="J9" s="94">
        <f>'Berechnungen 2'!AS11</f>
        <v>41</v>
      </c>
      <c r="K9" s="94">
        <f>'Berechnungen 2'!AT11</f>
        <v>42</v>
      </c>
      <c r="L9" s="94">
        <f>'Berechnungen 2'!BF11</f>
        <v>54</v>
      </c>
      <c r="M9" s="94">
        <f>'Berechnungen 2'!BG11</f>
        <v>55</v>
      </c>
      <c r="N9" s="94">
        <f>'Berechnungen 2'!BL11</f>
        <v>60</v>
      </c>
      <c r="O9" s="94">
        <f>'Berechnungen 2'!BM11</f>
        <v>61</v>
      </c>
      <c r="P9" s="94">
        <f>'Berechnungen 2'!BN11</f>
        <v>62</v>
      </c>
      <c r="Q9" s="94">
        <f>'Berechnungen 2'!BO11</f>
        <v>63</v>
      </c>
      <c r="R9" s="94">
        <f>'Berechnungen 2'!BP11</f>
        <v>64</v>
      </c>
      <c r="S9" s="225"/>
      <c r="T9" s="225"/>
      <c r="Z9" s="303"/>
      <c r="AA9" s="303">
        <f>'Berechnungen 2'!AF11</f>
        <v>28</v>
      </c>
      <c r="AB9" s="303"/>
      <c r="AC9" s="303">
        <f>'Berechnungen 2'!M11</f>
        <v>9</v>
      </c>
      <c r="AD9" s="303">
        <f>'Berechnungen 2'!N11</f>
        <v>10</v>
      </c>
      <c r="AE9" s="303">
        <f>'Berechnungen 2'!R11</f>
        <v>14</v>
      </c>
    </row>
    <row r="10" spans="1:31" x14ac:dyDescent="0.2">
      <c r="A10" s="323" t="str">
        <f ca="1">IF(OR(MAX(AA13:AA312)=9999,MIN(AA13:AA312)&lt;0),txt_Resultate.Angaben.Fehler.vorhanden,"")</f>
        <v/>
      </c>
      <c r="J10" s="433" t="str">
        <f>Sprachen!C76</f>
        <v>Estimation du potentiel d'économie pour</v>
      </c>
      <c r="K10" s="434"/>
      <c r="L10" s="434"/>
      <c r="M10" s="434"/>
      <c r="N10" s="434"/>
      <c r="O10" s="434"/>
      <c r="P10" s="434" t="str">
        <f>Sprachen!C77</f>
        <v>Potentiel d'économie</v>
      </c>
      <c r="Q10" s="434"/>
      <c r="R10" s="435"/>
      <c r="S10" s="388" t="str">
        <f>Sprachen!C78</f>
        <v>Recommandation</v>
      </c>
      <c r="T10" s="388" t="str">
        <f>Sprachen!C79</f>
        <v>Mise en garde</v>
      </c>
      <c r="Z10" s="308"/>
      <c r="AA10" s="308"/>
      <c r="AB10" s="308"/>
    </row>
    <row r="11" spans="1:31" s="263" customFormat="1" ht="12" x14ac:dyDescent="0.2">
      <c r="A11" s="384" t="str">
        <f>'Etape 1'!A6</f>
        <v>N°</v>
      </c>
      <c r="B11" s="385" t="s">
        <v>154</v>
      </c>
      <c r="C11" s="385" t="s">
        <v>45</v>
      </c>
      <c r="D11" s="384" t="str">
        <f>'Etape 1'!B6</f>
        <v>Dénomination</v>
      </c>
      <c r="E11" s="408" t="str">
        <f>'Etape 1'!C6</f>
        <v>Autres dénominations personnelles</v>
      </c>
      <c r="F11" s="384" t="str">
        <f>'Etape 1'!D6</f>
        <v>Lieu</v>
      </c>
      <c r="G11" s="384" t="str">
        <f>'Etape 1'!E6</f>
        <v>P</v>
      </c>
      <c r="H11" s="384" t="str">
        <f>'Etape 1'!F6</f>
        <v>t</v>
      </c>
      <c r="I11" s="384" t="str">
        <f>'Etape 1'!G6</f>
        <v>Année</v>
      </c>
      <c r="J11" s="436" t="str">
        <f>Sprachen!C80</f>
        <v>Remplacement du moteur</v>
      </c>
      <c r="K11" s="436"/>
      <c r="L11" s="436" t="str">
        <f>Sprachen!C81</f>
        <v>Régulation vitesse de rotation</v>
      </c>
      <c r="M11" s="436"/>
      <c r="N11" s="436" t="str">
        <f>Sprachen!C82</f>
        <v>Redimensionnement installation</v>
      </c>
      <c r="O11" s="436"/>
      <c r="P11" s="433" t="str">
        <f>Sprachen!C83</f>
        <v>Total</v>
      </c>
      <c r="Q11" s="434"/>
      <c r="R11" s="435"/>
      <c r="S11" s="226" t="str">
        <f>Sprachen!C84</f>
        <v>Analyse fine</v>
      </c>
      <c r="T11" s="226"/>
      <c r="Z11" s="309" t="s">
        <v>347</v>
      </c>
      <c r="AA11" s="309" t="s">
        <v>493</v>
      </c>
      <c r="AB11" s="309" t="s">
        <v>284</v>
      </c>
      <c r="AC11" s="309" t="s">
        <v>147</v>
      </c>
      <c r="AD11" s="309" t="s">
        <v>38</v>
      </c>
      <c r="AE11" s="309" t="s">
        <v>318</v>
      </c>
    </row>
    <row r="12" spans="1:31" ht="10.5" customHeight="1" x14ac:dyDescent="0.2">
      <c r="A12" s="65"/>
      <c r="B12" s="184"/>
      <c r="C12" s="184"/>
      <c r="D12" s="65"/>
      <c r="E12" s="65"/>
      <c r="F12" s="65"/>
      <c r="G12" s="75" t="str">
        <f>'Etape 1'!E7</f>
        <v>[kW]</v>
      </c>
      <c r="H12" s="75" t="str">
        <f>'Etape 1'!F7</f>
        <v>[h/a]</v>
      </c>
      <c r="I12" s="75" t="str">
        <f>'Etape 1'!G7</f>
        <v>construction</v>
      </c>
      <c r="J12" s="75" t="str">
        <f>Sprachen!C86</f>
        <v>[kWh/a]</v>
      </c>
      <c r="K12" s="75" t="str">
        <f>Sprachen!C87</f>
        <v>[CHF/a]</v>
      </c>
      <c r="L12" s="75" t="str">
        <f>Sprachen!C86</f>
        <v>[kWh/a]</v>
      </c>
      <c r="M12" s="75" t="str">
        <f>Sprachen!C87</f>
        <v>[CHF/a]</v>
      </c>
      <c r="N12" s="75" t="str">
        <f>Sprachen!C86</f>
        <v>[kWh/a]</v>
      </c>
      <c r="O12" s="75" t="str">
        <f>Sprachen!C87</f>
        <v>[CHF/a]</v>
      </c>
      <c r="P12" s="75" t="str">
        <f>Sprachen!C85</f>
        <v>[%]</v>
      </c>
      <c r="Q12" s="75" t="str">
        <f>Sprachen!C86</f>
        <v>[kWh/a]</v>
      </c>
      <c r="R12" s="75" t="str">
        <f>Sprachen!C87</f>
        <v>[CHF/a]</v>
      </c>
      <c r="S12" s="69"/>
      <c r="T12" s="69"/>
      <c r="Z12" s="40"/>
      <c r="AA12" s="40"/>
      <c r="AB12" s="40"/>
      <c r="AC12" s="40"/>
      <c r="AD12" s="40"/>
      <c r="AE12" s="40"/>
    </row>
    <row r="13" spans="1:31" x14ac:dyDescent="0.2">
      <c r="A13" s="201">
        <f t="shared" ref="A13:A76" ca="1" si="0">VLOOKUP($C13,Matrix_Berechnungen2.Rang.Pumpendaten.Endresultate,A$9,0)</f>
        <v>2</v>
      </c>
      <c r="B13" s="184">
        <v>1</v>
      </c>
      <c r="C13" s="192">
        <f ca="1">IF(ISERROR(LARGE('Berechnungen 2'!$E$16:$E$315,B13)),"",LARGE('Berechnungen 2'!$E$16:$E$315,B13))</f>
        <v>300</v>
      </c>
      <c r="D13" s="201" t="str">
        <f t="shared" ref="D13:O22" ca="1" si="1">IF($AC13&gt;0,VLOOKUP($C13,Matrix_Berechnungen2.Rang.Pumpendaten.Endresultate,D$9,0),"")</f>
        <v>Pumpe 2</v>
      </c>
      <c r="E13" s="201" t="str">
        <f t="shared" ca="1" si="1"/>
        <v>A2</v>
      </c>
      <c r="F13" s="201" t="str">
        <f t="shared" ca="1" si="1"/>
        <v>Heizzentrale</v>
      </c>
      <c r="G13" s="205">
        <f t="shared" ca="1" si="1"/>
        <v>136</v>
      </c>
      <c r="H13" s="202">
        <f t="shared" ca="1" si="1"/>
        <v>3000</v>
      </c>
      <c r="I13" s="201">
        <f t="shared" ca="1" si="1"/>
        <v>1900</v>
      </c>
      <c r="J13" s="93">
        <f t="shared" ca="1" si="1"/>
        <v>20583.83034986768</v>
      </c>
      <c r="K13" s="93">
        <f t="shared" ca="1" si="1"/>
        <v>3293.4128559788287</v>
      </c>
      <c r="L13" s="93">
        <f t="shared" ca="1" si="1"/>
        <v>0</v>
      </c>
      <c r="M13" s="93">
        <f t="shared" ca="1" si="1"/>
        <v>0</v>
      </c>
      <c r="N13" s="93">
        <f t="shared" ca="1" si="1"/>
        <v>61322.400000000016</v>
      </c>
      <c r="O13" s="93">
        <f t="shared" ca="1" si="1"/>
        <v>9811.5840000000026</v>
      </c>
      <c r="P13" s="312">
        <f t="shared" ref="P13:R32" ca="1" si="2">IF(AND($AC13&gt;0,$AC13&lt;&gt;999),VLOOKUP($C13,Matrix_Berechnungen2.Rang.Pumpendaten.Endresultate,P$9,0),"")</f>
        <v>0.21369480033071842</v>
      </c>
      <c r="Q13" s="93">
        <f t="shared" ca="1" si="2"/>
        <v>78468.730681439803</v>
      </c>
      <c r="R13" s="93">
        <f t="shared" ca="1" si="2"/>
        <v>12554.996909030369</v>
      </c>
      <c r="S13" s="201" t="str">
        <f t="shared" ref="S13:S76" ca="1" si="3">IF(AND($AC13&gt;0,$AC13&lt;&gt;999,$AC13&lt;&gt;9999,$AA13&gt;0),VLOOKUP(R13,Matrix_Empfehlung.Potential.ID.DetailanalyseText,3,1),"")</f>
        <v>analyse fine fortement recommandée</v>
      </c>
      <c r="T13" s="201" t="str">
        <f t="shared" ref="T13:T26" ca="1" si="4">VLOOKUP(AA13,Matrix_Warnung.WarnNr.Text.ID,2,FALSE)</f>
        <v xml:space="preserve"> </v>
      </c>
      <c r="Z13" s="40">
        <f t="shared" ref="Z13:Z76" ca="1" si="5">IF(ISNUMBER($A13),VLOOKUP(R13,Matrix_Empfehlung.Potential.ID.DetailanalyseText,4,1),0)</f>
        <v>1</v>
      </c>
      <c r="AA13" s="310">
        <f t="shared" ref="AA13:AA76" ca="1" si="6">VLOOKUP($C13,Matrix_Berechnungen2.Rang.Pumpendaten.Endresultate,AA$9,0)</f>
        <v>1</v>
      </c>
      <c r="AB13" s="40" t="str">
        <f ca="1">IF(ISNUMBER($A13),VLOOKUP('Berechnungen 2'!AI16,Matrix_Empfehlung.Stromkosten.ID.BOText,3,1),"")</f>
        <v>aucune mesure nécessaire</v>
      </c>
      <c r="AC13" s="40">
        <f t="shared" ref="AC13:AD32" ca="1" si="7">IF(VLOOKUP($C13,Matrix_Berechnungen2.Rang.Pumpendaten.Endresultate,$C$9,0)&gt;0,VLOOKUP($C13,Matrix_Berechnungen2.Rang.Pumpendaten.Endresultate,AC$9,0),"")</f>
        <v>1</v>
      </c>
      <c r="AD13" s="40">
        <f t="shared" ca="1" si="7"/>
        <v>2</v>
      </c>
      <c r="AE13" s="311">
        <f t="shared" ref="AE13:AE24" ca="1" si="8">VLOOKUP($C13,Matrix_Berechnungen2.Rang.Pumpendaten.Endresultate,AE$9,0)</f>
        <v>367200</v>
      </c>
    </row>
    <row r="14" spans="1:31" x14ac:dyDescent="0.2">
      <c r="A14" s="201">
        <f t="shared" ca="1" si="0"/>
        <v>1</v>
      </c>
      <c r="B14" s="193">
        <f>B13+1</f>
        <v>2</v>
      </c>
      <c r="C14" s="192">
        <f ca="1">IF(ISERROR(LARGE('Berechnungen 2'!$E$16:$E$315,B14)),"",LARGE('Berechnungen 2'!$E$16:$E$315,B14))</f>
        <v>299</v>
      </c>
      <c r="D14" s="201" t="str">
        <f t="shared" ca="1" si="1"/>
        <v>Pumpe 1</v>
      </c>
      <c r="E14" s="201" t="str">
        <f t="shared" ca="1" si="1"/>
        <v>A1</v>
      </c>
      <c r="F14" s="201" t="str">
        <f t="shared" ca="1" si="1"/>
        <v>Werkstatt</v>
      </c>
      <c r="G14" s="205">
        <f t="shared" ca="1" si="1"/>
        <v>10</v>
      </c>
      <c r="H14" s="202">
        <f t="shared" ca="1" si="1"/>
        <v>2000</v>
      </c>
      <c r="I14" s="201" t="str">
        <f t="shared" ca="1" si="1"/>
        <v/>
      </c>
      <c r="J14" s="93" t="str">
        <f t="shared" ca="1" si="1"/>
        <v/>
      </c>
      <c r="K14" s="93" t="str">
        <f t="shared" ca="1" si="1"/>
        <v/>
      </c>
      <c r="L14" s="93">
        <f t="shared" ca="1" si="1"/>
        <v>0</v>
      </c>
      <c r="M14" s="93">
        <f t="shared" ca="1" si="1"/>
        <v>0</v>
      </c>
      <c r="N14" s="93">
        <f t="shared" ca="1" si="1"/>
        <v>3199.9999999999995</v>
      </c>
      <c r="O14" s="93">
        <f t="shared" ca="1" si="1"/>
        <v>511.99999999999994</v>
      </c>
      <c r="P14" s="312">
        <f t="shared" ca="1" si="2"/>
        <v>0.31999999999999995</v>
      </c>
      <c r="Q14" s="93">
        <f t="shared" ca="1" si="2"/>
        <v>3199.9999999999995</v>
      </c>
      <c r="R14" s="93">
        <f t="shared" ca="1" si="2"/>
        <v>511.99999999999994</v>
      </c>
      <c r="S14" s="201" t="str">
        <f t="shared" ca="1" si="3"/>
        <v>aucune mesure nécessaire</v>
      </c>
      <c r="T14" s="201" t="str">
        <f t="shared" ca="1" si="4"/>
        <v xml:space="preserve"> </v>
      </c>
      <c r="Z14" s="40">
        <f t="shared" ca="1" si="5"/>
        <v>0</v>
      </c>
      <c r="AA14" s="310">
        <f t="shared" ca="1" si="6"/>
        <v>2</v>
      </c>
      <c r="AB14" s="40" t="str">
        <f ca="1">IF(ISNUMBER($A14),VLOOKUP('Berechnungen 2'!AI17,Matrix_Empfehlung.Stromkosten.ID.BOText,3,1),"")</f>
        <v>optimisation fortement recommandée</v>
      </c>
      <c r="AC14" s="40">
        <f t="shared" ca="1" si="7"/>
        <v>2</v>
      </c>
      <c r="AD14" s="40">
        <f t="shared" ca="1" si="7"/>
        <v>1</v>
      </c>
      <c r="AE14" s="311">
        <f t="shared" ca="1" si="8"/>
        <v>10000</v>
      </c>
    </row>
    <row r="15" spans="1:31" x14ac:dyDescent="0.2">
      <c r="A15" s="201">
        <f t="shared" ca="1" si="0"/>
        <v>3</v>
      </c>
      <c r="B15" s="193">
        <f t="shared" ref="B15:B78" si="9">B14+1</f>
        <v>3</v>
      </c>
      <c r="C15" s="192">
        <f ca="1">IF(ISERROR(LARGE('Berechnungen 2'!$E$16:$E$315,B15)),"",LARGE('Berechnungen 2'!$E$16:$E$315,B15))</f>
        <v>298</v>
      </c>
      <c r="D15" s="201" t="str">
        <f t="shared" ca="1" si="1"/>
        <v/>
      </c>
      <c r="E15" s="201" t="str">
        <f t="shared" ca="1" si="1"/>
        <v/>
      </c>
      <c r="F15" s="201" t="str">
        <f t="shared" ca="1" si="1"/>
        <v/>
      </c>
      <c r="G15" s="205" t="str">
        <f t="shared" ca="1" si="1"/>
        <v/>
      </c>
      <c r="H15" s="202" t="str">
        <f t="shared" ca="1" si="1"/>
        <v/>
      </c>
      <c r="I15" s="201" t="str">
        <f t="shared" ca="1" si="1"/>
        <v/>
      </c>
      <c r="J15" s="93" t="str">
        <f t="shared" ca="1" si="1"/>
        <v/>
      </c>
      <c r="K15" s="93" t="str">
        <f t="shared" ca="1" si="1"/>
        <v/>
      </c>
      <c r="L15" s="93" t="str">
        <f t="shared" ca="1" si="1"/>
        <v/>
      </c>
      <c r="M15" s="93" t="str">
        <f t="shared" ca="1" si="1"/>
        <v/>
      </c>
      <c r="N15" s="93" t="str">
        <f t="shared" ca="1" si="1"/>
        <v/>
      </c>
      <c r="O15" s="93" t="str">
        <f t="shared" ca="1" si="1"/>
        <v/>
      </c>
      <c r="P15" s="312" t="str">
        <f t="shared" ca="1" si="2"/>
        <v/>
      </c>
      <c r="Q15" s="93" t="str">
        <f t="shared" ca="1" si="2"/>
        <v/>
      </c>
      <c r="R15" s="93" t="str">
        <f t="shared" ca="1" si="2"/>
        <v/>
      </c>
      <c r="S15" s="201" t="str">
        <f t="shared" ca="1" si="3"/>
        <v/>
      </c>
      <c r="T15" s="201" t="str">
        <f t="shared" ca="1" si="4"/>
        <v xml:space="preserve"> </v>
      </c>
      <c r="Z15" s="40" t="e">
        <f t="shared" ca="1" si="5"/>
        <v>#N/A</v>
      </c>
      <c r="AA15" s="310">
        <f t="shared" ca="1" si="6"/>
        <v>0</v>
      </c>
      <c r="AB15" s="40" t="str">
        <f ca="1">IF(ISNUMBER($A15),VLOOKUP('Berechnungen 2'!AI18,Matrix_Empfehlung.Stromkosten.ID.BOText,3,1),"")</f>
        <v>aucune mesure nécessaire</v>
      </c>
      <c r="AC15" s="40">
        <f t="shared" ca="1" si="7"/>
        <v>0</v>
      </c>
      <c r="AD15" s="40">
        <f t="shared" ca="1" si="7"/>
        <v>3</v>
      </c>
      <c r="AE15" s="311">
        <f t="shared" ca="1" si="8"/>
        <v>27500</v>
      </c>
    </row>
    <row r="16" spans="1:31" x14ac:dyDescent="0.2">
      <c r="A16" s="201">
        <f t="shared" ca="1" si="0"/>
        <v>4</v>
      </c>
      <c r="B16" s="193">
        <f t="shared" si="9"/>
        <v>4</v>
      </c>
      <c r="C16" s="192">
        <f ca="1">IF(ISERROR(LARGE('Berechnungen 2'!$E$16:$E$315,B16)),"",LARGE('Berechnungen 2'!$E$16:$E$315,B16))</f>
        <v>297</v>
      </c>
      <c r="D16" s="201" t="str">
        <f t="shared" ca="1" si="1"/>
        <v/>
      </c>
      <c r="E16" s="201" t="str">
        <f t="shared" ca="1" si="1"/>
        <v/>
      </c>
      <c r="F16" s="201" t="str">
        <f t="shared" ca="1" si="1"/>
        <v/>
      </c>
      <c r="G16" s="205" t="str">
        <f t="shared" ca="1" si="1"/>
        <v/>
      </c>
      <c r="H16" s="202" t="str">
        <f t="shared" ca="1" si="1"/>
        <v/>
      </c>
      <c r="I16" s="201" t="str">
        <f t="shared" ca="1" si="1"/>
        <v/>
      </c>
      <c r="J16" s="93" t="str">
        <f t="shared" ca="1" si="1"/>
        <v/>
      </c>
      <c r="K16" s="93" t="str">
        <f t="shared" ca="1" si="1"/>
        <v/>
      </c>
      <c r="L16" s="93" t="str">
        <f t="shared" ca="1" si="1"/>
        <v/>
      </c>
      <c r="M16" s="93" t="str">
        <f t="shared" ca="1" si="1"/>
        <v/>
      </c>
      <c r="N16" s="93" t="str">
        <f t="shared" ca="1" si="1"/>
        <v/>
      </c>
      <c r="O16" s="93" t="str">
        <f t="shared" ca="1" si="1"/>
        <v/>
      </c>
      <c r="P16" s="312" t="str">
        <f t="shared" ca="1" si="2"/>
        <v/>
      </c>
      <c r="Q16" s="93" t="str">
        <f t="shared" ca="1" si="2"/>
        <v/>
      </c>
      <c r="R16" s="93" t="str">
        <f t="shared" ca="1" si="2"/>
        <v/>
      </c>
      <c r="S16" s="201" t="str">
        <f t="shared" ca="1" si="3"/>
        <v/>
      </c>
      <c r="T16" s="201" t="str">
        <f t="shared" ca="1" si="4"/>
        <v xml:space="preserve"> </v>
      </c>
      <c r="Z16" s="40" t="e">
        <f t="shared" ca="1" si="5"/>
        <v>#N/A</v>
      </c>
      <c r="AA16" s="310">
        <f t="shared" ca="1" si="6"/>
        <v>999</v>
      </c>
      <c r="AB16" s="40" t="e">
        <f ca="1">IF(ISNUMBER($A16),VLOOKUP('Berechnungen 2'!AI19,Matrix_Empfehlung.Stromkosten.ID.BOText,3,1),"")</f>
        <v>#VALUE!</v>
      </c>
      <c r="AC16" s="40">
        <f t="shared" ca="1" si="7"/>
        <v>999</v>
      </c>
      <c r="AD16" s="40">
        <f t="shared" ca="1" si="7"/>
        <v>4</v>
      </c>
      <c r="AE16" s="311">
        <f t="shared" ca="1" si="8"/>
        <v>0</v>
      </c>
    </row>
    <row r="17" spans="1:31" x14ac:dyDescent="0.2">
      <c r="A17" s="201">
        <f t="shared" ca="1" si="0"/>
        <v>5</v>
      </c>
      <c r="B17" s="193">
        <f t="shared" si="9"/>
        <v>5</v>
      </c>
      <c r="C17" s="192">
        <f ca="1">IF(ISERROR(LARGE('Berechnungen 2'!$E$16:$E$315,B17)),"",LARGE('Berechnungen 2'!$E$16:$E$315,B17))</f>
        <v>296</v>
      </c>
      <c r="D17" s="201" t="str">
        <f t="shared" ca="1" si="1"/>
        <v/>
      </c>
      <c r="E17" s="201" t="str">
        <f t="shared" ca="1" si="1"/>
        <v/>
      </c>
      <c r="F17" s="201" t="str">
        <f t="shared" ca="1" si="1"/>
        <v/>
      </c>
      <c r="G17" s="205" t="str">
        <f t="shared" ca="1" si="1"/>
        <v/>
      </c>
      <c r="H17" s="202" t="str">
        <f t="shared" ca="1" si="1"/>
        <v/>
      </c>
      <c r="I17" s="201" t="str">
        <f t="shared" ca="1" si="1"/>
        <v/>
      </c>
      <c r="J17" s="93" t="str">
        <f t="shared" ca="1" si="1"/>
        <v/>
      </c>
      <c r="K17" s="93" t="str">
        <f t="shared" ca="1" si="1"/>
        <v/>
      </c>
      <c r="L17" s="93" t="str">
        <f t="shared" ca="1" si="1"/>
        <v/>
      </c>
      <c r="M17" s="93" t="str">
        <f t="shared" ca="1" si="1"/>
        <v/>
      </c>
      <c r="N17" s="93" t="str">
        <f t="shared" ca="1" si="1"/>
        <v/>
      </c>
      <c r="O17" s="93" t="str">
        <f t="shared" ca="1" si="1"/>
        <v/>
      </c>
      <c r="P17" s="312" t="str">
        <f t="shared" ca="1" si="2"/>
        <v/>
      </c>
      <c r="Q17" s="93" t="str">
        <f t="shared" ca="1" si="2"/>
        <v/>
      </c>
      <c r="R17" s="93" t="str">
        <f t="shared" ca="1" si="2"/>
        <v/>
      </c>
      <c r="S17" s="201" t="str">
        <f t="shared" ca="1" si="3"/>
        <v/>
      </c>
      <c r="T17" s="201" t="str">
        <f t="shared" ca="1" si="4"/>
        <v xml:space="preserve"> </v>
      </c>
      <c r="Z17" s="40" t="e">
        <f t="shared" ca="1" si="5"/>
        <v>#N/A</v>
      </c>
      <c r="AA17" s="310">
        <f t="shared" ca="1" si="6"/>
        <v>999</v>
      </c>
      <c r="AB17" s="40" t="e">
        <f ca="1">IF(ISNUMBER($A17),VLOOKUP('Berechnungen 2'!AI20,Matrix_Empfehlung.Stromkosten.ID.BOText,3,1),"")</f>
        <v>#VALUE!</v>
      </c>
      <c r="AC17" s="40">
        <f t="shared" ca="1" si="7"/>
        <v>999</v>
      </c>
      <c r="AD17" s="40">
        <f t="shared" ca="1" si="7"/>
        <v>5</v>
      </c>
      <c r="AE17" s="311">
        <f t="shared" ca="1" si="8"/>
        <v>0</v>
      </c>
    </row>
    <row r="18" spans="1:31" x14ac:dyDescent="0.2">
      <c r="A18" s="201">
        <f t="shared" ca="1" si="0"/>
        <v>6</v>
      </c>
      <c r="B18" s="193">
        <f t="shared" si="9"/>
        <v>6</v>
      </c>
      <c r="C18" s="192">
        <f ca="1">IF(ISERROR(LARGE('Berechnungen 2'!$E$16:$E$315,B18)),"",LARGE('Berechnungen 2'!$E$16:$E$315,B18))</f>
        <v>295</v>
      </c>
      <c r="D18" s="201" t="str">
        <f t="shared" ca="1" si="1"/>
        <v/>
      </c>
      <c r="E18" s="201" t="str">
        <f t="shared" ca="1" si="1"/>
        <v/>
      </c>
      <c r="F18" s="201" t="str">
        <f t="shared" ca="1" si="1"/>
        <v/>
      </c>
      <c r="G18" s="205" t="str">
        <f t="shared" ca="1" si="1"/>
        <v/>
      </c>
      <c r="H18" s="202" t="str">
        <f t="shared" ca="1" si="1"/>
        <v/>
      </c>
      <c r="I18" s="201" t="str">
        <f t="shared" ca="1" si="1"/>
        <v/>
      </c>
      <c r="J18" s="93" t="str">
        <f t="shared" ca="1" si="1"/>
        <v/>
      </c>
      <c r="K18" s="93" t="str">
        <f t="shared" ca="1" si="1"/>
        <v/>
      </c>
      <c r="L18" s="93" t="str">
        <f t="shared" ca="1" si="1"/>
        <v/>
      </c>
      <c r="M18" s="93" t="str">
        <f t="shared" ca="1" si="1"/>
        <v/>
      </c>
      <c r="N18" s="93" t="str">
        <f t="shared" ca="1" si="1"/>
        <v/>
      </c>
      <c r="O18" s="93" t="str">
        <f t="shared" ca="1" si="1"/>
        <v/>
      </c>
      <c r="P18" s="312" t="str">
        <f t="shared" ca="1" si="2"/>
        <v/>
      </c>
      <c r="Q18" s="93" t="str">
        <f t="shared" ca="1" si="2"/>
        <v/>
      </c>
      <c r="R18" s="93" t="str">
        <f t="shared" ca="1" si="2"/>
        <v/>
      </c>
      <c r="S18" s="201" t="str">
        <f t="shared" ca="1" si="3"/>
        <v/>
      </c>
      <c r="T18" s="201" t="str">
        <f t="shared" ca="1" si="4"/>
        <v xml:space="preserve"> </v>
      </c>
      <c r="Z18" s="40" t="e">
        <f t="shared" ca="1" si="5"/>
        <v>#N/A</v>
      </c>
      <c r="AA18" s="310">
        <f t="shared" ca="1" si="6"/>
        <v>999</v>
      </c>
      <c r="AB18" s="40" t="e">
        <f ca="1">IF(ISNUMBER($A18),VLOOKUP('Berechnungen 2'!AI21,Matrix_Empfehlung.Stromkosten.ID.BOText,3,1),"")</f>
        <v>#VALUE!</v>
      </c>
      <c r="AC18" s="40">
        <f t="shared" ca="1" si="7"/>
        <v>999</v>
      </c>
      <c r="AD18" s="40">
        <f t="shared" ca="1" si="7"/>
        <v>6</v>
      </c>
      <c r="AE18" s="311">
        <f t="shared" ca="1" si="8"/>
        <v>0</v>
      </c>
    </row>
    <row r="19" spans="1:31" x14ac:dyDescent="0.2">
      <c r="A19" s="201">
        <f t="shared" ca="1" si="0"/>
        <v>7</v>
      </c>
      <c r="B19" s="193">
        <f t="shared" si="9"/>
        <v>7</v>
      </c>
      <c r="C19" s="192">
        <f ca="1">IF(ISERROR(LARGE('Berechnungen 2'!$E$16:$E$315,B19)),"",LARGE('Berechnungen 2'!$E$16:$E$315,B19))</f>
        <v>294</v>
      </c>
      <c r="D19" s="201" t="str">
        <f t="shared" ca="1" si="1"/>
        <v/>
      </c>
      <c r="E19" s="201" t="str">
        <f t="shared" ca="1" si="1"/>
        <v/>
      </c>
      <c r="F19" s="201" t="str">
        <f t="shared" ca="1" si="1"/>
        <v/>
      </c>
      <c r="G19" s="205" t="str">
        <f t="shared" ca="1" si="1"/>
        <v/>
      </c>
      <c r="H19" s="202" t="str">
        <f t="shared" ca="1" si="1"/>
        <v/>
      </c>
      <c r="I19" s="201" t="str">
        <f t="shared" ca="1" si="1"/>
        <v/>
      </c>
      <c r="J19" s="93" t="str">
        <f t="shared" ca="1" si="1"/>
        <v/>
      </c>
      <c r="K19" s="93" t="str">
        <f t="shared" ca="1" si="1"/>
        <v/>
      </c>
      <c r="L19" s="93" t="str">
        <f t="shared" ca="1" si="1"/>
        <v/>
      </c>
      <c r="M19" s="93" t="str">
        <f t="shared" ca="1" si="1"/>
        <v/>
      </c>
      <c r="N19" s="93" t="str">
        <f t="shared" ca="1" si="1"/>
        <v/>
      </c>
      <c r="O19" s="93" t="str">
        <f t="shared" ca="1" si="1"/>
        <v/>
      </c>
      <c r="P19" s="312" t="str">
        <f t="shared" ca="1" si="2"/>
        <v/>
      </c>
      <c r="Q19" s="93" t="str">
        <f t="shared" ca="1" si="2"/>
        <v/>
      </c>
      <c r="R19" s="93" t="str">
        <f t="shared" ca="1" si="2"/>
        <v/>
      </c>
      <c r="S19" s="201" t="str">
        <f t="shared" ca="1" si="3"/>
        <v/>
      </c>
      <c r="T19" s="201" t="str">
        <f t="shared" ca="1" si="4"/>
        <v xml:space="preserve"> </v>
      </c>
      <c r="Z19" s="40" t="e">
        <f t="shared" ca="1" si="5"/>
        <v>#N/A</v>
      </c>
      <c r="AA19" s="310">
        <f t="shared" ca="1" si="6"/>
        <v>999</v>
      </c>
      <c r="AB19" s="40" t="e">
        <f ca="1">IF(ISNUMBER($A19),VLOOKUP('Berechnungen 2'!AI22,Matrix_Empfehlung.Stromkosten.ID.BOText,3,1),"")</f>
        <v>#VALUE!</v>
      </c>
      <c r="AC19" s="40">
        <f t="shared" ca="1" si="7"/>
        <v>999</v>
      </c>
      <c r="AD19" s="40">
        <f t="shared" ca="1" si="7"/>
        <v>7</v>
      </c>
      <c r="AE19" s="311">
        <f t="shared" ca="1" si="8"/>
        <v>0</v>
      </c>
    </row>
    <row r="20" spans="1:31" x14ac:dyDescent="0.2">
      <c r="A20" s="201">
        <f t="shared" ca="1" si="0"/>
        <v>8</v>
      </c>
      <c r="B20" s="193">
        <f t="shared" si="9"/>
        <v>8</v>
      </c>
      <c r="C20" s="192">
        <f ca="1">IF(ISERROR(LARGE('Berechnungen 2'!$E$16:$E$315,B20)),"",LARGE('Berechnungen 2'!$E$16:$E$315,B20))</f>
        <v>293</v>
      </c>
      <c r="D20" s="201" t="str">
        <f t="shared" ca="1" si="1"/>
        <v/>
      </c>
      <c r="E20" s="201" t="str">
        <f t="shared" ca="1" si="1"/>
        <v/>
      </c>
      <c r="F20" s="201" t="str">
        <f t="shared" ca="1" si="1"/>
        <v/>
      </c>
      <c r="G20" s="205" t="str">
        <f t="shared" ca="1" si="1"/>
        <v/>
      </c>
      <c r="H20" s="202" t="str">
        <f t="shared" ca="1" si="1"/>
        <v/>
      </c>
      <c r="I20" s="201" t="str">
        <f t="shared" ca="1" si="1"/>
        <v/>
      </c>
      <c r="J20" s="93" t="str">
        <f t="shared" ca="1" si="1"/>
        <v/>
      </c>
      <c r="K20" s="93" t="str">
        <f t="shared" ca="1" si="1"/>
        <v/>
      </c>
      <c r="L20" s="93" t="str">
        <f t="shared" ca="1" si="1"/>
        <v/>
      </c>
      <c r="M20" s="93" t="str">
        <f t="shared" ca="1" si="1"/>
        <v/>
      </c>
      <c r="N20" s="93" t="str">
        <f t="shared" ca="1" si="1"/>
        <v/>
      </c>
      <c r="O20" s="93" t="str">
        <f t="shared" ca="1" si="1"/>
        <v/>
      </c>
      <c r="P20" s="312" t="str">
        <f t="shared" ca="1" si="2"/>
        <v/>
      </c>
      <c r="Q20" s="93" t="str">
        <f t="shared" ca="1" si="2"/>
        <v/>
      </c>
      <c r="R20" s="93" t="str">
        <f t="shared" ca="1" si="2"/>
        <v/>
      </c>
      <c r="S20" s="201" t="str">
        <f t="shared" ca="1" si="3"/>
        <v/>
      </c>
      <c r="T20" s="201" t="str">
        <f t="shared" ca="1" si="4"/>
        <v xml:space="preserve"> </v>
      </c>
      <c r="Z20" s="40" t="e">
        <f t="shared" ca="1" si="5"/>
        <v>#N/A</v>
      </c>
      <c r="AA20" s="310">
        <f t="shared" ca="1" si="6"/>
        <v>999</v>
      </c>
      <c r="AB20" s="40" t="e">
        <f ca="1">IF(ISNUMBER($A20),VLOOKUP('Berechnungen 2'!AI23,Matrix_Empfehlung.Stromkosten.ID.BOText,3,1),"")</f>
        <v>#VALUE!</v>
      </c>
      <c r="AC20" s="40">
        <f t="shared" ca="1" si="7"/>
        <v>999</v>
      </c>
      <c r="AD20" s="40">
        <f t="shared" ca="1" si="7"/>
        <v>8</v>
      </c>
      <c r="AE20" s="311">
        <f t="shared" ca="1" si="8"/>
        <v>0</v>
      </c>
    </row>
    <row r="21" spans="1:31" x14ac:dyDescent="0.2">
      <c r="A21" s="201">
        <f t="shared" ca="1" si="0"/>
        <v>9</v>
      </c>
      <c r="B21" s="193">
        <f t="shared" si="9"/>
        <v>9</v>
      </c>
      <c r="C21" s="192">
        <f ca="1">IF(ISERROR(LARGE('Berechnungen 2'!$E$16:$E$315,B21)),"",LARGE('Berechnungen 2'!$E$16:$E$315,B21))</f>
        <v>292</v>
      </c>
      <c r="D21" s="201" t="str">
        <f t="shared" ca="1" si="1"/>
        <v/>
      </c>
      <c r="E21" s="201" t="str">
        <f t="shared" ca="1" si="1"/>
        <v/>
      </c>
      <c r="F21" s="201" t="str">
        <f t="shared" ca="1" si="1"/>
        <v/>
      </c>
      <c r="G21" s="205" t="str">
        <f t="shared" ca="1" si="1"/>
        <v/>
      </c>
      <c r="H21" s="202" t="str">
        <f t="shared" ca="1" si="1"/>
        <v/>
      </c>
      <c r="I21" s="201" t="str">
        <f t="shared" ca="1" si="1"/>
        <v/>
      </c>
      <c r="J21" s="93" t="str">
        <f t="shared" ca="1" si="1"/>
        <v/>
      </c>
      <c r="K21" s="93" t="str">
        <f t="shared" ca="1" si="1"/>
        <v/>
      </c>
      <c r="L21" s="93" t="str">
        <f t="shared" ca="1" si="1"/>
        <v/>
      </c>
      <c r="M21" s="93" t="str">
        <f t="shared" ca="1" si="1"/>
        <v/>
      </c>
      <c r="N21" s="93" t="str">
        <f t="shared" ca="1" si="1"/>
        <v/>
      </c>
      <c r="O21" s="93" t="str">
        <f t="shared" ca="1" si="1"/>
        <v/>
      </c>
      <c r="P21" s="312" t="str">
        <f t="shared" ca="1" si="2"/>
        <v/>
      </c>
      <c r="Q21" s="93" t="str">
        <f t="shared" ca="1" si="2"/>
        <v/>
      </c>
      <c r="R21" s="93" t="str">
        <f t="shared" ca="1" si="2"/>
        <v/>
      </c>
      <c r="S21" s="201" t="str">
        <f t="shared" ca="1" si="3"/>
        <v/>
      </c>
      <c r="T21" s="201" t="str">
        <f t="shared" ca="1" si="4"/>
        <v xml:space="preserve"> </v>
      </c>
      <c r="Z21" s="40" t="e">
        <f t="shared" ca="1" si="5"/>
        <v>#N/A</v>
      </c>
      <c r="AA21" s="310">
        <f t="shared" ca="1" si="6"/>
        <v>999</v>
      </c>
      <c r="AB21" s="40" t="e">
        <f ca="1">IF(ISNUMBER($A21),VLOOKUP('Berechnungen 2'!AI24,Matrix_Empfehlung.Stromkosten.ID.BOText,3,1),"")</f>
        <v>#VALUE!</v>
      </c>
      <c r="AC21" s="40">
        <f t="shared" ca="1" si="7"/>
        <v>999</v>
      </c>
      <c r="AD21" s="40">
        <f t="shared" ca="1" si="7"/>
        <v>9</v>
      </c>
      <c r="AE21" s="311">
        <f t="shared" ca="1" si="8"/>
        <v>0</v>
      </c>
    </row>
    <row r="22" spans="1:31" x14ac:dyDescent="0.2">
      <c r="A22" s="201">
        <f t="shared" ca="1" si="0"/>
        <v>10</v>
      </c>
      <c r="B22" s="193">
        <f t="shared" si="9"/>
        <v>10</v>
      </c>
      <c r="C22" s="192">
        <f ca="1">IF(ISERROR(LARGE('Berechnungen 2'!$E$16:$E$315,B22)),"",LARGE('Berechnungen 2'!$E$16:$E$315,B22))</f>
        <v>291</v>
      </c>
      <c r="D22" s="201" t="str">
        <f t="shared" ca="1" si="1"/>
        <v/>
      </c>
      <c r="E22" s="201" t="str">
        <f t="shared" ca="1" si="1"/>
        <v/>
      </c>
      <c r="F22" s="201" t="str">
        <f t="shared" ca="1" si="1"/>
        <v/>
      </c>
      <c r="G22" s="205" t="str">
        <f t="shared" ca="1" si="1"/>
        <v/>
      </c>
      <c r="H22" s="202" t="str">
        <f t="shared" ca="1" si="1"/>
        <v/>
      </c>
      <c r="I22" s="201" t="str">
        <f t="shared" ca="1" si="1"/>
        <v/>
      </c>
      <c r="J22" s="93" t="str">
        <f t="shared" ca="1" si="1"/>
        <v/>
      </c>
      <c r="K22" s="93" t="str">
        <f t="shared" ca="1" si="1"/>
        <v/>
      </c>
      <c r="L22" s="93" t="str">
        <f t="shared" ca="1" si="1"/>
        <v/>
      </c>
      <c r="M22" s="93" t="str">
        <f t="shared" ca="1" si="1"/>
        <v/>
      </c>
      <c r="N22" s="93" t="str">
        <f t="shared" ca="1" si="1"/>
        <v/>
      </c>
      <c r="O22" s="93" t="str">
        <f t="shared" ca="1" si="1"/>
        <v/>
      </c>
      <c r="P22" s="312" t="str">
        <f t="shared" ca="1" si="2"/>
        <v/>
      </c>
      <c r="Q22" s="93" t="str">
        <f t="shared" ca="1" si="2"/>
        <v/>
      </c>
      <c r="R22" s="93" t="str">
        <f t="shared" ca="1" si="2"/>
        <v/>
      </c>
      <c r="S22" s="201" t="str">
        <f t="shared" ca="1" si="3"/>
        <v/>
      </c>
      <c r="T22" s="201" t="str">
        <f t="shared" ca="1" si="4"/>
        <v xml:space="preserve"> </v>
      </c>
      <c r="Z22" s="40" t="e">
        <f t="shared" ca="1" si="5"/>
        <v>#N/A</v>
      </c>
      <c r="AA22" s="310">
        <f t="shared" ca="1" si="6"/>
        <v>999</v>
      </c>
      <c r="AB22" s="40" t="e">
        <f ca="1">IF(ISNUMBER($A22),VLOOKUP('Berechnungen 2'!AI25,Matrix_Empfehlung.Stromkosten.ID.BOText,3,1),"")</f>
        <v>#VALUE!</v>
      </c>
      <c r="AC22" s="40">
        <f t="shared" ca="1" si="7"/>
        <v>999</v>
      </c>
      <c r="AD22" s="40">
        <f t="shared" ca="1" si="7"/>
        <v>10</v>
      </c>
      <c r="AE22" s="311">
        <f t="shared" ca="1" si="8"/>
        <v>0</v>
      </c>
    </row>
    <row r="23" spans="1:31" x14ac:dyDescent="0.2">
      <c r="A23" s="201">
        <f t="shared" ca="1" si="0"/>
        <v>11</v>
      </c>
      <c r="B23" s="193">
        <f t="shared" si="9"/>
        <v>11</v>
      </c>
      <c r="C23" s="192">
        <f ca="1">IF(ISERROR(LARGE('Berechnungen 2'!$E$16:$E$315,B23)),"",LARGE('Berechnungen 2'!$E$16:$E$315,B23))</f>
        <v>290</v>
      </c>
      <c r="D23" s="201" t="str">
        <f t="shared" ref="D23:O32" ca="1" si="10">IF($AC23&gt;0,VLOOKUP($C23,Matrix_Berechnungen2.Rang.Pumpendaten.Endresultate,D$9,0),"")</f>
        <v/>
      </c>
      <c r="E23" s="201" t="str">
        <f t="shared" ca="1" si="10"/>
        <v/>
      </c>
      <c r="F23" s="201" t="str">
        <f t="shared" ca="1" si="10"/>
        <v/>
      </c>
      <c r="G23" s="205" t="str">
        <f t="shared" ca="1" si="10"/>
        <v/>
      </c>
      <c r="H23" s="202" t="str">
        <f t="shared" ca="1" si="10"/>
        <v/>
      </c>
      <c r="I23" s="201" t="str">
        <f t="shared" ca="1" si="10"/>
        <v/>
      </c>
      <c r="J23" s="93" t="str">
        <f t="shared" ca="1" si="10"/>
        <v/>
      </c>
      <c r="K23" s="93" t="str">
        <f t="shared" ca="1" si="10"/>
        <v/>
      </c>
      <c r="L23" s="93" t="str">
        <f t="shared" ca="1" si="10"/>
        <v/>
      </c>
      <c r="M23" s="93" t="str">
        <f t="shared" ca="1" si="10"/>
        <v/>
      </c>
      <c r="N23" s="93" t="str">
        <f t="shared" ca="1" si="10"/>
        <v/>
      </c>
      <c r="O23" s="93" t="str">
        <f t="shared" ca="1" si="10"/>
        <v/>
      </c>
      <c r="P23" s="312" t="str">
        <f t="shared" ca="1" si="2"/>
        <v/>
      </c>
      <c r="Q23" s="93" t="str">
        <f t="shared" ca="1" si="2"/>
        <v/>
      </c>
      <c r="R23" s="93" t="str">
        <f t="shared" ca="1" si="2"/>
        <v/>
      </c>
      <c r="S23" s="201" t="str">
        <f t="shared" ca="1" si="3"/>
        <v/>
      </c>
      <c r="T23" s="201" t="str">
        <f t="shared" ca="1" si="4"/>
        <v xml:space="preserve"> </v>
      </c>
      <c r="Z23" s="40" t="e">
        <f t="shared" ca="1" si="5"/>
        <v>#N/A</v>
      </c>
      <c r="AA23" s="310">
        <f t="shared" ca="1" si="6"/>
        <v>999</v>
      </c>
      <c r="AB23" s="40" t="e">
        <f ca="1">IF(ISNUMBER($A23),VLOOKUP('Berechnungen 2'!AI26,Matrix_Empfehlung.Stromkosten.ID.BOText,3,1),"")</f>
        <v>#VALUE!</v>
      </c>
      <c r="AC23" s="40">
        <f t="shared" ca="1" si="7"/>
        <v>999</v>
      </c>
      <c r="AD23" s="40">
        <f t="shared" ca="1" si="7"/>
        <v>11</v>
      </c>
      <c r="AE23" s="311">
        <f t="shared" ca="1" si="8"/>
        <v>0</v>
      </c>
    </row>
    <row r="24" spans="1:31" x14ac:dyDescent="0.2">
      <c r="A24" s="201">
        <f t="shared" ca="1" si="0"/>
        <v>12</v>
      </c>
      <c r="B24" s="193">
        <f t="shared" si="9"/>
        <v>12</v>
      </c>
      <c r="C24" s="192">
        <f ca="1">IF(ISERROR(LARGE('Berechnungen 2'!$E$16:$E$315,B24)),"",LARGE('Berechnungen 2'!$E$16:$E$315,B24))</f>
        <v>289</v>
      </c>
      <c r="D24" s="201" t="str">
        <f t="shared" ca="1" si="10"/>
        <v/>
      </c>
      <c r="E24" s="201" t="str">
        <f t="shared" ca="1" si="10"/>
        <v/>
      </c>
      <c r="F24" s="201" t="str">
        <f t="shared" ca="1" si="10"/>
        <v/>
      </c>
      <c r="G24" s="205" t="str">
        <f t="shared" ca="1" si="10"/>
        <v/>
      </c>
      <c r="H24" s="202" t="str">
        <f t="shared" ca="1" si="10"/>
        <v/>
      </c>
      <c r="I24" s="201" t="str">
        <f t="shared" ca="1" si="10"/>
        <v/>
      </c>
      <c r="J24" s="93" t="str">
        <f t="shared" ca="1" si="10"/>
        <v/>
      </c>
      <c r="K24" s="93" t="str">
        <f t="shared" ca="1" si="10"/>
        <v/>
      </c>
      <c r="L24" s="93" t="str">
        <f t="shared" ca="1" si="10"/>
        <v/>
      </c>
      <c r="M24" s="93" t="str">
        <f t="shared" ca="1" si="10"/>
        <v/>
      </c>
      <c r="N24" s="93" t="str">
        <f t="shared" ca="1" si="10"/>
        <v/>
      </c>
      <c r="O24" s="93" t="str">
        <f t="shared" ca="1" si="10"/>
        <v/>
      </c>
      <c r="P24" s="312" t="str">
        <f t="shared" ca="1" si="2"/>
        <v/>
      </c>
      <c r="Q24" s="93" t="str">
        <f t="shared" ca="1" si="2"/>
        <v/>
      </c>
      <c r="R24" s="93" t="str">
        <f t="shared" ca="1" si="2"/>
        <v/>
      </c>
      <c r="S24" s="201" t="str">
        <f t="shared" ca="1" si="3"/>
        <v/>
      </c>
      <c r="T24" s="201" t="str">
        <f t="shared" ca="1" si="4"/>
        <v xml:space="preserve"> </v>
      </c>
      <c r="Z24" s="40" t="e">
        <f t="shared" ca="1" si="5"/>
        <v>#N/A</v>
      </c>
      <c r="AA24" s="310">
        <f t="shared" ca="1" si="6"/>
        <v>999</v>
      </c>
      <c r="AB24" s="40" t="e">
        <f ca="1">IF(ISNUMBER($A24),VLOOKUP('Berechnungen 2'!AI27,Matrix_Empfehlung.Stromkosten.ID.BOText,3,1),"")</f>
        <v>#VALUE!</v>
      </c>
      <c r="AC24" s="40">
        <f t="shared" ca="1" si="7"/>
        <v>999</v>
      </c>
      <c r="AD24" s="40">
        <f t="shared" ca="1" si="7"/>
        <v>12</v>
      </c>
      <c r="AE24" s="311">
        <f t="shared" ca="1" si="8"/>
        <v>0</v>
      </c>
    </row>
    <row r="25" spans="1:31" x14ac:dyDescent="0.2">
      <c r="A25" s="201">
        <f t="shared" ca="1" si="0"/>
        <v>13</v>
      </c>
      <c r="B25" s="193">
        <f t="shared" si="9"/>
        <v>13</v>
      </c>
      <c r="C25" s="192">
        <f ca="1">IF(ISERROR(LARGE('Berechnungen 2'!$E$16:$E$315,B25)),"",LARGE('Berechnungen 2'!$E$16:$E$315,B25))</f>
        <v>288</v>
      </c>
      <c r="D25" s="201" t="str">
        <f t="shared" ca="1" si="10"/>
        <v/>
      </c>
      <c r="E25" s="201" t="str">
        <f t="shared" ca="1" si="10"/>
        <v/>
      </c>
      <c r="F25" s="201" t="str">
        <f t="shared" ca="1" si="10"/>
        <v/>
      </c>
      <c r="G25" s="205" t="str">
        <f t="shared" ca="1" si="10"/>
        <v/>
      </c>
      <c r="H25" s="202" t="str">
        <f t="shared" ca="1" si="10"/>
        <v/>
      </c>
      <c r="I25" s="201" t="str">
        <f t="shared" ca="1" si="10"/>
        <v/>
      </c>
      <c r="J25" s="93" t="str">
        <f t="shared" ca="1" si="10"/>
        <v/>
      </c>
      <c r="K25" s="93" t="str">
        <f t="shared" ca="1" si="10"/>
        <v/>
      </c>
      <c r="L25" s="93" t="str">
        <f t="shared" ca="1" si="10"/>
        <v/>
      </c>
      <c r="M25" s="93" t="str">
        <f t="shared" ca="1" si="10"/>
        <v/>
      </c>
      <c r="N25" s="93" t="str">
        <f t="shared" ca="1" si="10"/>
        <v/>
      </c>
      <c r="O25" s="93" t="str">
        <f t="shared" ca="1" si="10"/>
        <v/>
      </c>
      <c r="P25" s="312" t="str">
        <f t="shared" ca="1" si="2"/>
        <v/>
      </c>
      <c r="Q25" s="93" t="str">
        <f t="shared" ca="1" si="2"/>
        <v/>
      </c>
      <c r="R25" s="93" t="str">
        <f t="shared" ca="1" si="2"/>
        <v/>
      </c>
      <c r="S25" s="201" t="str">
        <f t="shared" ca="1" si="3"/>
        <v/>
      </c>
      <c r="T25" s="201" t="str">
        <f t="shared" ca="1" si="4"/>
        <v xml:space="preserve"> </v>
      </c>
      <c r="Z25" s="40" t="e">
        <f t="shared" ca="1" si="5"/>
        <v>#N/A</v>
      </c>
      <c r="AA25" s="310">
        <f t="shared" ca="1" si="6"/>
        <v>999</v>
      </c>
      <c r="AB25" s="40" t="e">
        <f ca="1">IF(ISNUMBER($A25),VLOOKUP('Berechnungen 2'!AI28,Matrix_Empfehlung.Stromkosten.ID.BOText,3,1),"")</f>
        <v>#VALUE!</v>
      </c>
      <c r="AC25" s="40">
        <f t="shared" ca="1" si="7"/>
        <v>999</v>
      </c>
      <c r="AD25" s="40">
        <f t="shared" ca="1" si="7"/>
        <v>13</v>
      </c>
      <c r="AE25" s="311">
        <f t="shared" ref="AE25:AE88" ca="1" si="11">IF($AC25&gt;0,VLOOKUP($C25,Matrix_Berechnungen2.Rang.Pumpendaten.Endresultate,AE$9,0),"")</f>
        <v>0</v>
      </c>
    </row>
    <row r="26" spans="1:31" x14ac:dyDescent="0.2">
      <c r="A26" s="201">
        <f t="shared" ca="1" si="0"/>
        <v>14</v>
      </c>
      <c r="B26" s="193">
        <f t="shared" si="9"/>
        <v>14</v>
      </c>
      <c r="C26" s="192">
        <f ca="1">IF(ISERROR(LARGE('Berechnungen 2'!$E$16:$E$315,B26)),"",LARGE('Berechnungen 2'!$E$16:$E$315,B26))</f>
        <v>287</v>
      </c>
      <c r="D26" s="201" t="str">
        <f t="shared" ca="1" si="10"/>
        <v/>
      </c>
      <c r="E26" s="201" t="str">
        <f t="shared" ca="1" si="10"/>
        <v/>
      </c>
      <c r="F26" s="201" t="str">
        <f t="shared" ca="1" si="10"/>
        <v/>
      </c>
      <c r="G26" s="205" t="str">
        <f t="shared" ca="1" si="10"/>
        <v/>
      </c>
      <c r="H26" s="202" t="str">
        <f t="shared" ca="1" si="10"/>
        <v/>
      </c>
      <c r="I26" s="201" t="str">
        <f t="shared" ca="1" si="10"/>
        <v/>
      </c>
      <c r="J26" s="93" t="str">
        <f t="shared" ca="1" si="10"/>
        <v/>
      </c>
      <c r="K26" s="93" t="str">
        <f t="shared" ca="1" si="10"/>
        <v/>
      </c>
      <c r="L26" s="93" t="str">
        <f t="shared" ca="1" si="10"/>
        <v/>
      </c>
      <c r="M26" s="93" t="str">
        <f t="shared" ca="1" si="10"/>
        <v/>
      </c>
      <c r="N26" s="93" t="str">
        <f t="shared" ca="1" si="10"/>
        <v/>
      </c>
      <c r="O26" s="93" t="str">
        <f t="shared" ca="1" si="10"/>
        <v/>
      </c>
      <c r="P26" s="312" t="str">
        <f t="shared" ca="1" si="2"/>
        <v/>
      </c>
      <c r="Q26" s="93" t="str">
        <f t="shared" ca="1" si="2"/>
        <v/>
      </c>
      <c r="R26" s="93" t="str">
        <f t="shared" ca="1" si="2"/>
        <v/>
      </c>
      <c r="S26" s="201" t="str">
        <f t="shared" ca="1" si="3"/>
        <v/>
      </c>
      <c r="T26" s="201" t="str">
        <f t="shared" ca="1" si="4"/>
        <v xml:space="preserve"> </v>
      </c>
      <c r="Z26" s="40" t="e">
        <f t="shared" ca="1" si="5"/>
        <v>#N/A</v>
      </c>
      <c r="AA26" s="310">
        <f t="shared" ca="1" si="6"/>
        <v>999</v>
      </c>
      <c r="AB26" s="40" t="e">
        <f ca="1">IF(ISNUMBER($A26),VLOOKUP('Berechnungen 2'!AI29,Matrix_Empfehlung.Stromkosten.ID.BOText,3,1),"")</f>
        <v>#VALUE!</v>
      </c>
      <c r="AC26" s="40">
        <f t="shared" ca="1" si="7"/>
        <v>999</v>
      </c>
      <c r="AD26" s="40">
        <f t="shared" ca="1" si="7"/>
        <v>14</v>
      </c>
      <c r="AE26" s="311">
        <f t="shared" ca="1" si="11"/>
        <v>0</v>
      </c>
    </row>
    <row r="27" spans="1:31" x14ac:dyDescent="0.2">
      <c r="A27" s="201">
        <f t="shared" ca="1" si="0"/>
        <v>15</v>
      </c>
      <c r="B27" s="193">
        <f t="shared" si="9"/>
        <v>15</v>
      </c>
      <c r="C27" s="192">
        <f ca="1">IF(ISERROR(LARGE('Berechnungen 2'!$E$16:$E$315,B27)),"",LARGE('Berechnungen 2'!$E$16:$E$315,B27))</f>
        <v>286</v>
      </c>
      <c r="D27" s="201" t="str">
        <f t="shared" ca="1" si="10"/>
        <v/>
      </c>
      <c r="E27" s="201" t="str">
        <f t="shared" ca="1" si="10"/>
        <v/>
      </c>
      <c r="F27" s="201" t="str">
        <f t="shared" ca="1" si="10"/>
        <v/>
      </c>
      <c r="G27" s="205" t="str">
        <f t="shared" ca="1" si="10"/>
        <v/>
      </c>
      <c r="H27" s="202" t="str">
        <f t="shared" ca="1" si="10"/>
        <v/>
      </c>
      <c r="I27" s="201" t="str">
        <f t="shared" ca="1" si="10"/>
        <v/>
      </c>
      <c r="J27" s="93" t="str">
        <f t="shared" ca="1" si="10"/>
        <v/>
      </c>
      <c r="K27" s="93" t="str">
        <f t="shared" ca="1" si="10"/>
        <v/>
      </c>
      <c r="L27" s="93" t="str">
        <f t="shared" ca="1" si="10"/>
        <v/>
      </c>
      <c r="M27" s="93" t="str">
        <f t="shared" ca="1" si="10"/>
        <v/>
      </c>
      <c r="N27" s="93" t="str">
        <f t="shared" ca="1" si="10"/>
        <v/>
      </c>
      <c r="O27" s="93" t="str">
        <f t="shared" ca="1" si="10"/>
        <v/>
      </c>
      <c r="P27" s="312" t="str">
        <f t="shared" ca="1" si="2"/>
        <v/>
      </c>
      <c r="Q27" s="93" t="str">
        <f t="shared" ca="1" si="2"/>
        <v/>
      </c>
      <c r="R27" s="93" t="str">
        <f t="shared" ca="1" si="2"/>
        <v/>
      </c>
      <c r="S27" s="201" t="str">
        <f t="shared" ca="1" si="3"/>
        <v/>
      </c>
      <c r="T27" s="201"/>
      <c r="Z27" s="40" t="e">
        <f t="shared" ca="1" si="5"/>
        <v>#N/A</v>
      </c>
      <c r="AA27" s="310">
        <f t="shared" ca="1" si="6"/>
        <v>999</v>
      </c>
      <c r="AB27" s="40" t="e">
        <f ca="1">IF(ISNUMBER($A27),VLOOKUP('Berechnungen 2'!AI30,Matrix_Empfehlung.Stromkosten.ID.BOText,3,1),"")</f>
        <v>#VALUE!</v>
      </c>
      <c r="AC27" s="40">
        <f t="shared" ca="1" si="7"/>
        <v>999</v>
      </c>
      <c r="AD27" s="40">
        <f t="shared" ca="1" si="7"/>
        <v>15</v>
      </c>
      <c r="AE27" s="311">
        <f t="shared" ca="1" si="11"/>
        <v>0</v>
      </c>
    </row>
    <row r="28" spans="1:31" x14ac:dyDescent="0.2">
      <c r="A28" s="201">
        <f t="shared" ca="1" si="0"/>
        <v>16</v>
      </c>
      <c r="B28" s="193">
        <f t="shared" si="9"/>
        <v>16</v>
      </c>
      <c r="C28" s="192">
        <f ca="1">IF(ISERROR(LARGE('Berechnungen 2'!$E$16:$E$315,B28)),"",LARGE('Berechnungen 2'!$E$16:$E$315,B28))</f>
        <v>285</v>
      </c>
      <c r="D28" s="201" t="str">
        <f t="shared" ca="1" si="10"/>
        <v/>
      </c>
      <c r="E28" s="201" t="str">
        <f t="shared" ca="1" si="10"/>
        <v/>
      </c>
      <c r="F28" s="201" t="str">
        <f t="shared" ca="1" si="10"/>
        <v/>
      </c>
      <c r="G28" s="205" t="str">
        <f t="shared" ca="1" si="10"/>
        <v/>
      </c>
      <c r="H28" s="202" t="str">
        <f t="shared" ca="1" si="10"/>
        <v/>
      </c>
      <c r="I28" s="201" t="str">
        <f t="shared" ca="1" si="10"/>
        <v/>
      </c>
      <c r="J28" s="93" t="str">
        <f t="shared" ca="1" si="10"/>
        <v/>
      </c>
      <c r="K28" s="93" t="str">
        <f t="shared" ca="1" si="10"/>
        <v/>
      </c>
      <c r="L28" s="93" t="str">
        <f t="shared" ca="1" si="10"/>
        <v/>
      </c>
      <c r="M28" s="93" t="str">
        <f t="shared" ca="1" si="10"/>
        <v/>
      </c>
      <c r="N28" s="93" t="str">
        <f t="shared" ca="1" si="10"/>
        <v/>
      </c>
      <c r="O28" s="93" t="str">
        <f t="shared" ca="1" si="10"/>
        <v/>
      </c>
      <c r="P28" s="312" t="str">
        <f t="shared" ca="1" si="2"/>
        <v/>
      </c>
      <c r="Q28" s="93" t="str">
        <f t="shared" ca="1" si="2"/>
        <v/>
      </c>
      <c r="R28" s="93" t="str">
        <f t="shared" ca="1" si="2"/>
        <v/>
      </c>
      <c r="S28" s="201" t="str">
        <f t="shared" ca="1" si="3"/>
        <v/>
      </c>
      <c r="T28" s="201"/>
      <c r="Z28" s="40" t="e">
        <f t="shared" ca="1" si="5"/>
        <v>#N/A</v>
      </c>
      <c r="AA28" s="310">
        <f t="shared" ca="1" si="6"/>
        <v>999</v>
      </c>
      <c r="AB28" s="40" t="e">
        <f ca="1">IF(ISNUMBER($A28),VLOOKUP('Berechnungen 2'!AI31,Matrix_Empfehlung.Stromkosten.ID.BOText,3,1),"")</f>
        <v>#VALUE!</v>
      </c>
      <c r="AC28" s="40">
        <f t="shared" ca="1" si="7"/>
        <v>999</v>
      </c>
      <c r="AD28" s="40">
        <f t="shared" ca="1" si="7"/>
        <v>16</v>
      </c>
      <c r="AE28" s="311">
        <f t="shared" ca="1" si="11"/>
        <v>0</v>
      </c>
    </row>
    <row r="29" spans="1:31" x14ac:dyDescent="0.2">
      <c r="A29" s="201">
        <f t="shared" ca="1" si="0"/>
        <v>17</v>
      </c>
      <c r="B29" s="193">
        <f t="shared" si="9"/>
        <v>17</v>
      </c>
      <c r="C29" s="192">
        <f ca="1">IF(ISERROR(LARGE('Berechnungen 2'!$E$16:$E$315,B29)),"",LARGE('Berechnungen 2'!$E$16:$E$315,B29))</f>
        <v>284</v>
      </c>
      <c r="D29" s="201" t="str">
        <f t="shared" ca="1" si="10"/>
        <v/>
      </c>
      <c r="E29" s="201" t="str">
        <f t="shared" ca="1" si="10"/>
        <v/>
      </c>
      <c r="F29" s="201" t="str">
        <f t="shared" ca="1" si="10"/>
        <v/>
      </c>
      <c r="G29" s="205" t="str">
        <f t="shared" ca="1" si="10"/>
        <v/>
      </c>
      <c r="H29" s="202" t="str">
        <f t="shared" ca="1" si="10"/>
        <v/>
      </c>
      <c r="I29" s="201" t="str">
        <f t="shared" ca="1" si="10"/>
        <v/>
      </c>
      <c r="J29" s="93" t="str">
        <f t="shared" ca="1" si="10"/>
        <v/>
      </c>
      <c r="K29" s="93" t="str">
        <f t="shared" ca="1" si="10"/>
        <v/>
      </c>
      <c r="L29" s="93" t="str">
        <f t="shared" ca="1" si="10"/>
        <v/>
      </c>
      <c r="M29" s="93" t="str">
        <f t="shared" ca="1" si="10"/>
        <v/>
      </c>
      <c r="N29" s="93" t="str">
        <f t="shared" ca="1" si="10"/>
        <v/>
      </c>
      <c r="O29" s="93" t="str">
        <f t="shared" ca="1" si="10"/>
        <v/>
      </c>
      <c r="P29" s="312" t="str">
        <f t="shared" ca="1" si="2"/>
        <v/>
      </c>
      <c r="Q29" s="93" t="str">
        <f t="shared" ca="1" si="2"/>
        <v/>
      </c>
      <c r="R29" s="93" t="str">
        <f t="shared" ca="1" si="2"/>
        <v/>
      </c>
      <c r="S29" s="201" t="str">
        <f t="shared" ca="1" si="3"/>
        <v/>
      </c>
      <c r="T29" s="201"/>
      <c r="Z29" s="40" t="e">
        <f t="shared" ca="1" si="5"/>
        <v>#N/A</v>
      </c>
      <c r="AA29" s="310">
        <f t="shared" ca="1" si="6"/>
        <v>999</v>
      </c>
      <c r="AB29" s="40" t="e">
        <f ca="1">IF(ISNUMBER($A29),VLOOKUP('Berechnungen 2'!AI32,Matrix_Empfehlung.Stromkosten.ID.BOText,3,1),"")</f>
        <v>#VALUE!</v>
      </c>
      <c r="AC29" s="40">
        <f t="shared" ca="1" si="7"/>
        <v>999</v>
      </c>
      <c r="AD29" s="40">
        <f t="shared" ca="1" si="7"/>
        <v>17</v>
      </c>
      <c r="AE29" s="311">
        <f t="shared" ca="1" si="11"/>
        <v>0</v>
      </c>
    </row>
    <row r="30" spans="1:31" x14ac:dyDescent="0.2">
      <c r="A30" s="201">
        <f t="shared" ca="1" si="0"/>
        <v>18</v>
      </c>
      <c r="B30" s="193">
        <f t="shared" si="9"/>
        <v>18</v>
      </c>
      <c r="C30" s="192">
        <f ca="1">IF(ISERROR(LARGE('Berechnungen 2'!$E$16:$E$315,B30)),"",LARGE('Berechnungen 2'!$E$16:$E$315,B30))</f>
        <v>283</v>
      </c>
      <c r="D30" s="201" t="str">
        <f t="shared" ca="1" si="10"/>
        <v/>
      </c>
      <c r="E30" s="201" t="str">
        <f t="shared" ca="1" si="10"/>
        <v/>
      </c>
      <c r="F30" s="201" t="str">
        <f t="shared" ca="1" si="10"/>
        <v/>
      </c>
      <c r="G30" s="205" t="str">
        <f t="shared" ca="1" si="10"/>
        <v/>
      </c>
      <c r="H30" s="202" t="str">
        <f t="shared" ca="1" si="10"/>
        <v/>
      </c>
      <c r="I30" s="201" t="str">
        <f t="shared" ca="1" si="10"/>
        <v/>
      </c>
      <c r="J30" s="93" t="str">
        <f t="shared" ca="1" si="10"/>
        <v/>
      </c>
      <c r="K30" s="93" t="str">
        <f t="shared" ca="1" si="10"/>
        <v/>
      </c>
      <c r="L30" s="93" t="str">
        <f t="shared" ca="1" si="10"/>
        <v/>
      </c>
      <c r="M30" s="93" t="str">
        <f t="shared" ca="1" si="10"/>
        <v/>
      </c>
      <c r="N30" s="93" t="str">
        <f t="shared" ca="1" si="10"/>
        <v/>
      </c>
      <c r="O30" s="93" t="str">
        <f t="shared" ca="1" si="10"/>
        <v/>
      </c>
      <c r="P30" s="312" t="str">
        <f t="shared" ca="1" si="2"/>
        <v/>
      </c>
      <c r="Q30" s="93" t="str">
        <f t="shared" ca="1" si="2"/>
        <v/>
      </c>
      <c r="R30" s="93" t="str">
        <f t="shared" ca="1" si="2"/>
        <v/>
      </c>
      <c r="S30" s="201" t="str">
        <f t="shared" ca="1" si="3"/>
        <v/>
      </c>
      <c r="T30" s="201"/>
      <c r="Z30" s="40" t="e">
        <f t="shared" ca="1" si="5"/>
        <v>#N/A</v>
      </c>
      <c r="AA30" s="310">
        <f t="shared" ca="1" si="6"/>
        <v>999</v>
      </c>
      <c r="AB30" s="40" t="e">
        <f ca="1">IF(ISNUMBER($A30),VLOOKUP('Berechnungen 2'!AI33,Matrix_Empfehlung.Stromkosten.ID.BOText,3,1),"")</f>
        <v>#VALUE!</v>
      </c>
      <c r="AC30" s="40">
        <f t="shared" ca="1" si="7"/>
        <v>999</v>
      </c>
      <c r="AD30" s="40">
        <f t="shared" ca="1" si="7"/>
        <v>18</v>
      </c>
      <c r="AE30" s="311">
        <f t="shared" ca="1" si="11"/>
        <v>0</v>
      </c>
    </row>
    <row r="31" spans="1:31" x14ac:dyDescent="0.2">
      <c r="A31" s="201">
        <f t="shared" ca="1" si="0"/>
        <v>19</v>
      </c>
      <c r="B31" s="193">
        <f t="shared" si="9"/>
        <v>19</v>
      </c>
      <c r="C31" s="192">
        <f ca="1">IF(ISERROR(LARGE('Berechnungen 2'!$E$16:$E$315,B31)),"",LARGE('Berechnungen 2'!$E$16:$E$315,B31))</f>
        <v>282</v>
      </c>
      <c r="D31" s="201" t="str">
        <f t="shared" ca="1" si="10"/>
        <v/>
      </c>
      <c r="E31" s="201" t="str">
        <f t="shared" ca="1" si="10"/>
        <v/>
      </c>
      <c r="F31" s="201" t="str">
        <f t="shared" ca="1" si="10"/>
        <v/>
      </c>
      <c r="G31" s="205" t="str">
        <f t="shared" ca="1" si="10"/>
        <v/>
      </c>
      <c r="H31" s="202" t="str">
        <f t="shared" ca="1" si="10"/>
        <v/>
      </c>
      <c r="I31" s="201" t="str">
        <f t="shared" ca="1" si="10"/>
        <v/>
      </c>
      <c r="J31" s="93" t="str">
        <f t="shared" ca="1" si="10"/>
        <v/>
      </c>
      <c r="K31" s="93" t="str">
        <f t="shared" ca="1" si="10"/>
        <v/>
      </c>
      <c r="L31" s="93" t="str">
        <f t="shared" ca="1" si="10"/>
        <v/>
      </c>
      <c r="M31" s="93" t="str">
        <f t="shared" ca="1" si="10"/>
        <v/>
      </c>
      <c r="N31" s="93" t="str">
        <f t="shared" ca="1" si="10"/>
        <v/>
      </c>
      <c r="O31" s="93" t="str">
        <f t="shared" ca="1" si="10"/>
        <v/>
      </c>
      <c r="P31" s="312" t="str">
        <f t="shared" ca="1" si="2"/>
        <v/>
      </c>
      <c r="Q31" s="93" t="str">
        <f t="shared" ca="1" si="2"/>
        <v/>
      </c>
      <c r="R31" s="93" t="str">
        <f t="shared" ca="1" si="2"/>
        <v/>
      </c>
      <c r="S31" s="201" t="str">
        <f t="shared" ca="1" si="3"/>
        <v/>
      </c>
      <c r="T31" s="201"/>
      <c r="Z31" s="40" t="e">
        <f t="shared" ca="1" si="5"/>
        <v>#N/A</v>
      </c>
      <c r="AA31" s="310">
        <f t="shared" ca="1" si="6"/>
        <v>999</v>
      </c>
      <c r="AB31" s="40" t="e">
        <f ca="1">IF(ISNUMBER($A31),VLOOKUP('Berechnungen 2'!AI34,Matrix_Empfehlung.Stromkosten.ID.BOText,3,1),"")</f>
        <v>#VALUE!</v>
      </c>
      <c r="AC31" s="40">
        <f t="shared" ca="1" si="7"/>
        <v>999</v>
      </c>
      <c r="AD31" s="40">
        <f t="shared" ca="1" si="7"/>
        <v>19</v>
      </c>
      <c r="AE31" s="311">
        <f t="shared" ca="1" si="11"/>
        <v>0</v>
      </c>
    </row>
    <row r="32" spans="1:31" x14ac:dyDescent="0.2">
      <c r="A32" s="201">
        <f t="shared" ca="1" si="0"/>
        <v>20</v>
      </c>
      <c r="B32" s="193">
        <f t="shared" si="9"/>
        <v>20</v>
      </c>
      <c r="C32" s="192">
        <f ca="1">IF(ISERROR(LARGE('Berechnungen 2'!$E$16:$E$315,B32)),"",LARGE('Berechnungen 2'!$E$16:$E$315,B32))</f>
        <v>281</v>
      </c>
      <c r="D32" s="201" t="str">
        <f t="shared" ca="1" si="10"/>
        <v/>
      </c>
      <c r="E32" s="201" t="str">
        <f t="shared" ca="1" si="10"/>
        <v/>
      </c>
      <c r="F32" s="201" t="str">
        <f t="shared" ca="1" si="10"/>
        <v/>
      </c>
      <c r="G32" s="205" t="str">
        <f t="shared" ca="1" si="10"/>
        <v/>
      </c>
      <c r="H32" s="202" t="str">
        <f t="shared" ca="1" si="10"/>
        <v/>
      </c>
      <c r="I32" s="201" t="str">
        <f t="shared" ca="1" si="10"/>
        <v/>
      </c>
      <c r="J32" s="93" t="str">
        <f t="shared" ca="1" si="10"/>
        <v/>
      </c>
      <c r="K32" s="93" t="str">
        <f t="shared" ca="1" si="10"/>
        <v/>
      </c>
      <c r="L32" s="93" t="str">
        <f t="shared" ca="1" si="10"/>
        <v/>
      </c>
      <c r="M32" s="93" t="str">
        <f t="shared" ca="1" si="10"/>
        <v/>
      </c>
      <c r="N32" s="93" t="str">
        <f t="shared" ca="1" si="10"/>
        <v/>
      </c>
      <c r="O32" s="93" t="str">
        <f t="shared" ca="1" si="10"/>
        <v/>
      </c>
      <c r="P32" s="312" t="str">
        <f t="shared" ca="1" si="2"/>
        <v/>
      </c>
      <c r="Q32" s="93" t="str">
        <f t="shared" ca="1" si="2"/>
        <v/>
      </c>
      <c r="R32" s="93" t="str">
        <f t="shared" ca="1" si="2"/>
        <v/>
      </c>
      <c r="S32" s="201" t="str">
        <f t="shared" ca="1" si="3"/>
        <v/>
      </c>
      <c r="T32" s="201"/>
      <c r="Z32" s="40" t="e">
        <f t="shared" ca="1" si="5"/>
        <v>#N/A</v>
      </c>
      <c r="AA32" s="310">
        <f t="shared" ca="1" si="6"/>
        <v>999</v>
      </c>
      <c r="AB32" s="40" t="e">
        <f ca="1">IF(ISNUMBER($A32),VLOOKUP('Berechnungen 2'!AI35,Matrix_Empfehlung.Stromkosten.ID.BOText,3,1),"")</f>
        <v>#VALUE!</v>
      </c>
      <c r="AC32" s="40">
        <f t="shared" ca="1" si="7"/>
        <v>999</v>
      </c>
      <c r="AD32" s="40">
        <f t="shared" ca="1" si="7"/>
        <v>20</v>
      </c>
      <c r="AE32" s="311">
        <f t="shared" ca="1" si="11"/>
        <v>0</v>
      </c>
    </row>
    <row r="33" spans="1:31" x14ac:dyDescent="0.2">
      <c r="A33" s="201">
        <f t="shared" ca="1" si="0"/>
        <v>21</v>
      </c>
      <c r="B33" s="193">
        <f t="shared" si="9"/>
        <v>21</v>
      </c>
      <c r="C33" s="192">
        <f ca="1">IF(ISERROR(LARGE('Berechnungen 2'!$E$16:$E$315,B33)),"",LARGE('Berechnungen 2'!$E$16:$E$315,B33))</f>
        <v>280</v>
      </c>
      <c r="D33" s="201" t="str">
        <f t="shared" ref="D33:O42" ca="1" si="12">IF($AC33&gt;0,VLOOKUP($C33,Matrix_Berechnungen2.Rang.Pumpendaten.Endresultate,D$9,0),"")</f>
        <v/>
      </c>
      <c r="E33" s="201" t="str">
        <f t="shared" ca="1" si="12"/>
        <v/>
      </c>
      <c r="F33" s="201" t="str">
        <f t="shared" ca="1" si="12"/>
        <v/>
      </c>
      <c r="G33" s="205" t="str">
        <f t="shared" ca="1" si="12"/>
        <v/>
      </c>
      <c r="H33" s="202" t="str">
        <f t="shared" ca="1" si="12"/>
        <v/>
      </c>
      <c r="I33" s="201" t="str">
        <f t="shared" ca="1" si="12"/>
        <v/>
      </c>
      <c r="J33" s="93" t="str">
        <f t="shared" ca="1" si="12"/>
        <v/>
      </c>
      <c r="K33" s="93" t="str">
        <f t="shared" ca="1" si="12"/>
        <v/>
      </c>
      <c r="L33" s="93" t="str">
        <f t="shared" ca="1" si="12"/>
        <v/>
      </c>
      <c r="M33" s="93" t="str">
        <f t="shared" ca="1" si="12"/>
        <v/>
      </c>
      <c r="N33" s="93" t="str">
        <f t="shared" ca="1" si="12"/>
        <v/>
      </c>
      <c r="O33" s="93" t="str">
        <f t="shared" ca="1" si="12"/>
        <v/>
      </c>
      <c r="P33" s="312" t="str">
        <f t="shared" ref="P33:R52" ca="1" si="13">IF(AND($AC33&gt;0,$AC33&lt;&gt;999),VLOOKUP($C33,Matrix_Berechnungen2.Rang.Pumpendaten.Endresultate,P$9,0),"")</f>
        <v/>
      </c>
      <c r="Q33" s="93" t="str">
        <f t="shared" ca="1" si="13"/>
        <v/>
      </c>
      <c r="R33" s="93" t="str">
        <f t="shared" ca="1" si="13"/>
        <v/>
      </c>
      <c r="S33" s="201" t="str">
        <f t="shared" ca="1" si="3"/>
        <v/>
      </c>
      <c r="T33" s="201"/>
      <c r="Z33" s="40" t="e">
        <f t="shared" ca="1" si="5"/>
        <v>#N/A</v>
      </c>
      <c r="AA33" s="310">
        <f t="shared" ca="1" si="6"/>
        <v>999</v>
      </c>
      <c r="AB33" s="40" t="e">
        <f ca="1">IF(ISNUMBER($A33),VLOOKUP('Berechnungen 2'!AI36,Matrix_Empfehlung.Stromkosten.ID.BOText,3,1),"")</f>
        <v>#VALUE!</v>
      </c>
      <c r="AC33" s="40">
        <f t="shared" ref="AC33:AD52" ca="1" si="14">IF(VLOOKUP($C33,Matrix_Berechnungen2.Rang.Pumpendaten.Endresultate,$C$9,0)&gt;0,VLOOKUP($C33,Matrix_Berechnungen2.Rang.Pumpendaten.Endresultate,AC$9,0),"")</f>
        <v>999</v>
      </c>
      <c r="AD33" s="40">
        <f t="shared" ca="1" si="14"/>
        <v>21</v>
      </c>
      <c r="AE33" s="311">
        <f t="shared" ca="1" si="11"/>
        <v>0</v>
      </c>
    </row>
    <row r="34" spans="1:31" x14ac:dyDescent="0.2">
      <c r="A34" s="201">
        <f t="shared" ca="1" si="0"/>
        <v>22</v>
      </c>
      <c r="B34" s="193">
        <f t="shared" si="9"/>
        <v>22</v>
      </c>
      <c r="C34" s="192">
        <f ca="1">IF(ISERROR(LARGE('Berechnungen 2'!$E$16:$E$315,B34)),"",LARGE('Berechnungen 2'!$E$16:$E$315,B34))</f>
        <v>279</v>
      </c>
      <c r="D34" s="201" t="str">
        <f t="shared" ca="1" si="12"/>
        <v/>
      </c>
      <c r="E34" s="201" t="str">
        <f t="shared" ca="1" si="12"/>
        <v/>
      </c>
      <c r="F34" s="201" t="str">
        <f t="shared" ca="1" si="12"/>
        <v/>
      </c>
      <c r="G34" s="205" t="str">
        <f t="shared" ca="1" si="12"/>
        <v/>
      </c>
      <c r="H34" s="202" t="str">
        <f t="shared" ca="1" si="12"/>
        <v/>
      </c>
      <c r="I34" s="201" t="str">
        <f t="shared" ca="1" si="12"/>
        <v/>
      </c>
      <c r="J34" s="93" t="str">
        <f t="shared" ca="1" si="12"/>
        <v/>
      </c>
      <c r="K34" s="93" t="str">
        <f t="shared" ca="1" si="12"/>
        <v/>
      </c>
      <c r="L34" s="93" t="str">
        <f t="shared" ca="1" si="12"/>
        <v/>
      </c>
      <c r="M34" s="93" t="str">
        <f t="shared" ca="1" si="12"/>
        <v/>
      </c>
      <c r="N34" s="93" t="str">
        <f t="shared" ca="1" si="12"/>
        <v/>
      </c>
      <c r="O34" s="93" t="str">
        <f t="shared" ca="1" si="12"/>
        <v/>
      </c>
      <c r="P34" s="312" t="str">
        <f t="shared" ca="1" si="13"/>
        <v/>
      </c>
      <c r="Q34" s="93" t="str">
        <f t="shared" ca="1" si="13"/>
        <v/>
      </c>
      <c r="R34" s="93" t="str">
        <f t="shared" ca="1" si="13"/>
        <v/>
      </c>
      <c r="S34" s="201" t="str">
        <f t="shared" ca="1" si="3"/>
        <v/>
      </c>
      <c r="T34" s="201"/>
      <c r="Z34" s="40" t="e">
        <f t="shared" ca="1" si="5"/>
        <v>#N/A</v>
      </c>
      <c r="AA34" s="310">
        <f t="shared" ca="1" si="6"/>
        <v>999</v>
      </c>
      <c r="AB34" s="40" t="e">
        <f ca="1">IF(ISNUMBER($A34),VLOOKUP('Berechnungen 2'!AI37,Matrix_Empfehlung.Stromkosten.ID.BOText,3,1),"")</f>
        <v>#VALUE!</v>
      </c>
      <c r="AC34" s="40">
        <f t="shared" ca="1" si="14"/>
        <v>999</v>
      </c>
      <c r="AD34" s="40">
        <f t="shared" ca="1" si="14"/>
        <v>22</v>
      </c>
      <c r="AE34" s="311">
        <f t="shared" ca="1" si="11"/>
        <v>0</v>
      </c>
    </row>
    <row r="35" spans="1:31" x14ac:dyDescent="0.2">
      <c r="A35" s="201">
        <f t="shared" ca="1" si="0"/>
        <v>23</v>
      </c>
      <c r="B35" s="193">
        <f t="shared" si="9"/>
        <v>23</v>
      </c>
      <c r="C35" s="192">
        <f ca="1">IF(ISERROR(LARGE('Berechnungen 2'!$E$16:$E$315,B35)),"",LARGE('Berechnungen 2'!$E$16:$E$315,B35))</f>
        <v>278</v>
      </c>
      <c r="D35" s="201" t="str">
        <f t="shared" ca="1" si="12"/>
        <v/>
      </c>
      <c r="E35" s="201" t="str">
        <f t="shared" ca="1" si="12"/>
        <v/>
      </c>
      <c r="F35" s="201" t="str">
        <f t="shared" ca="1" si="12"/>
        <v/>
      </c>
      <c r="G35" s="205" t="str">
        <f t="shared" ca="1" si="12"/>
        <v/>
      </c>
      <c r="H35" s="202" t="str">
        <f t="shared" ca="1" si="12"/>
        <v/>
      </c>
      <c r="I35" s="201" t="str">
        <f t="shared" ca="1" si="12"/>
        <v/>
      </c>
      <c r="J35" s="93" t="str">
        <f t="shared" ca="1" si="12"/>
        <v/>
      </c>
      <c r="K35" s="93" t="str">
        <f t="shared" ca="1" si="12"/>
        <v/>
      </c>
      <c r="L35" s="93" t="str">
        <f t="shared" ca="1" si="12"/>
        <v/>
      </c>
      <c r="M35" s="93" t="str">
        <f t="shared" ca="1" si="12"/>
        <v/>
      </c>
      <c r="N35" s="93" t="str">
        <f t="shared" ca="1" si="12"/>
        <v/>
      </c>
      <c r="O35" s="93" t="str">
        <f t="shared" ca="1" si="12"/>
        <v/>
      </c>
      <c r="P35" s="312" t="str">
        <f t="shared" ca="1" si="13"/>
        <v/>
      </c>
      <c r="Q35" s="93" t="str">
        <f t="shared" ca="1" si="13"/>
        <v/>
      </c>
      <c r="R35" s="93" t="str">
        <f t="shared" ca="1" si="13"/>
        <v/>
      </c>
      <c r="S35" s="201" t="str">
        <f t="shared" ca="1" si="3"/>
        <v/>
      </c>
      <c r="T35" s="201"/>
      <c r="Z35" s="40" t="e">
        <f t="shared" ca="1" si="5"/>
        <v>#N/A</v>
      </c>
      <c r="AA35" s="310">
        <f t="shared" ca="1" si="6"/>
        <v>999</v>
      </c>
      <c r="AB35" s="40" t="e">
        <f ca="1">IF(ISNUMBER($A35),VLOOKUP('Berechnungen 2'!AI38,Matrix_Empfehlung.Stromkosten.ID.BOText,3,1),"")</f>
        <v>#VALUE!</v>
      </c>
      <c r="AC35" s="40">
        <f t="shared" ca="1" si="14"/>
        <v>999</v>
      </c>
      <c r="AD35" s="40">
        <f t="shared" ca="1" si="14"/>
        <v>23</v>
      </c>
      <c r="AE35" s="311">
        <f t="shared" ca="1" si="11"/>
        <v>0</v>
      </c>
    </row>
    <row r="36" spans="1:31" x14ac:dyDescent="0.2">
      <c r="A36" s="201">
        <f t="shared" ca="1" si="0"/>
        <v>24</v>
      </c>
      <c r="B36" s="193">
        <f t="shared" si="9"/>
        <v>24</v>
      </c>
      <c r="C36" s="192">
        <f ca="1">IF(ISERROR(LARGE('Berechnungen 2'!$E$16:$E$315,B36)),"",LARGE('Berechnungen 2'!$E$16:$E$315,B36))</f>
        <v>277</v>
      </c>
      <c r="D36" s="201" t="str">
        <f t="shared" ca="1" si="12"/>
        <v/>
      </c>
      <c r="E36" s="201" t="str">
        <f t="shared" ca="1" si="12"/>
        <v/>
      </c>
      <c r="F36" s="201" t="str">
        <f t="shared" ca="1" si="12"/>
        <v/>
      </c>
      <c r="G36" s="205" t="str">
        <f t="shared" ca="1" si="12"/>
        <v/>
      </c>
      <c r="H36" s="202" t="str">
        <f t="shared" ca="1" si="12"/>
        <v/>
      </c>
      <c r="I36" s="201" t="str">
        <f t="shared" ca="1" si="12"/>
        <v/>
      </c>
      <c r="J36" s="93" t="str">
        <f t="shared" ca="1" si="12"/>
        <v/>
      </c>
      <c r="K36" s="93" t="str">
        <f t="shared" ca="1" si="12"/>
        <v/>
      </c>
      <c r="L36" s="93" t="str">
        <f t="shared" ca="1" si="12"/>
        <v/>
      </c>
      <c r="M36" s="93" t="str">
        <f t="shared" ca="1" si="12"/>
        <v/>
      </c>
      <c r="N36" s="93" t="str">
        <f t="shared" ca="1" si="12"/>
        <v/>
      </c>
      <c r="O36" s="93" t="str">
        <f t="shared" ca="1" si="12"/>
        <v/>
      </c>
      <c r="P36" s="312" t="str">
        <f t="shared" ca="1" si="13"/>
        <v/>
      </c>
      <c r="Q36" s="93" t="str">
        <f t="shared" ca="1" si="13"/>
        <v/>
      </c>
      <c r="R36" s="93" t="str">
        <f t="shared" ca="1" si="13"/>
        <v/>
      </c>
      <c r="S36" s="201" t="str">
        <f t="shared" ca="1" si="3"/>
        <v/>
      </c>
      <c r="T36" s="201"/>
      <c r="Z36" s="40" t="e">
        <f t="shared" ca="1" si="5"/>
        <v>#N/A</v>
      </c>
      <c r="AA36" s="310">
        <f t="shared" ca="1" si="6"/>
        <v>999</v>
      </c>
      <c r="AB36" s="40" t="e">
        <f ca="1">IF(ISNUMBER($A36),VLOOKUP('Berechnungen 2'!AI39,Matrix_Empfehlung.Stromkosten.ID.BOText,3,1),"")</f>
        <v>#VALUE!</v>
      </c>
      <c r="AC36" s="40">
        <f t="shared" ca="1" si="14"/>
        <v>999</v>
      </c>
      <c r="AD36" s="40">
        <f t="shared" ca="1" si="14"/>
        <v>24</v>
      </c>
      <c r="AE36" s="311">
        <f t="shared" ca="1" si="11"/>
        <v>0</v>
      </c>
    </row>
    <row r="37" spans="1:31" x14ac:dyDescent="0.2">
      <c r="A37" s="201">
        <f t="shared" ca="1" si="0"/>
        <v>25</v>
      </c>
      <c r="B37" s="193">
        <f t="shared" si="9"/>
        <v>25</v>
      </c>
      <c r="C37" s="192">
        <f ca="1">IF(ISERROR(LARGE('Berechnungen 2'!$E$16:$E$315,B37)),"",LARGE('Berechnungen 2'!$E$16:$E$315,B37))</f>
        <v>276</v>
      </c>
      <c r="D37" s="201" t="str">
        <f t="shared" ca="1" si="12"/>
        <v/>
      </c>
      <c r="E37" s="201" t="str">
        <f t="shared" ca="1" si="12"/>
        <v/>
      </c>
      <c r="F37" s="201" t="str">
        <f t="shared" ca="1" si="12"/>
        <v/>
      </c>
      <c r="G37" s="205" t="str">
        <f t="shared" ca="1" si="12"/>
        <v/>
      </c>
      <c r="H37" s="202" t="str">
        <f t="shared" ca="1" si="12"/>
        <v/>
      </c>
      <c r="I37" s="201" t="str">
        <f t="shared" ca="1" si="12"/>
        <v/>
      </c>
      <c r="J37" s="93" t="str">
        <f t="shared" ca="1" si="12"/>
        <v/>
      </c>
      <c r="K37" s="93" t="str">
        <f t="shared" ca="1" si="12"/>
        <v/>
      </c>
      <c r="L37" s="93" t="str">
        <f t="shared" ca="1" si="12"/>
        <v/>
      </c>
      <c r="M37" s="93" t="str">
        <f t="shared" ca="1" si="12"/>
        <v/>
      </c>
      <c r="N37" s="93" t="str">
        <f t="shared" ca="1" si="12"/>
        <v/>
      </c>
      <c r="O37" s="93" t="str">
        <f t="shared" ca="1" si="12"/>
        <v/>
      </c>
      <c r="P37" s="312" t="str">
        <f t="shared" ca="1" si="13"/>
        <v/>
      </c>
      <c r="Q37" s="93" t="str">
        <f t="shared" ca="1" si="13"/>
        <v/>
      </c>
      <c r="R37" s="93" t="str">
        <f t="shared" ca="1" si="13"/>
        <v/>
      </c>
      <c r="S37" s="201" t="str">
        <f t="shared" ca="1" si="3"/>
        <v/>
      </c>
      <c r="T37" s="201"/>
      <c r="Z37" s="40" t="e">
        <f t="shared" ca="1" si="5"/>
        <v>#N/A</v>
      </c>
      <c r="AA37" s="310">
        <f t="shared" ca="1" si="6"/>
        <v>999</v>
      </c>
      <c r="AB37" s="40" t="e">
        <f ca="1">IF(ISNUMBER($A37),VLOOKUP('Berechnungen 2'!AI40,Matrix_Empfehlung.Stromkosten.ID.BOText,3,1),"")</f>
        <v>#VALUE!</v>
      </c>
      <c r="AC37" s="40">
        <f t="shared" ca="1" si="14"/>
        <v>999</v>
      </c>
      <c r="AD37" s="40">
        <f t="shared" ca="1" si="14"/>
        <v>25</v>
      </c>
      <c r="AE37" s="311">
        <f t="shared" ca="1" si="11"/>
        <v>0</v>
      </c>
    </row>
    <row r="38" spans="1:31" x14ac:dyDescent="0.2">
      <c r="A38" s="201">
        <f t="shared" ca="1" si="0"/>
        <v>26</v>
      </c>
      <c r="B38" s="193">
        <f t="shared" si="9"/>
        <v>26</v>
      </c>
      <c r="C38" s="192">
        <f ca="1">IF(ISERROR(LARGE('Berechnungen 2'!$E$16:$E$315,B38)),"",LARGE('Berechnungen 2'!$E$16:$E$315,B38))</f>
        <v>275</v>
      </c>
      <c r="D38" s="201" t="str">
        <f t="shared" ca="1" si="12"/>
        <v/>
      </c>
      <c r="E38" s="201" t="str">
        <f t="shared" ca="1" si="12"/>
        <v/>
      </c>
      <c r="F38" s="201" t="str">
        <f t="shared" ca="1" si="12"/>
        <v/>
      </c>
      <c r="G38" s="205" t="str">
        <f t="shared" ca="1" si="12"/>
        <v/>
      </c>
      <c r="H38" s="202" t="str">
        <f t="shared" ca="1" si="12"/>
        <v/>
      </c>
      <c r="I38" s="201" t="str">
        <f t="shared" ca="1" si="12"/>
        <v/>
      </c>
      <c r="J38" s="93" t="str">
        <f t="shared" ca="1" si="12"/>
        <v/>
      </c>
      <c r="K38" s="93" t="str">
        <f t="shared" ca="1" si="12"/>
        <v/>
      </c>
      <c r="L38" s="93" t="str">
        <f t="shared" ca="1" si="12"/>
        <v/>
      </c>
      <c r="M38" s="93" t="str">
        <f t="shared" ca="1" si="12"/>
        <v/>
      </c>
      <c r="N38" s="93" t="str">
        <f t="shared" ca="1" si="12"/>
        <v/>
      </c>
      <c r="O38" s="93" t="str">
        <f t="shared" ca="1" si="12"/>
        <v/>
      </c>
      <c r="P38" s="312" t="str">
        <f t="shared" ca="1" si="13"/>
        <v/>
      </c>
      <c r="Q38" s="93" t="str">
        <f t="shared" ca="1" si="13"/>
        <v/>
      </c>
      <c r="R38" s="93" t="str">
        <f t="shared" ca="1" si="13"/>
        <v/>
      </c>
      <c r="S38" s="201" t="str">
        <f t="shared" ca="1" si="3"/>
        <v/>
      </c>
      <c r="T38" s="201"/>
      <c r="Z38" s="40" t="e">
        <f t="shared" ca="1" si="5"/>
        <v>#N/A</v>
      </c>
      <c r="AA38" s="310">
        <f t="shared" ca="1" si="6"/>
        <v>999</v>
      </c>
      <c r="AB38" s="40" t="e">
        <f ca="1">IF(ISNUMBER($A38),VLOOKUP('Berechnungen 2'!AI41,Matrix_Empfehlung.Stromkosten.ID.BOText,3,1),"")</f>
        <v>#VALUE!</v>
      </c>
      <c r="AC38" s="40">
        <f t="shared" ca="1" si="14"/>
        <v>999</v>
      </c>
      <c r="AD38" s="40">
        <f t="shared" ca="1" si="14"/>
        <v>26</v>
      </c>
      <c r="AE38" s="311">
        <f t="shared" ca="1" si="11"/>
        <v>0</v>
      </c>
    </row>
    <row r="39" spans="1:31" x14ac:dyDescent="0.2">
      <c r="A39" s="201">
        <f t="shared" ca="1" si="0"/>
        <v>27</v>
      </c>
      <c r="B39" s="193">
        <f t="shared" si="9"/>
        <v>27</v>
      </c>
      <c r="C39" s="192">
        <f ca="1">IF(ISERROR(LARGE('Berechnungen 2'!$E$16:$E$315,B39)),"",LARGE('Berechnungen 2'!$E$16:$E$315,B39))</f>
        <v>274</v>
      </c>
      <c r="D39" s="201" t="str">
        <f t="shared" ca="1" si="12"/>
        <v/>
      </c>
      <c r="E39" s="201" t="str">
        <f t="shared" ca="1" si="12"/>
        <v/>
      </c>
      <c r="F39" s="201" t="str">
        <f t="shared" ca="1" si="12"/>
        <v/>
      </c>
      <c r="G39" s="205" t="str">
        <f t="shared" ca="1" si="12"/>
        <v/>
      </c>
      <c r="H39" s="202" t="str">
        <f t="shared" ca="1" si="12"/>
        <v/>
      </c>
      <c r="I39" s="201" t="str">
        <f t="shared" ca="1" si="12"/>
        <v/>
      </c>
      <c r="J39" s="93" t="str">
        <f t="shared" ca="1" si="12"/>
        <v/>
      </c>
      <c r="K39" s="93" t="str">
        <f t="shared" ca="1" si="12"/>
        <v/>
      </c>
      <c r="L39" s="93" t="str">
        <f t="shared" ca="1" si="12"/>
        <v/>
      </c>
      <c r="M39" s="93" t="str">
        <f t="shared" ca="1" si="12"/>
        <v/>
      </c>
      <c r="N39" s="93" t="str">
        <f t="shared" ca="1" si="12"/>
        <v/>
      </c>
      <c r="O39" s="93" t="str">
        <f t="shared" ca="1" si="12"/>
        <v/>
      </c>
      <c r="P39" s="312" t="str">
        <f t="shared" ca="1" si="13"/>
        <v/>
      </c>
      <c r="Q39" s="93" t="str">
        <f t="shared" ca="1" si="13"/>
        <v/>
      </c>
      <c r="R39" s="93" t="str">
        <f t="shared" ca="1" si="13"/>
        <v/>
      </c>
      <c r="S39" s="201" t="str">
        <f t="shared" ca="1" si="3"/>
        <v/>
      </c>
      <c r="T39" s="201"/>
      <c r="Z39" s="40" t="e">
        <f t="shared" ca="1" si="5"/>
        <v>#N/A</v>
      </c>
      <c r="AA39" s="310">
        <f t="shared" ca="1" si="6"/>
        <v>999</v>
      </c>
      <c r="AB39" s="40" t="e">
        <f ca="1">IF(ISNUMBER($A39),VLOOKUP('Berechnungen 2'!AI42,Matrix_Empfehlung.Stromkosten.ID.BOText,3,1),"")</f>
        <v>#VALUE!</v>
      </c>
      <c r="AC39" s="40">
        <f t="shared" ca="1" si="14"/>
        <v>999</v>
      </c>
      <c r="AD39" s="40">
        <f t="shared" ca="1" si="14"/>
        <v>27</v>
      </c>
      <c r="AE39" s="311">
        <f t="shared" ca="1" si="11"/>
        <v>0</v>
      </c>
    </row>
    <row r="40" spans="1:31" x14ac:dyDescent="0.2">
      <c r="A40" s="201">
        <f t="shared" ca="1" si="0"/>
        <v>28</v>
      </c>
      <c r="B40" s="193">
        <f t="shared" si="9"/>
        <v>28</v>
      </c>
      <c r="C40" s="192">
        <f ca="1">IF(ISERROR(LARGE('Berechnungen 2'!$E$16:$E$315,B40)),"",LARGE('Berechnungen 2'!$E$16:$E$315,B40))</f>
        <v>273</v>
      </c>
      <c r="D40" s="201" t="str">
        <f t="shared" ca="1" si="12"/>
        <v/>
      </c>
      <c r="E40" s="201" t="str">
        <f t="shared" ca="1" si="12"/>
        <v/>
      </c>
      <c r="F40" s="201" t="str">
        <f t="shared" ca="1" si="12"/>
        <v/>
      </c>
      <c r="G40" s="205" t="str">
        <f t="shared" ca="1" si="12"/>
        <v/>
      </c>
      <c r="H40" s="202" t="str">
        <f t="shared" ca="1" si="12"/>
        <v/>
      </c>
      <c r="I40" s="201" t="str">
        <f t="shared" ca="1" si="12"/>
        <v/>
      </c>
      <c r="J40" s="93" t="str">
        <f t="shared" ca="1" si="12"/>
        <v/>
      </c>
      <c r="K40" s="93" t="str">
        <f t="shared" ca="1" si="12"/>
        <v/>
      </c>
      <c r="L40" s="93" t="str">
        <f t="shared" ca="1" si="12"/>
        <v/>
      </c>
      <c r="M40" s="93" t="str">
        <f t="shared" ca="1" si="12"/>
        <v/>
      </c>
      <c r="N40" s="93" t="str">
        <f t="shared" ca="1" si="12"/>
        <v/>
      </c>
      <c r="O40" s="93" t="str">
        <f t="shared" ca="1" si="12"/>
        <v/>
      </c>
      <c r="P40" s="312" t="str">
        <f t="shared" ca="1" si="13"/>
        <v/>
      </c>
      <c r="Q40" s="93" t="str">
        <f t="shared" ca="1" si="13"/>
        <v/>
      </c>
      <c r="R40" s="93" t="str">
        <f t="shared" ca="1" si="13"/>
        <v/>
      </c>
      <c r="S40" s="201" t="str">
        <f t="shared" ca="1" si="3"/>
        <v/>
      </c>
      <c r="T40" s="201"/>
      <c r="Z40" s="40" t="e">
        <f t="shared" ca="1" si="5"/>
        <v>#N/A</v>
      </c>
      <c r="AA40" s="310">
        <f t="shared" ca="1" si="6"/>
        <v>999</v>
      </c>
      <c r="AB40" s="40" t="e">
        <f ca="1">IF(ISNUMBER($A40),VLOOKUP('Berechnungen 2'!AI43,Matrix_Empfehlung.Stromkosten.ID.BOText,3,1),"")</f>
        <v>#VALUE!</v>
      </c>
      <c r="AC40" s="40">
        <f t="shared" ca="1" si="14"/>
        <v>999</v>
      </c>
      <c r="AD40" s="40">
        <f t="shared" ca="1" si="14"/>
        <v>28</v>
      </c>
      <c r="AE40" s="311">
        <f t="shared" ca="1" si="11"/>
        <v>0</v>
      </c>
    </row>
    <row r="41" spans="1:31" x14ac:dyDescent="0.2">
      <c r="A41" s="201">
        <f t="shared" ca="1" si="0"/>
        <v>29</v>
      </c>
      <c r="B41" s="193">
        <f t="shared" si="9"/>
        <v>29</v>
      </c>
      <c r="C41" s="192">
        <f ca="1">IF(ISERROR(LARGE('Berechnungen 2'!$E$16:$E$315,B41)),"",LARGE('Berechnungen 2'!$E$16:$E$315,B41))</f>
        <v>272</v>
      </c>
      <c r="D41" s="201" t="str">
        <f t="shared" ca="1" si="12"/>
        <v/>
      </c>
      <c r="E41" s="201" t="str">
        <f t="shared" ca="1" si="12"/>
        <v/>
      </c>
      <c r="F41" s="201" t="str">
        <f t="shared" ca="1" si="12"/>
        <v/>
      </c>
      <c r="G41" s="205" t="str">
        <f t="shared" ca="1" si="12"/>
        <v/>
      </c>
      <c r="H41" s="202" t="str">
        <f t="shared" ca="1" si="12"/>
        <v/>
      </c>
      <c r="I41" s="201" t="str">
        <f t="shared" ca="1" si="12"/>
        <v/>
      </c>
      <c r="J41" s="93" t="str">
        <f t="shared" ca="1" si="12"/>
        <v/>
      </c>
      <c r="K41" s="93" t="str">
        <f t="shared" ca="1" si="12"/>
        <v/>
      </c>
      <c r="L41" s="93" t="str">
        <f t="shared" ca="1" si="12"/>
        <v/>
      </c>
      <c r="M41" s="93" t="str">
        <f t="shared" ca="1" si="12"/>
        <v/>
      </c>
      <c r="N41" s="93" t="str">
        <f t="shared" ca="1" si="12"/>
        <v/>
      </c>
      <c r="O41" s="93" t="str">
        <f t="shared" ca="1" si="12"/>
        <v/>
      </c>
      <c r="P41" s="312" t="str">
        <f t="shared" ca="1" si="13"/>
        <v/>
      </c>
      <c r="Q41" s="93" t="str">
        <f t="shared" ca="1" si="13"/>
        <v/>
      </c>
      <c r="R41" s="93" t="str">
        <f t="shared" ca="1" si="13"/>
        <v/>
      </c>
      <c r="S41" s="201" t="str">
        <f t="shared" ca="1" si="3"/>
        <v/>
      </c>
      <c r="T41" s="201"/>
      <c r="Z41" s="40" t="e">
        <f t="shared" ca="1" si="5"/>
        <v>#N/A</v>
      </c>
      <c r="AA41" s="310">
        <f t="shared" ca="1" si="6"/>
        <v>999</v>
      </c>
      <c r="AB41" s="40" t="e">
        <f ca="1">IF(ISNUMBER($A41),VLOOKUP('Berechnungen 2'!AI44,Matrix_Empfehlung.Stromkosten.ID.BOText,3,1),"")</f>
        <v>#VALUE!</v>
      </c>
      <c r="AC41" s="40">
        <f t="shared" ca="1" si="14"/>
        <v>999</v>
      </c>
      <c r="AD41" s="40">
        <f t="shared" ca="1" si="14"/>
        <v>29</v>
      </c>
      <c r="AE41" s="311">
        <f t="shared" ca="1" si="11"/>
        <v>0</v>
      </c>
    </row>
    <row r="42" spans="1:31" x14ac:dyDescent="0.2">
      <c r="A42" s="201">
        <f t="shared" ca="1" si="0"/>
        <v>30</v>
      </c>
      <c r="B42" s="193">
        <f t="shared" si="9"/>
        <v>30</v>
      </c>
      <c r="C42" s="192">
        <f ca="1">IF(ISERROR(LARGE('Berechnungen 2'!$E$16:$E$315,B42)),"",LARGE('Berechnungen 2'!$E$16:$E$315,B42))</f>
        <v>271</v>
      </c>
      <c r="D42" s="201" t="str">
        <f t="shared" ca="1" si="12"/>
        <v/>
      </c>
      <c r="E42" s="201" t="str">
        <f t="shared" ca="1" si="12"/>
        <v/>
      </c>
      <c r="F42" s="201" t="str">
        <f t="shared" ca="1" si="12"/>
        <v/>
      </c>
      <c r="G42" s="205" t="str">
        <f t="shared" ca="1" si="12"/>
        <v/>
      </c>
      <c r="H42" s="202" t="str">
        <f t="shared" ca="1" si="12"/>
        <v/>
      </c>
      <c r="I42" s="201" t="str">
        <f t="shared" ca="1" si="12"/>
        <v/>
      </c>
      <c r="J42" s="93" t="str">
        <f t="shared" ca="1" si="12"/>
        <v/>
      </c>
      <c r="K42" s="93" t="str">
        <f t="shared" ca="1" si="12"/>
        <v/>
      </c>
      <c r="L42" s="93" t="str">
        <f t="shared" ca="1" si="12"/>
        <v/>
      </c>
      <c r="M42" s="93" t="str">
        <f t="shared" ca="1" si="12"/>
        <v/>
      </c>
      <c r="N42" s="93" t="str">
        <f t="shared" ca="1" si="12"/>
        <v/>
      </c>
      <c r="O42" s="93" t="str">
        <f t="shared" ca="1" si="12"/>
        <v/>
      </c>
      <c r="P42" s="312" t="str">
        <f t="shared" ca="1" si="13"/>
        <v/>
      </c>
      <c r="Q42" s="93" t="str">
        <f t="shared" ca="1" si="13"/>
        <v/>
      </c>
      <c r="R42" s="93" t="str">
        <f t="shared" ca="1" si="13"/>
        <v/>
      </c>
      <c r="S42" s="201" t="str">
        <f t="shared" ca="1" si="3"/>
        <v/>
      </c>
      <c r="T42" s="201"/>
      <c r="Z42" s="40" t="e">
        <f t="shared" ca="1" si="5"/>
        <v>#N/A</v>
      </c>
      <c r="AA42" s="310">
        <f t="shared" ca="1" si="6"/>
        <v>999</v>
      </c>
      <c r="AB42" s="40" t="e">
        <f ca="1">IF(ISNUMBER($A42),VLOOKUP('Berechnungen 2'!AI45,Matrix_Empfehlung.Stromkosten.ID.BOText,3,1),"")</f>
        <v>#VALUE!</v>
      </c>
      <c r="AC42" s="40">
        <f t="shared" ca="1" si="14"/>
        <v>999</v>
      </c>
      <c r="AD42" s="40">
        <f t="shared" ca="1" si="14"/>
        <v>30</v>
      </c>
      <c r="AE42" s="311">
        <f t="shared" ca="1" si="11"/>
        <v>0</v>
      </c>
    </row>
    <row r="43" spans="1:31" x14ac:dyDescent="0.2">
      <c r="A43" s="201">
        <f t="shared" ca="1" si="0"/>
        <v>31</v>
      </c>
      <c r="B43" s="193">
        <f t="shared" si="9"/>
        <v>31</v>
      </c>
      <c r="C43" s="192">
        <f ca="1">IF(ISERROR(LARGE('Berechnungen 2'!$E$16:$E$315,B43)),"",LARGE('Berechnungen 2'!$E$16:$E$315,B43))</f>
        <v>270</v>
      </c>
      <c r="D43" s="201" t="str">
        <f t="shared" ref="D43:O52" ca="1" si="15">IF($AC43&gt;0,VLOOKUP($C43,Matrix_Berechnungen2.Rang.Pumpendaten.Endresultate,D$9,0),"")</f>
        <v/>
      </c>
      <c r="E43" s="201" t="str">
        <f t="shared" ca="1" si="15"/>
        <v/>
      </c>
      <c r="F43" s="201" t="str">
        <f t="shared" ca="1" si="15"/>
        <v/>
      </c>
      <c r="G43" s="205" t="str">
        <f t="shared" ca="1" si="15"/>
        <v/>
      </c>
      <c r="H43" s="202" t="str">
        <f t="shared" ca="1" si="15"/>
        <v/>
      </c>
      <c r="I43" s="201" t="str">
        <f t="shared" ca="1" si="15"/>
        <v/>
      </c>
      <c r="J43" s="93" t="str">
        <f t="shared" ca="1" si="15"/>
        <v/>
      </c>
      <c r="K43" s="93" t="str">
        <f t="shared" ca="1" si="15"/>
        <v/>
      </c>
      <c r="L43" s="93" t="str">
        <f t="shared" ca="1" si="15"/>
        <v/>
      </c>
      <c r="M43" s="93" t="str">
        <f t="shared" ca="1" si="15"/>
        <v/>
      </c>
      <c r="N43" s="93" t="str">
        <f t="shared" ca="1" si="15"/>
        <v/>
      </c>
      <c r="O43" s="93" t="str">
        <f t="shared" ca="1" si="15"/>
        <v/>
      </c>
      <c r="P43" s="312" t="str">
        <f t="shared" ca="1" si="13"/>
        <v/>
      </c>
      <c r="Q43" s="93" t="str">
        <f t="shared" ca="1" si="13"/>
        <v/>
      </c>
      <c r="R43" s="93" t="str">
        <f t="shared" ca="1" si="13"/>
        <v/>
      </c>
      <c r="S43" s="201" t="str">
        <f t="shared" ca="1" si="3"/>
        <v/>
      </c>
      <c r="T43" s="201"/>
      <c r="Z43" s="40" t="e">
        <f t="shared" ca="1" si="5"/>
        <v>#N/A</v>
      </c>
      <c r="AA43" s="310">
        <f t="shared" ca="1" si="6"/>
        <v>999</v>
      </c>
      <c r="AB43" s="40" t="e">
        <f ca="1">IF(ISNUMBER($A43),VLOOKUP('Berechnungen 2'!AI46,Matrix_Empfehlung.Stromkosten.ID.BOText,3,1),"")</f>
        <v>#VALUE!</v>
      </c>
      <c r="AC43" s="40">
        <f t="shared" ca="1" si="14"/>
        <v>999</v>
      </c>
      <c r="AD43" s="40">
        <f t="shared" ca="1" si="14"/>
        <v>31</v>
      </c>
      <c r="AE43" s="311">
        <f t="shared" ca="1" si="11"/>
        <v>0</v>
      </c>
    </row>
    <row r="44" spans="1:31" x14ac:dyDescent="0.2">
      <c r="A44" s="201">
        <f t="shared" ca="1" si="0"/>
        <v>32</v>
      </c>
      <c r="B44" s="193">
        <f t="shared" si="9"/>
        <v>32</v>
      </c>
      <c r="C44" s="192">
        <f ca="1">IF(ISERROR(LARGE('Berechnungen 2'!$E$16:$E$315,B44)),"",LARGE('Berechnungen 2'!$E$16:$E$315,B44))</f>
        <v>269</v>
      </c>
      <c r="D44" s="201" t="str">
        <f t="shared" ca="1" si="15"/>
        <v/>
      </c>
      <c r="E44" s="201" t="str">
        <f t="shared" ca="1" si="15"/>
        <v/>
      </c>
      <c r="F44" s="201" t="str">
        <f t="shared" ca="1" si="15"/>
        <v/>
      </c>
      <c r="G44" s="205" t="str">
        <f t="shared" ca="1" si="15"/>
        <v/>
      </c>
      <c r="H44" s="202" t="str">
        <f t="shared" ca="1" si="15"/>
        <v/>
      </c>
      <c r="I44" s="201" t="str">
        <f t="shared" ca="1" si="15"/>
        <v/>
      </c>
      <c r="J44" s="93" t="str">
        <f t="shared" ca="1" si="15"/>
        <v/>
      </c>
      <c r="K44" s="93" t="str">
        <f t="shared" ca="1" si="15"/>
        <v/>
      </c>
      <c r="L44" s="93" t="str">
        <f t="shared" ca="1" si="15"/>
        <v/>
      </c>
      <c r="M44" s="93" t="str">
        <f t="shared" ca="1" si="15"/>
        <v/>
      </c>
      <c r="N44" s="93" t="str">
        <f t="shared" ca="1" si="15"/>
        <v/>
      </c>
      <c r="O44" s="93" t="str">
        <f t="shared" ca="1" si="15"/>
        <v/>
      </c>
      <c r="P44" s="312" t="str">
        <f t="shared" ca="1" si="13"/>
        <v/>
      </c>
      <c r="Q44" s="93" t="str">
        <f t="shared" ca="1" si="13"/>
        <v/>
      </c>
      <c r="R44" s="93" t="str">
        <f t="shared" ca="1" si="13"/>
        <v/>
      </c>
      <c r="S44" s="201" t="str">
        <f t="shared" ca="1" si="3"/>
        <v/>
      </c>
      <c r="T44" s="201"/>
      <c r="Z44" s="40" t="e">
        <f t="shared" ca="1" si="5"/>
        <v>#N/A</v>
      </c>
      <c r="AA44" s="310">
        <f t="shared" ca="1" si="6"/>
        <v>999</v>
      </c>
      <c r="AB44" s="40" t="e">
        <f ca="1">IF(ISNUMBER($A44),VLOOKUP('Berechnungen 2'!AI47,Matrix_Empfehlung.Stromkosten.ID.BOText,3,1),"")</f>
        <v>#VALUE!</v>
      </c>
      <c r="AC44" s="40">
        <f t="shared" ca="1" si="14"/>
        <v>999</v>
      </c>
      <c r="AD44" s="40">
        <f t="shared" ca="1" si="14"/>
        <v>32</v>
      </c>
      <c r="AE44" s="311">
        <f t="shared" ca="1" si="11"/>
        <v>0</v>
      </c>
    </row>
    <row r="45" spans="1:31" x14ac:dyDescent="0.2">
      <c r="A45" s="201">
        <f t="shared" ca="1" si="0"/>
        <v>33</v>
      </c>
      <c r="B45" s="193">
        <f t="shared" si="9"/>
        <v>33</v>
      </c>
      <c r="C45" s="192">
        <f ca="1">IF(ISERROR(LARGE('Berechnungen 2'!$E$16:$E$315,B45)),"",LARGE('Berechnungen 2'!$E$16:$E$315,B45))</f>
        <v>268</v>
      </c>
      <c r="D45" s="201" t="str">
        <f t="shared" ca="1" si="15"/>
        <v/>
      </c>
      <c r="E45" s="201" t="str">
        <f t="shared" ca="1" si="15"/>
        <v/>
      </c>
      <c r="F45" s="201" t="str">
        <f t="shared" ca="1" si="15"/>
        <v/>
      </c>
      <c r="G45" s="205" t="str">
        <f t="shared" ca="1" si="15"/>
        <v/>
      </c>
      <c r="H45" s="202" t="str">
        <f t="shared" ca="1" si="15"/>
        <v/>
      </c>
      <c r="I45" s="201" t="str">
        <f t="shared" ca="1" si="15"/>
        <v/>
      </c>
      <c r="J45" s="93" t="str">
        <f t="shared" ca="1" si="15"/>
        <v/>
      </c>
      <c r="K45" s="93" t="str">
        <f t="shared" ca="1" si="15"/>
        <v/>
      </c>
      <c r="L45" s="93" t="str">
        <f t="shared" ca="1" si="15"/>
        <v/>
      </c>
      <c r="M45" s="93" t="str">
        <f t="shared" ca="1" si="15"/>
        <v/>
      </c>
      <c r="N45" s="93" t="str">
        <f t="shared" ca="1" si="15"/>
        <v/>
      </c>
      <c r="O45" s="93" t="str">
        <f t="shared" ca="1" si="15"/>
        <v/>
      </c>
      <c r="P45" s="312" t="str">
        <f t="shared" ca="1" si="13"/>
        <v/>
      </c>
      <c r="Q45" s="93" t="str">
        <f t="shared" ca="1" si="13"/>
        <v/>
      </c>
      <c r="R45" s="93" t="str">
        <f t="shared" ca="1" si="13"/>
        <v/>
      </c>
      <c r="S45" s="201" t="str">
        <f t="shared" ca="1" si="3"/>
        <v/>
      </c>
      <c r="T45" s="201"/>
      <c r="Z45" s="40" t="e">
        <f t="shared" ca="1" si="5"/>
        <v>#N/A</v>
      </c>
      <c r="AA45" s="310">
        <f t="shared" ca="1" si="6"/>
        <v>999</v>
      </c>
      <c r="AB45" s="40" t="e">
        <f ca="1">IF(ISNUMBER($A45),VLOOKUP('Berechnungen 2'!AI48,Matrix_Empfehlung.Stromkosten.ID.BOText,3,1),"")</f>
        <v>#VALUE!</v>
      </c>
      <c r="AC45" s="40">
        <f t="shared" ca="1" si="14"/>
        <v>999</v>
      </c>
      <c r="AD45" s="40">
        <f t="shared" ca="1" si="14"/>
        <v>33</v>
      </c>
      <c r="AE45" s="311">
        <f t="shared" ca="1" si="11"/>
        <v>0</v>
      </c>
    </row>
    <row r="46" spans="1:31" x14ac:dyDescent="0.2">
      <c r="A46" s="201">
        <f t="shared" ca="1" si="0"/>
        <v>34</v>
      </c>
      <c r="B46" s="193">
        <f t="shared" si="9"/>
        <v>34</v>
      </c>
      <c r="C46" s="192">
        <f ca="1">IF(ISERROR(LARGE('Berechnungen 2'!$E$16:$E$315,B46)),"",LARGE('Berechnungen 2'!$E$16:$E$315,B46))</f>
        <v>267</v>
      </c>
      <c r="D46" s="201" t="str">
        <f t="shared" ca="1" si="15"/>
        <v/>
      </c>
      <c r="E46" s="201" t="str">
        <f t="shared" ca="1" si="15"/>
        <v/>
      </c>
      <c r="F46" s="201" t="str">
        <f t="shared" ca="1" si="15"/>
        <v/>
      </c>
      <c r="G46" s="205" t="str">
        <f t="shared" ca="1" si="15"/>
        <v/>
      </c>
      <c r="H46" s="202" t="str">
        <f t="shared" ca="1" si="15"/>
        <v/>
      </c>
      <c r="I46" s="201" t="str">
        <f t="shared" ca="1" si="15"/>
        <v/>
      </c>
      <c r="J46" s="93" t="str">
        <f t="shared" ca="1" si="15"/>
        <v/>
      </c>
      <c r="K46" s="93" t="str">
        <f t="shared" ca="1" si="15"/>
        <v/>
      </c>
      <c r="L46" s="93" t="str">
        <f t="shared" ca="1" si="15"/>
        <v/>
      </c>
      <c r="M46" s="93" t="str">
        <f t="shared" ca="1" si="15"/>
        <v/>
      </c>
      <c r="N46" s="93" t="str">
        <f t="shared" ca="1" si="15"/>
        <v/>
      </c>
      <c r="O46" s="93" t="str">
        <f t="shared" ca="1" si="15"/>
        <v/>
      </c>
      <c r="P46" s="312" t="str">
        <f t="shared" ca="1" si="13"/>
        <v/>
      </c>
      <c r="Q46" s="93" t="str">
        <f t="shared" ca="1" si="13"/>
        <v/>
      </c>
      <c r="R46" s="93" t="str">
        <f t="shared" ca="1" si="13"/>
        <v/>
      </c>
      <c r="S46" s="201" t="str">
        <f t="shared" ca="1" si="3"/>
        <v/>
      </c>
      <c r="T46" s="201"/>
      <c r="Z46" s="40" t="e">
        <f t="shared" ca="1" si="5"/>
        <v>#N/A</v>
      </c>
      <c r="AA46" s="310">
        <f t="shared" ca="1" si="6"/>
        <v>999</v>
      </c>
      <c r="AB46" s="40" t="e">
        <f ca="1">IF(ISNUMBER($A46),VLOOKUP('Berechnungen 2'!AI49,Matrix_Empfehlung.Stromkosten.ID.BOText,3,1),"")</f>
        <v>#VALUE!</v>
      </c>
      <c r="AC46" s="40">
        <f t="shared" ca="1" si="14"/>
        <v>999</v>
      </c>
      <c r="AD46" s="40">
        <f t="shared" ca="1" si="14"/>
        <v>34</v>
      </c>
      <c r="AE46" s="311">
        <f t="shared" ca="1" si="11"/>
        <v>0</v>
      </c>
    </row>
    <row r="47" spans="1:31" x14ac:dyDescent="0.2">
      <c r="A47" s="201">
        <f t="shared" ca="1" si="0"/>
        <v>35</v>
      </c>
      <c r="B47" s="193">
        <f t="shared" si="9"/>
        <v>35</v>
      </c>
      <c r="C47" s="192">
        <f ca="1">IF(ISERROR(LARGE('Berechnungen 2'!$E$16:$E$315,B47)),"",LARGE('Berechnungen 2'!$E$16:$E$315,B47))</f>
        <v>266</v>
      </c>
      <c r="D47" s="201" t="str">
        <f t="shared" ca="1" si="15"/>
        <v/>
      </c>
      <c r="E47" s="201" t="str">
        <f t="shared" ca="1" si="15"/>
        <v/>
      </c>
      <c r="F47" s="201" t="str">
        <f t="shared" ca="1" si="15"/>
        <v/>
      </c>
      <c r="G47" s="205" t="str">
        <f t="shared" ca="1" si="15"/>
        <v/>
      </c>
      <c r="H47" s="202" t="str">
        <f t="shared" ca="1" si="15"/>
        <v/>
      </c>
      <c r="I47" s="201" t="str">
        <f t="shared" ca="1" si="15"/>
        <v/>
      </c>
      <c r="J47" s="93" t="str">
        <f t="shared" ca="1" si="15"/>
        <v/>
      </c>
      <c r="K47" s="93" t="str">
        <f t="shared" ca="1" si="15"/>
        <v/>
      </c>
      <c r="L47" s="93" t="str">
        <f t="shared" ca="1" si="15"/>
        <v/>
      </c>
      <c r="M47" s="93" t="str">
        <f t="shared" ca="1" si="15"/>
        <v/>
      </c>
      <c r="N47" s="93" t="str">
        <f t="shared" ca="1" si="15"/>
        <v/>
      </c>
      <c r="O47" s="93" t="str">
        <f t="shared" ca="1" si="15"/>
        <v/>
      </c>
      <c r="P47" s="312" t="str">
        <f t="shared" ca="1" si="13"/>
        <v/>
      </c>
      <c r="Q47" s="93" t="str">
        <f t="shared" ca="1" si="13"/>
        <v/>
      </c>
      <c r="R47" s="93" t="str">
        <f t="shared" ca="1" si="13"/>
        <v/>
      </c>
      <c r="S47" s="201" t="str">
        <f t="shared" ca="1" si="3"/>
        <v/>
      </c>
      <c r="T47" s="201"/>
      <c r="Z47" s="40" t="e">
        <f t="shared" ca="1" si="5"/>
        <v>#N/A</v>
      </c>
      <c r="AA47" s="310">
        <f t="shared" ca="1" si="6"/>
        <v>999</v>
      </c>
      <c r="AB47" s="40" t="e">
        <f ca="1">IF(ISNUMBER($A47),VLOOKUP('Berechnungen 2'!AI50,Matrix_Empfehlung.Stromkosten.ID.BOText,3,1),"")</f>
        <v>#VALUE!</v>
      </c>
      <c r="AC47" s="40">
        <f t="shared" ca="1" si="14"/>
        <v>999</v>
      </c>
      <c r="AD47" s="40">
        <f t="shared" ca="1" si="14"/>
        <v>35</v>
      </c>
      <c r="AE47" s="311">
        <f t="shared" ca="1" si="11"/>
        <v>0</v>
      </c>
    </row>
    <row r="48" spans="1:31" x14ac:dyDescent="0.2">
      <c r="A48" s="201">
        <f t="shared" ca="1" si="0"/>
        <v>36</v>
      </c>
      <c r="B48" s="193">
        <f t="shared" si="9"/>
        <v>36</v>
      </c>
      <c r="C48" s="192">
        <f ca="1">IF(ISERROR(LARGE('Berechnungen 2'!$E$16:$E$315,B48)),"",LARGE('Berechnungen 2'!$E$16:$E$315,B48))</f>
        <v>265</v>
      </c>
      <c r="D48" s="201" t="str">
        <f t="shared" ca="1" si="15"/>
        <v/>
      </c>
      <c r="E48" s="201" t="str">
        <f t="shared" ca="1" si="15"/>
        <v/>
      </c>
      <c r="F48" s="201" t="str">
        <f t="shared" ca="1" si="15"/>
        <v/>
      </c>
      <c r="G48" s="205" t="str">
        <f t="shared" ca="1" si="15"/>
        <v/>
      </c>
      <c r="H48" s="202" t="str">
        <f t="shared" ca="1" si="15"/>
        <v/>
      </c>
      <c r="I48" s="201" t="str">
        <f t="shared" ca="1" si="15"/>
        <v/>
      </c>
      <c r="J48" s="93" t="str">
        <f t="shared" ca="1" si="15"/>
        <v/>
      </c>
      <c r="K48" s="93" t="str">
        <f t="shared" ca="1" si="15"/>
        <v/>
      </c>
      <c r="L48" s="93" t="str">
        <f t="shared" ca="1" si="15"/>
        <v/>
      </c>
      <c r="M48" s="93" t="str">
        <f t="shared" ca="1" si="15"/>
        <v/>
      </c>
      <c r="N48" s="93" t="str">
        <f t="shared" ca="1" si="15"/>
        <v/>
      </c>
      <c r="O48" s="93" t="str">
        <f t="shared" ca="1" si="15"/>
        <v/>
      </c>
      <c r="P48" s="312" t="str">
        <f t="shared" ca="1" si="13"/>
        <v/>
      </c>
      <c r="Q48" s="93" t="str">
        <f t="shared" ca="1" si="13"/>
        <v/>
      </c>
      <c r="R48" s="93" t="str">
        <f t="shared" ca="1" si="13"/>
        <v/>
      </c>
      <c r="S48" s="201" t="str">
        <f t="shared" ca="1" si="3"/>
        <v/>
      </c>
      <c r="T48" s="201"/>
      <c r="Z48" s="40" t="e">
        <f t="shared" ca="1" si="5"/>
        <v>#N/A</v>
      </c>
      <c r="AA48" s="310">
        <f t="shared" ca="1" si="6"/>
        <v>999</v>
      </c>
      <c r="AB48" s="40" t="e">
        <f ca="1">IF(ISNUMBER($A48),VLOOKUP('Berechnungen 2'!AI51,Matrix_Empfehlung.Stromkosten.ID.BOText,3,1),"")</f>
        <v>#VALUE!</v>
      </c>
      <c r="AC48" s="40">
        <f t="shared" ca="1" si="14"/>
        <v>999</v>
      </c>
      <c r="AD48" s="40">
        <f t="shared" ca="1" si="14"/>
        <v>36</v>
      </c>
      <c r="AE48" s="311">
        <f t="shared" ca="1" si="11"/>
        <v>0</v>
      </c>
    </row>
    <row r="49" spans="1:31" x14ac:dyDescent="0.2">
      <c r="A49" s="201">
        <f t="shared" ca="1" si="0"/>
        <v>37</v>
      </c>
      <c r="B49" s="193">
        <f t="shared" si="9"/>
        <v>37</v>
      </c>
      <c r="C49" s="192">
        <f ca="1">IF(ISERROR(LARGE('Berechnungen 2'!$E$16:$E$315,B49)),"",LARGE('Berechnungen 2'!$E$16:$E$315,B49))</f>
        <v>264</v>
      </c>
      <c r="D49" s="201" t="str">
        <f t="shared" ca="1" si="15"/>
        <v/>
      </c>
      <c r="E49" s="201" t="str">
        <f t="shared" ca="1" si="15"/>
        <v/>
      </c>
      <c r="F49" s="201" t="str">
        <f t="shared" ca="1" si="15"/>
        <v/>
      </c>
      <c r="G49" s="205" t="str">
        <f t="shared" ca="1" si="15"/>
        <v/>
      </c>
      <c r="H49" s="202" t="str">
        <f t="shared" ca="1" si="15"/>
        <v/>
      </c>
      <c r="I49" s="201" t="str">
        <f t="shared" ca="1" si="15"/>
        <v/>
      </c>
      <c r="J49" s="93" t="str">
        <f t="shared" ca="1" si="15"/>
        <v/>
      </c>
      <c r="K49" s="93" t="str">
        <f t="shared" ca="1" si="15"/>
        <v/>
      </c>
      <c r="L49" s="93" t="str">
        <f t="shared" ca="1" si="15"/>
        <v/>
      </c>
      <c r="M49" s="93" t="str">
        <f t="shared" ca="1" si="15"/>
        <v/>
      </c>
      <c r="N49" s="93" t="str">
        <f t="shared" ca="1" si="15"/>
        <v/>
      </c>
      <c r="O49" s="93" t="str">
        <f t="shared" ca="1" si="15"/>
        <v/>
      </c>
      <c r="P49" s="312" t="str">
        <f t="shared" ca="1" si="13"/>
        <v/>
      </c>
      <c r="Q49" s="93" t="str">
        <f t="shared" ca="1" si="13"/>
        <v/>
      </c>
      <c r="R49" s="93" t="str">
        <f t="shared" ca="1" si="13"/>
        <v/>
      </c>
      <c r="S49" s="201" t="str">
        <f t="shared" ca="1" si="3"/>
        <v/>
      </c>
      <c r="T49" s="201"/>
      <c r="Z49" s="40" t="e">
        <f t="shared" ca="1" si="5"/>
        <v>#N/A</v>
      </c>
      <c r="AA49" s="310">
        <f t="shared" ca="1" si="6"/>
        <v>999</v>
      </c>
      <c r="AB49" s="40" t="e">
        <f ca="1">IF(ISNUMBER($A49),VLOOKUP('Berechnungen 2'!AI52,Matrix_Empfehlung.Stromkosten.ID.BOText,3,1),"")</f>
        <v>#VALUE!</v>
      </c>
      <c r="AC49" s="40">
        <f t="shared" ca="1" si="14"/>
        <v>999</v>
      </c>
      <c r="AD49" s="40">
        <f t="shared" ca="1" si="14"/>
        <v>37</v>
      </c>
      <c r="AE49" s="311">
        <f t="shared" ca="1" si="11"/>
        <v>0</v>
      </c>
    </row>
    <row r="50" spans="1:31" x14ac:dyDescent="0.2">
      <c r="A50" s="201">
        <f t="shared" ca="1" si="0"/>
        <v>38</v>
      </c>
      <c r="B50" s="193">
        <f t="shared" si="9"/>
        <v>38</v>
      </c>
      <c r="C50" s="192">
        <f ca="1">IF(ISERROR(LARGE('Berechnungen 2'!$E$16:$E$315,B50)),"",LARGE('Berechnungen 2'!$E$16:$E$315,B50))</f>
        <v>263</v>
      </c>
      <c r="D50" s="201" t="str">
        <f t="shared" ca="1" si="15"/>
        <v/>
      </c>
      <c r="E50" s="201" t="str">
        <f t="shared" ca="1" si="15"/>
        <v/>
      </c>
      <c r="F50" s="201" t="str">
        <f t="shared" ca="1" si="15"/>
        <v/>
      </c>
      <c r="G50" s="205" t="str">
        <f t="shared" ca="1" si="15"/>
        <v/>
      </c>
      <c r="H50" s="202" t="str">
        <f t="shared" ca="1" si="15"/>
        <v/>
      </c>
      <c r="I50" s="201" t="str">
        <f t="shared" ca="1" si="15"/>
        <v/>
      </c>
      <c r="J50" s="93" t="str">
        <f t="shared" ca="1" si="15"/>
        <v/>
      </c>
      <c r="K50" s="93" t="str">
        <f t="shared" ca="1" si="15"/>
        <v/>
      </c>
      <c r="L50" s="93" t="str">
        <f t="shared" ca="1" si="15"/>
        <v/>
      </c>
      <c r="M50" s="93" t="str">
        <f t="shared" ca="1" si="15"/>
        <v/>
      </c>
      <c r="N50" s="93" t="str">
        <f t="shared" ca="1" si="15"/>
        <v/>
      </c>
      <c r="O50" s="93" t="str">
        <f t="shared" ca="1" si="15"/>
        <v/>
      </c>
      <c r="P50" s="312" t="str">
        <f t="shared" ca="1" si="13"/>
        <v/>
      </c>
      <c r="Q50" s="93" t="str">
        <f t="shared" ca="1" si="13"/>
        <v/>
      </c>
      <c r="R50" s="93" t="str">
        <f t="shared" ca="1" si="13"/>
        <v/>
      </c>
      <c r="S50" s="201" t="str">
        <f t="shared" ca="1" si="3"/>
        <v/>
      </c>
      <c r="T50" s="201"/>
      <c r="Z50" s="40" t="e">
        <f t="shared" ca="1" si="5"/>
        <v>#N/A</v>
      </c>
      <c r="AA50" s="310">
        <f t="shared" ca="1" si="6"/>
        <v>999</v>
      </c>
      <c r="AB50" s="40" t="e">
        <f ca="1">IF(ISNUMBER($A50),VLOOKUP('Berechnungen 2'!AI53,Matrix_Empfehlung.Stromkosten.ID.BOText,3,1),"")</f>
        <v>#VALUE!</v>
      </c>
      <c r="AC50" s="40">
        <f t="shared" ca="1" si="14"/>
        <v>999</v>
      </c>
      <c r="AD50" s="40">
        <f t="shared" ca="1" si="14"/>
        <v>38</v>
      </c>
      <c r="AE50" s="311">
        <f t="shared" ca="1" si="11"/>
        <v>0</v>
      </c>
    </row>
    <row r="51" spans="1:31" x14ac:dyDescent="0.2">
      <c r="A51" s="201">
        <f t="shared" ca="1" si="0"/>
        <v>39</v>
      </c>
      <c r="B51" s="193">
        <f t="shared" si="9"/>
        <v>39</v>
      </c>
      <c r="C51" s="192">
        <f ca="1">IF(ISERROR(LARGE('Berechnungen 2'!$E$16:$E$315,B51)),"",LARGE('Berechnungen 2'!$E$16:$E$315,B51))</f>
        <v>262</v>
      </c>
      <c r="D51" s="201" t="str">
        <f t="shared" ca="1" si="15"/>
        <v/>
      </c>
      <c r="E51" s="201" t="str">
        <f t="shared" ca="1" si="15"/>
        <v/>
      </c>
      <c r="F51" s="201" t="str">
        <f t="shared" ca="1" si="15"/>
        <v/>
      </c>
      <c r="G51" s="205" t="str">
        <f t="shared" ca="1" si="15"/>
        <v/>
      </c>
      <c r="H51" s="202" t="str">
        <f t="shared" ca="1" si="15"/>
        <v/>
      </c>
      <c r="I51" s="201" t="str">
        <f t="shared" ca="1" si="15"/>
        <v/>
      </c>
      <c r="J51" s="93" t="str">
        <f t="shared" ca="1" si="15"/>
        <v/>
      </c>
      <c r="K51" s="93" t="str">
        <f t="shared" ca="1" si="15"/>
        <v/>
      </c>
      <c r="L51" s="93" t="str">
        <f t="shared" ca="1" si="15"/>
        <v/>
      </c>
      <c r="M51" s="93" t="str">
        <f t="shared" ca="1" si="15"/>
        <v/>
      </c>
      <c r="N51" s="93" t="str">
        <f t="shared" ca="1" si="15"/>
        <v/>
      </c>
      <c r="O51" s="93" t="str">
        <f t="shared" ca="1" si="15"/>
        <v/>
      </c>
      <c r="P51" s="312" t="str">
        <f t="shared" ca="1" si="13"/>
        <v/>
      </c>
      <c r="Q51" s="93" t="str">
        <f t="shared" ca="1" si="13"/>
        <v/>
      </c>
      <c r="R51" s="93" t="str">
        <f t="shared" ca="1" si="13"/>
        <v/>
      </c>
      <c r="S51" s="201" t="str">
        <f t="shared" ca="1" si="3"/>
        <v/>
      </c>
      <c r="T51" s="201"/>
      <c r="Z51" s="40" t="e">
        <f t="shared" ca="1" si="5"/>
        <v>#N/A</v>
      </c>
      <c r="AA51" s="310">
        <f t="shared" ca="1" si="6"/>
        <v>999</v>
      </c>
      <c r="AB51" s="40" t="e">
        <f ca="1">IF(ISNUMBER($A51),VLOOKUP('Berechnungen 2'!AI54,Matrix_Empfehlung.Stromkosten.ID.BOText,3,1),"")</f>
        <v>#VALUE!</v>
      </c>
      <c r="AC51" s="40">
        <f t="shared" ca="1" si="14"/>
        <v>999</v>
      </c>
      <c r="AD51" s="40">
        <f t="shared" ca="1" si="14"/>
        <v>39</v>
      </c>
      <c r="AE51" s="311">
        <f t="shared" ca="1" si="11"/>
        <v>0</v>
      </c>
    </row>
    <row r="52" spans="1:31" x14ac:dyDescent="0.2">
      <c r="A52" s="201">
        <f t="shared" ca="1" si="0"/>
        <v>40</v>
      </c>
      <c r="B52" s="193">
        <f t="shared" si="9"/>
        <v>40</v>
      </c>
      <c r="C52" s="192">
        <f ca="1">IF(ISERROR(LARGE('Berechnungen 2'!$E$16:$E$315,B52)),"",LARGE('Berechnungen 2'!$E$16:$E$315,B52))</f>
        <v>261</v>
      </c>
      <c r="D52" s="201" t="str">
        <f t="shared" ca="1" si="15"/>
        <v/>
      </c>
      <c r="E52" s="201" t="str">
        <f t="shared" ca="1" si="15"/>
        <v/>
      </c>
      <c r="F52" s="201" t="str">
        <f t="shared" ca="1" si="15"/>
        <v/>
      </c>
      <c r="G52" s="205" t="str">
        <f t="shared" ca="1" si="15"/>
        <v/>
      </c>
      <c r="H52" s="202" t="str">
        <f t="shared" ca="1" si="15"/>
        <v/>
      </c>
      <c r="I52" s="201" t="str">
        <f t="shared" ca="1" si="15"/>
        <v/>
      </c>
      <c r="J52" s="93" t="str">
        <f t="shared" ca="1" si="15"/>
        <v/>
      </c>
      <c r="K52" s="93" t="str">
        <f t="shared" ca="1" si="15"/>
        <v/>
      </c>
      <c r="L52" s="93" t="str">
        <f t="shared" ca="1" si="15"/>
        <v/>
      </c>
      <c r="M52" s="93" t="str">
        <f t="shared" ca="1" si="15"/>
        <v/>
      </c>
      <c r="N52" s="93" t="str">
        <f t="shared" ca="1" si="15"/>
        <v/>
      </c>
      <c r="O52" s="93" t="str">
        <f t="shared" ca="1" si="15"/>
        <v/>
      </c>
      <c r="P52" s="312" t="str">
        <f t="shared" ca="1" si="13"/>
        <v/>
      </c>
      <c r="Q52" s="93" t="str">
        <f t="shared" ca="1" si="13"/>
        <v/>
      </c>
      <c r="R52" s="93" t="str">
        <f t="shared" ca="1" si="13"/>
        <v/>
      </c>
      <c r="S52" s="201" t="str">
        <f t="shared" ca="1" si="3"/>
        <v/>
      </c>
      <c r="T52" s="201"/>
      <c r="Z52" s="40" t="e">
        <f t="shared" ca="1" si="5"/>
        <v>#N/A</v>
      </c>
      <c r="AA52" s="310">
        <f t="shared" ca="1" si="6"/>
        <v>999</v>
      </c>
      <c r="AB52" s="40" t="e">
        <f ca="1">IF(ISNUMBER($A52),VLOOKUP('Berechnungen 2'!AI55,Matrix_Empfehlung.Stromkosten.ID.BOText,3,1),"")</f>
        <v>#VALUE!</v>
      </c>
      <c r="AC52" s="40">
        <f t="shared" ca="1" si="14"/>
        <v>999</v>
      </c>
      <c r="AD52" s="40">
        <f t="shared" ca="1" si="14"/>
        <v>40</v>
      </c>
      <c r="AE52" s="311">
        <f t="shared" ca="1" si="11"/>
        <v>0</v>
      </c>
    </row>
    <row r="53" spans="1:31" x14ac:dyDescent="0.2">
      <c r="A53" s="201">
        <f t="shared" ca="1" si="0"/>
        <v>41</v>
      </c>
      <c r="B53" s="193">
        <f t="shared" si="9"/>
        <v>41</v>
      </c>
      <c r="C53" s="192">
        <f ca="1">IF(ISERROR(LARGE('Berechnungen 2'!$E$16:$E$315,B53)),"",LARGE('Berechnungen 2'!$E$16:$E$315,B53))</f>
        <v>260</v>
      </c>
      <c r="D53" s="201" t="str">
        <f t="shared" ref="D53:O62" ca="1" si="16">IF($AC53&gt;0,VLOOKUP($C53,Matrix_Berechnungen2.Rang.Pumpendaten.Endresultate,D$9,0),"")</f>
        <v/>
      </c>
      <c r="E53" s="201" t="str">
        <f t="shared" ca="1" si="16"/>
        <v/>
      </c>
      <c r="F53" s="201" t="str">
        <f t="shared" ca="1" si="16"/>
        <v/>
      </c>
      <c r="G53" s="205" t="str">
        <f t="shared" ca="1" si="16"/>
        <v/>
      </c>
      <c r="H53" s="202" t="str">
        <f t="shared" ca="1" si="16"/>
        <v/>
      </c>
      <c r="I53" s="201" t="str">
        <f t="shared" ca="1" si="16"/>
        <v/>
      </c>
      <c r="J53" s="93" t="str">
        <f t="shared" ca="1" si="16"/>
        <v/>
      </c>
      <c r="K53" s="93" t="str">
        <f t="shared" ca="1" si="16"/>
        <v/>
      </c>
      <c r="L53" s="93" t="str">
        <f t="shared" ca="1" si="16"/>
        <v/>
      </c>
      <c r="M53" s="93" t="str">
        <f t="shared" ca="1" si="16"/>
        <v/>
      </c>
      <c r="N53" s="93" t="str">
        <f t="shared" ca="1" si="16"/>
        <v/>
      </c>
      <c r="O53" s="93" t="str">
        <f t="shared" ca="1" si="16"/>
        <v/>
      </c>
      <c r="P53" s="312" t="str">
        <f t="shared" ref="P53:R72" ca="1" si="17">IF(AND($AC53&gt;0,$AC53&lt;&gt;999),VLOOKUP($C53,Matrix_Berechnungen2.Rang.Pumpendaten.Endresultate,P$9,0),"")</f>
        <v/>
      </c>
      <c r="Q53" s="93" t="str">
        <f t="shared" ca="1" si="17"/>
        <v/>
      </c>
      <c r="R53" s="93" t="str">
        <f t="shared" ca="1" si="17"/>
        <v/>
      </c>
      <c r="S53" s="201" t="str">
        <f t="shared" ca="1" si="3"/>
        <v/>
      </c>
      <c r="T53" s="201"/>
      <c r="Z53" s="40" t="e">
        <f t="shared" ca="1" si="5"/>
        <v>#N/A</v>
      </c>
      <c r="AA53" s="310">
        <f t="shared" ca="1" si="6"/>
        <v>999</v>
      </c>
      <c r="AB53" s="40" t="e">
        <f ca="1">IF(ISNUMBER($A53),VLOOKUP('Berechnungen 2'!AI56,Matrix_Empfehlung.Stromkosten.ID.BOText,3,1),"")</f>
        <v>#VALUE!</v>
      </c>
      <c r="AC53" s="40">
        <f t="shared" ref="AC53:AD72" ca="1" si="18">IF(VLOOKUP($C53,Matrix_Berechnungen2.Rang.Pumpendaten.Endresultate,$C$9,0)&gt;0,VLOOKUP($C53,Matrix_Berechnungen2.Rang.Pumpendaten.Endresultate,AC$9,0),"")</f>
        <v>999</v>
      </c>
      <c r="AD53" s="40">
        <f t="shared" ca="1" si="18"/>
        <v>41</v>
      </c>
      <c r="AE53" s="311">
        <f t="shared" ca="1" si="11"/>
        <v>0</v>
      </c>
    </row>
    <row r="54" spans="1:31" x14ac:dyDescent="0.2">
      <c r="A54" s="201">
        <f t="shared" ca="1" si="0"/>
        <v>42</v>
      </c>
      <c r="B54" s="193">
        <f t="shared" si="9"/>
        <v>42</v>
      </c>
      <c r="C54" s="192">
        <f ca="1">IF(ISERROR(LARGE('Berechnungen 2'!$E$16:$E$315,B54)),"",LARGE('Berechnungen 2'!$E$16:$E$315,B54))</f>
        <v>259</v>
      </c>
      <c r="D54" s="201" t="str">
        <f t="shared" ca="1" si="16"/>
        <v/>
      </c>
      <c r="E54" s="201" t="str">
        <f t="shared" ca="1" si="16"/>
        <v/>
      </c>
      <c r="F54" s="201" t="str">
        <f t="shared" ca="1" si="16"/>
        <v/>
      </c>
      <c r="G54" s="205" t="str">
        <f t="shared" ca="1" si="16"/>
        <v/>
      </c>
      <c r="H54" s="202" t="str">
        <f t="shared" ca="1" si="16"/>
        <v/>
      </c>
      <c r="I54" s="201" t="str">
        <f t="shared" ca="1" si="16"/>
        <v/>
      </c>
      <c r="J54" s="93" t="str">
        <f t="shared" ca="1" si="16"/>
        <v/>
      </c>
      <c r="K54" s="93" t="str">
        <f t="shared" ca="1" si="16"/>
        <v/>
      </c>
      <c r="L54" s="93" t="str">
        <f t="shared" ca="1" si="16"/>
        <v/>
      </c>
      <c r="M54" s="93" t="str">
        <f t="shared" ca="1" si="16"/>
        <v/>
      </c>
      <c r="N54" s="93" t="str">
        <f t="shared" ca="1" si="16"/>
        <v/>
      </c>
      <c r="O54" s="93" t="str">
        <f t="shared" ca="1" si="16"/>
        <v/>
      </c>
      <c r="P54" s="312" t="str">
        <f t="shared" ca="1" si="17"/>
        <v/>
      </c>
      <c r="Q54" s="93" t="str">
        <f t="shared" ca="1" si="17"/>
        <v/>
      </c>
      <c r="R54" s="93" t="str">
        <f t="shared" ca="1" si="17"/>
        <v/>
      </c>
      <c r="S54" s="201" t="str">
        <f t="shared" ca="1" si="3"/>
        <v/>
      </c>
      <c r="T54" s="201"/>
      <c r="Z54" s="40" t="e">
        <f t="shared" ca="1" si="5"/>
        <v>#N/A</v>
      </c>
      <c r="AA54" s="310">
        <f t="shared" ca="1" si="6"/>
        <v>999</v>
      </c>
      <c r="AB54" s="40" t="e">
        <f ca="1">IF(ISNUMBER($A54),VLOOKUP('Berechnungen 2'!AI57,Matrix_Empfehlung.Stromkosten.ID.BOText,3,1),"")</f>
        <v>#VALUE!</v>
      </c>
      <c r="AC54" s="40">
        <f t="shared" ca="1" si="18"/>
        <v>999</v>
      </c>
      <c r="AD54" s="40">
        <f t="shared" ca="1" si="18"/>
        <v>42</v>
      </c>
      <c r="AE54" s="311">
        <f t="shared" ca="1" si="11"/>
        <v>0</v>
      </c>
    </row>
    <row r="55" spans="1:31" x14ac:dyDescent="0.2">
      <c r="A55" s="201">
        <f t="shared" ca="1" si="0"/>
        <v>43</v>
      </c>
      <c r="B55" s="193">
        <f t="shared" si="9"/>
        <v>43</v>
      </c>
      <c r="C55" s="192">
        <f ca="1">IF(ISERROR(LARGE('Berechnungen 2'!$E$16:$E$315,B55)),"",LARGE('Berechnungen 2'!$E$16:$E$315,B55))</f>
        <v>258</v>
      </c>
      <c r="D55" s="201" t="str">
        <f t="shared" ca="1" si="16"/>
        <v/>
      </c>
      <c r="E55" s="201" t="str">
        <f t="shared" ca="1" si="16"/>
        <v/>
      </c>
      <c r="F55" s="201" t="str">
        <f t="shared" ca="1" si="16"/>
        <v/>
      </c>
      <c r="G55" s="205" t="str">
        <f t="shared" ca="1" si="16"/>
        <v/>
      </c>
      <c r="H55" s="202" t="str">
        <f t="shared" ca="1" si="16"/>
        <v/>
      </c>
      <c r="I55" s="201" t="str">
        <f t="shared" ca="1" si="16"/>
        <v/>
      </c>
      <c r="J55" s="93" t="str">
        <f t="shared" ca="1" si="16"/>
        <v/>
      </c>
      <c r="K55" s="93" t="str">
        <f t="shared" ca="1" si="16"/>
        <v/>
      </c>
      <c r="L55" s="93" t="str">
        <f t="shared" ca="1" si="16"/>
        <v/>
      </c>
      <c r="M55" s="93" t="str">
        <f t="shared" ca="1" si="16"/>
        <v/>
      </c>
      <c r="N55" s="93" t="str">
        <f t="shared" ca="1" si="16"/>
        <v/>
      </c>
      <c r="O55" s="93" t="str">
        <f t="shared" ca="1" si="16"/>
        <v/>
      </c>
      <c r="P55" s="312" t="str">
        <f t="shared" ca="1" si="17"/>
        <v/>
      </c>
      <c r="Q55" s="93" t="str">
        <f t="shared" ca="1" si="17"/>
        <v/>
      </c>
      <c r="R55" s="93" t="str">
        <f t="shared" ca="1" si="17"/>
        <v/>
      </c>
      <c r="S55" s="201" t="str">
        <f t="shared" ca="1" si="3"/>
        <v/>
      </c>
      <c r="T55" s="201"/>
      <c r="Z55" s="40" t="e">
        <f t="shared" ca="1" si="5"/>
        <v>#N/A</v>
      </c>
      <c r="AA55" s="310">
        <f t="shared" ca="1" si="6"/>
        <v>999</v>
      </c>
      <c r="AB55" s="40" t="e">
        <f ca="1">IF(ISNUMBER($A55),VLOOKUP('Berechnungen 2'!AI58,Matrix_Empfehlung.Stromkosten.ID.BOText,3,1),"")</f>
        <v>#VALUE!</v>
      </c>
      <c r="AC55" s="40">
        <f t="shared" ca="1" si="18"/>
        <v>999</v>
      </c>
      <c r="AD55" s="40">
        <f t="shared" ca="1" si="18"/>
        <v>43</v>
      </c>
      <c r="AE55" s="311">
        <f t="shared" ca="1" si="11"/>
        <v>0</v>
      </c>
    </row>
    <row r="56" spans="1:31" x14ac:dyDescent="0.2">
      <c r="A56" s="201">
        <f t="shared" ca="1" si="0"/>
        <v>44</v>
      </c>
      <c r="B56" s="193">
        <f t="shared" si="9"/>
        <v>44</v>
      </c>
      <c r="C56" s="192">
        <f ca="1">IF(ISERROR(LARGE('Berechnungen 2'!$E$16:$E$315,B56)),"",LARGE('Berechnungen 2'!$E$16:$E$315,B56))</f>
        <v>257</v>
      </c>
      <c r="D56" s="201" t="str">
        <f t="shared" ca="1" si="16"/>
        <v/>
      </c>
      <c r="E56" s="201" t="str">
        <f t="shared" ca="1" si="16"/>
        <v/>
      </c>
      <c r="F56" s="201" t="str">
        <f t="shared" ca="1" si="16"/>
        <v/>
      </c>
      <c r="G56" s="205" t="str">
        <f t="shared" ca="1" si="16"/>
        <v/>
      </c>
      <c r="H56" s="202" t="str">
        <f t="shared" ca="1" si="16"/>
        <v/>
      </c>
      <c r="I56" s="201" t="str">
        <f t="shared" ca="1" si="16"/>
        <v/>
      </c>
      <c r="J56" s="93" t="str">
        <f t="shared" ca="1" si="16"/>
        <v/>
      </c>
      <c r="K56" s="93" t="str">
        <f t="shared" ca="1" si="16"/>
        <v/>
      </c>
      <c r="L56" s="93" t="str">
        <f t="shared" ca="1" si="16"/>
        <v/>
      </c>
      <c r="M56" s="93" t="str">
        <f t="shared" ca="1" si="16"/>
        <v/>
      </c>
      <c r="N56" s="93" t="str">
        <f t="shared" ca="1" si="16"/>
        <v/>
      </c>
      <c r="O56" s="93" t="str">
        <f t="shared" ca="1" si="16"/>
        <v/>
      </c>
      <c r="P56" s="312" t="str">
        <f t="shared" ca="1" si="17"/>
        <v/>
      </c>
      <c r="Q56" s="93" t="str">
        <f t="shared" ca="1" si="17"/>
        <v/>
      </c>
      <c r="R56" s="93" t="str">
        <f t="shared" ca="1" si="17"/>
        <v/>
      </c>
      <c r="S56" s="201" t="str">
        <f t="shared" ca="1" si="3"/>
        <v/>
      </c>
      <c r="T56" s="201"/>
      <c r="Z56" s="40" t="e">
        <f t="shared" ca="1" si="5"/>
        <v>#N/A</v>
      </c>
      <c r="AA56" s="310">
        <f t="shared" ca="1" si="6"/>
        <v>999</v>
      </c>
      <c r="AB56" s="40" t="e">
        <f ca="1">IF(ISNUMBER($A56),VLOOKUP('Berechnungen 2'!AI59,Matrix_Empfehlung.Stromkosten.ID.BOText,3,1),"")</f>
        <v>#VALUE!</v>
      </c>
      <c r="AC56" s="40">
        <f t="shared" ca="1" si="18"/>
        <v>999</v>
      </c>
      <c r="AD56" s="40">
        <f t="shared" ca="1" si="18"/>
        <v>44</v>
      </c>
      <c r="AE56" s="311">
        <f t="shared" ca="1" si="11"/>
        <v>0</v>
      </c>
    </row>
    <row r="57" spans="1:31" x14ac:dyDescent="0.2">
      <c r="A57" s="201">
        <f t="shared" ca="1" si="0"/>
        <v>45</v>
      </c>
      <c r="B57" s="193">
        <f t="shared" si="9"/>
        <v>45</v>
      </c>
      <c r="C57" s="192">
        <f ca="1">IF(ISERROR(LARGE('Berechnungen 2'!$E$16:$E$315,B57)),"",LARGE('Berechnungen 2'!$E$16:$E$315,B57))</f>
        <v>256</v>
      </c>
      <c r="D57" s="201" t="str">
        <f t="shared" ca="1" si="16"/>
        <v/>
      </c>
      <c r="E57" s="201" t="str">
        <f t="shared" ca="1" si="16"/>
        <v/>
      </c>
      <c r="F57" s="201" t="str">
        <f t="shared" ca="1" si="16"/>
        <v/>
      </c>
      <c r="G57" s="205" t="str">
        <f t="shared" ca="1" si="16"/>
        <v/>
      </c>
      <c r="H57" s="202" t="str">
        <f t="shared" ca="1" si="16"/>
        <v/>
      </c>
      <c r="I57" s="201" t="str">
        <f t="shared" ca="1" si="16"/>
        <v/>
      </c>
      <c r="J57" s="93" t="str">
        <f t="shared" ca="1" si="16"/>
        <v/>
      </c>
      <c r="K57" s="93" t="str">
        <f t="shared" ca="1" si="16"/>
        <v/>
      </c>
      <c r="L57" s="93" t="str">
        <f t="shared" ca="1" si="16"/>
        <v/>
      </c>
      <c r="M57" s="93" t="str">
        <f t="shared" ca="1" si="16"/>
        <v/>
      </c>
      <c r="N57" s="93" t="str">
        <f t="shared" ca="1" si="16"/>
        <v/>
      </c>
      <c r="O57" s="93" t="str">
        <f t="shared" ca="1" si="16"/>
        <v/>
      </c>
      <c r="P57" s="312" t="str">
        <f t="shared" ca="1" si="17"/>
        <v/>
      </c>
      <c r="Q57" s="93" t="str">
        <f t="shared" ca="1" si="17"/>
        <v/>
      </c>
      <c r="R57" s="93" t="str">
        <f t="shared" ca="1" si="17"/>
        <v/>
      </c>
      <c r="S57" s="201" t="str">
        <f t="shared" ca="1" si="3"/>
        <v/>
      </c>
      <c r="T57" s="201"/>
      <c r="Z57" s="40" t="e">
        <f t="shared" ca="1" si="5"/>
        <v>#N/A</v>
      </c>
      <c r="AA57" s="310">
        <f t="shared" ca="1" si="6"/>
        <v>999</v>
      </c>
      <c r="AB57" s="40" t="e">
        <f ca="1">IF(ISNUMBER($A57),VLOOKUP('Berechnungen 2'!AI60,Matrix_Empfehlung.Stromkosten.ID.BOText,3,1),"")</f>
        <v>#VALUE!</v>
      </c>
      <c r="AC57" s="40">
        <f t="shared" ca="1" si="18"/>
        <v>999</v>
      </c>
      <c r="AD57" s="40">
        <f t="shared" ca="1" si="18"/>
        <v>45</v>
      </c>
      <c r="AE57" s="311">
        <f t="shared" ca="1" si="11"/>
        <v>0</v>
      </c>
    </row>
    <row r="58" spans="1:31" x14ac:dyDescent="0.2">
      <c r="A58" s="201">
        <f t="shared" ca="1" si="0"/>
        <v>46</v>
      </c>
      <c r="B58" s="193">
        <f t="shared" si="9"/>
        <v>46</v>
      </c>
      <c r="C58" s="192">
        <f ca="1">IF(ISERROR(LARGE('Berechnungen 2'!$E$16:$E$315,B58)),"",LARGE('Berechnungen 2'!$E$16:$E$315,B58))</f>
        <v>255</v>
      </c>
      <c r="D58" s="201" t="str">
        <f t="shared" ca="1" si="16"/>
        <v/>
      </c>
      <c r="E58" s="201" t="str">
        <f t="shared" ca="1" si="16"/>
        <v/>
      </c>
      <c r="F58" s="201" t="str">
        <f t="shared" ca="1" si="16"/>
        <v/>
      </c>
      <c r="G58" s="205" t="str">
        <f t="shared" ca="1" si="16"/>
        <v/>
      </c>
      <c r="H58" s="202" t="str">
        <f t="shared" ca="1" si="16"/>
        <v/>
      </c>
      <c r="I58" s="201" t="str">
        <f t="shared" ca="1" si="16"/>
        <v/>
      </c>
      <c r="J58" s="93" t="str">
        <f t="shared" ca="1" si="16"/>
        <v/>
      </c>
      <c r="K58" s="93" t="str">
        <f t="shared" ca="1" si="16"/>
        <v/>
      </c>
      <c r="L58" s="93" t="str">
        <f t="shared" ca="1" si="16"/>
        <v/>
      </c>
      <c r="M58" s="93" t="str">
        <f t="shared" ca="1" si="16"/>
        <v/>
      </c>
      <c r="N58" s="93" t="str">
        <f t="shared" ca="1" si="16"/>
        <v/>
      </c>
      <c r="O58" s="93" t="str">
        <f t="shared" ca="1" si="16"/>
        <v/>
      </c>
      <c r="P58" s="312" t="str">
        <f t="shared" ca="1" si="17"/>
        <v/>
      </c>
      <c r="Q58" s="93" t="str">
        <f t="shared" ca="1" si="17"/>
        <v/>
      </c>
      <c r="R58" s="93" t="str">
        <f t="shared" ca="1" si="17"/>
        <v/>
      </c>
      <c r="S58" s="201" t="str">
        <f t="shared" ca="1" si="3"/>
        <v/>
      </c>
      <c r="T58" s="201"/>
      <c r="Z58" s="40" t="e">
        <f t="shared" ca="1" si="5"/>
        <v>#N/A</v>
      </c>
      <c r="AA58" s="310">
        <f t="shared" ca="1" si="6"/>
        <v>999</v>
      </c>
      <c r="AB58" s="40" t="e">
        <f ca="1">IF(ISNUMBER($A58),VLOOKUP('Berechnungen 2'!AI61,Matrix_Empfehlung.Stromkosten.ID.BOText,3,1),"")</f>
        <v>#VALUE!</v>
      </c>
      <c r="AC58" s="40">
        <f t="shared" ca="1" si="18"/>
        <v>999</v>
      </c>
      <c r="AD58" s="40">
        <f t="shared" ca="1" si="18"/>
        <v>46</v>
      </c>
      <c r="AE58" s="311">
        <f t="shared" ca="1" si="11"/>
        <v>0</v>
      </c>
    </row>
    <row r="59" spans="1:31" x14ac:dyDescent="0.2">
      <c r="A59" s="201">
        <f t="shared" ca="1" si="0"/>
        <v>47</v>
      </c>
      <c r="B59" s="193">
        <f t="shared" si="9"/>
        <v>47</v>
      </c>
      <c r="C59" s="192">
        <f ca="1">IF(ISERROR(LARGE('Berechnungen 2'!$E$16:$E$315,B59)),"",LARGE('Berechnungen 2'!$E$16:$E$315,B59))</f>
        <v>254</v>
      </c>
      <c r="D59" s="201" t="str">
        <f t="shared" ca="1" si="16"/>
        <v/>
      </c>
      <c r="E59" s="201" t="str">
        <f t="shared" ca="1" si="16"/>
        <v/>
      </c>
      <c r="F59" s="201" t="str">
        <f t="shared" ca="1" si="16"/>
        <v/>
      </c>
      <c r="G59" s="205" t="str">
        <f t="shared" ca="1" si="16"/>
        <v/>
      </c>
      <c r="H59" s="202" t="str">
        <f t="shared" ca="1" si="16"/>
        <v/>
      </c>
      <c r="I59" s="201" t="str">
        <f t="shared" ca="1" si="16"/>
        <v/>
      </c>
      <c r="J59" s="93" t="str">
        <f t="shared" ca="1" si="16"/>
        <v/>
      </c>
      <c r="K59" s="93" t="str">
        <f t="shared" ca="1" si="16"/>
        <v/>
      </c>
      <c r="L59" s="93" t="str">
        <f t="shared" ca="1" si="16"/>
        <v/>
      </c>
      <c r="M59" s="93" t="str">
        <f t="shared" ca="1" si="16"/>
        <v/>
      </c>
      <c r="N59" s="93" t="str">
        <f t="shared" ca="1" si="16"/>
        <v/>
      </c>
      <c r="O59" s="93" t="str">
        <f t="shared" ca="1" si="16"/>
        <v/>
      </c>
      <c r="P59" s="312" t="str">
        <f t="shared" ca="1" si="17"/>
        <v/>
      </c>
      <c r="Q59" s="93" t="str">
        <f t="shared" ca="1" si="17"/>
        <v/>
      </c>
      <c r="R59" s="93" t="str">
        <f t="shared" ca="1" si="17"/>
        <v/>
      </c>
      <c r="S59" s="201" t="str">
        <f t="shared" ca="1" si="3"/>
        <v/>
      </c>
      <c r="T59" s="201"/>
      <c r="Z59" s="40" t="e">
        <f t="shared" ca="1" si="5"/>
        <v>#N/A</v>
      </c>
      <c r="AA59" s="310">
        <f t="shared" ca="1" si="6"/>
        <v>999</v>
      </c>
      <c r="AB59" s="40" t="e">
        <f ca="1">IF(ISNUMBER($A59),VLOOKUP('Berechnungen 2'!AI62,Matrix_Empfehlung.Stromkosten.ID.BOText,3,1),"")</f>
        <v>#VALUE!</v>
      </c>
      <c r="AC59" s="40">
        <f t="shared" ca="1" si="18"/>
        <v>999</v>
      </c>
      <c r="AD59" s="40">
        <f t="shared" ca="1" si="18"/>
        <v>47</v>
      </c>
      <c r="AE59" s="311">
        <f t="shared" ca="1" si="11"/>
        <v>0</v>
      </c>
    </row>
    <row r="60" spans="1:31" x14ac:dyDescent="0.2">
      <c r="A60" s="201">
        <f t="shared" ca="1" si="0"/>
        <v>48</v>
      </c>
      <c r="B60" s="193">
        <f t="shared" si="9"/>
        <v>48</v>
      </c>
      <c r="C60" s="192">
        <f ca="1">IF(ISERROR(LARGE('Berechnungen 2'!$E$16:$E$315,B60)),"",LARGE('Berechnungen 2'!$E$16:$E$315,B60))</f>
        <v>253</v>
      </c>
      <c r="D60" s="201" t="str">
        <f t="shared" ca="1" si="16"/>
        <v/>
      </c>
      <c r="E60" s="201" t="str">
        <f t="shared" ca="1" si="16"/>
        <v/>
      </c>
      <c r="F60" s="201" t="str">
        <f t="shared" ca="1" si="16"/>
        <v/>
      </c>
      <c r="G60" s="205" t="str">
        <f t="shared" ca="1" si="16"/>
        <v/>
      </c>
      <c r="H60" s="202" t="str">
        <f t="shared" ca="1" si="16"/>
        <v/>
      </c>
      <c r="I60" s="201" t="str">
        <f t="shared" ca="1" si="16"/>
        <v/>
      </c>
      <c r="J60" s="93" t="str">
        <f t="shared" ca="1" si="16"/>
        <v/>
      </c>
      <c r="K60" s="93" t="str">
        <f t="shared" ca="1" si="16"/>
        <v/>
      </c>
      <c r="L60" s="93" t="str">
        <f t="shared" ca="1" si="16"/>
        <v/>
      </c>
      <c r="M60" s="93" t="str">
        <f t="shared" ca="1" si="16"/>
        <v/>
      </c>
      <c r="N60" s="93" t="str">
        <f t="shared" ca="1" si="16"/>
        <v/>
      </c>
      <c r="O60" s="93" t="str">
        <f t="shared" ca="1" si="16"/>
        <v/>
      </c>
      <c r="P60" s="312" t="str">
        <f t="shared" ca="1" si="17"/>
        <v/>
      </c>
      <c r="Q60" s="93" t="str">
        <f t="shared" ca="1" si="17"/>
        <v/>
      </c>
      <c r="R60" s="93" t="str">
        <f t="shared" ca="1" si="17"/>
        <v/>
      </c>
      <c r="S60" s="201" t="str">
        <f t="shared" ca="1" si="3"/>
        <v/>
      </c>
      <c r="T60" s="201"/>
      <c r="Z60" s="40" t="e">
        <f t="shared" ca="1" si="5"/>
        <v>#N/A</v>
      </c>
      <c r="AA60" s="310">
        <f t="shared" ca="1" si="6"/>
        <v>999</v>
      </c>
      <c r="AB60" s="40" t="e">
        <f ca="1">IF(ISNUMBER($A60),VLOOKUP('Berechnungen 2'!AI63,Matrix_Empfehlung.Stromkosten.ID.BOText,3,1),"")</f>
        <v>#VALUE!</v>
      </c>
      <c r="AC60" s="40">
        <f t="shared" ca="1" si="18"/>
        <v>999</v>
      </c>
      <c r="AD60" s="40">
        <f t="shared" ca="1" si="18"/>
        <v>48</v>
      </c>
      <c r="AE60" s="311">
        <f t="shared" ca="1" si="11"/>
        <v>0</v>
      </c>
    </row>
    <row r="61" spans="1:31" x14ac:dyDescent="0.2">
      <c r="A61" s="201">
        <f t="shared" ca="1" si="0"/>
        <v>49</v>
      </c>
      <c r="B61" s="193">
        <f t="shared" si="9"/>
        <v>49</v>
      </c>
      <c r="C61" s="192">
        <f ca="1">IF(ISERROR(LARGE('Berechnungen 2'!$E$16:$E$315,B61)),"",LARGE('Berechnungen 2'!$E$16:$E$315,B61))</f>
        <v>252</v>
      </c>
      <c r="D61" s="201" t="str">
        <f t="shared" ca="1" si="16"/>
        <v/>
      </c>
      <c r="E61" s="201" t="str">
        <f t="shared" ca="1" si="16"/>
        <v/>
      </c>
      <c r="F61" s="201" t="str">
        <f t="shared" ca="1" si="16"/>
        <v/>
      </c>
      <c r="G61" s="205" t="str">
        <f t="shared" ca="1" si="16"/>
        <v/>
      </c>
      <c r="H61" s="202" t="str">
        <f t="shared" ca="1" si="16"/>
        <v/>
      </c>
      <c r="I61" s="201" t="str">
        <f t="shared" ca="1" si="16"/>
        <v/>
      </c>
      <c r="J61" s="93" t="str">
        <f t="shared" ca="1" si="16"/>
        <v/>
      </c>
      <c r="K61" s="93" t="str">
        <f t="shared" ca="1" si="16"/>
        <v/>
      </c>
      <c r="L61" s="93" t="str">
        <f t="shared" ca="1" si="16"/>
        <v/>
      </c>
      <c r="M61" s="93" t="str">
        <f t="shared" ca="1" si="16"/>
        <v/>
      </c>
      <c r="N61" s="93" t="str">
        <f t="shared" ca="1" si="16"/>
        <v/>
      </c>
      <c r="O61" s="93" t="str">
        <f t="shared" ca="1" si="16"/>
        <v/>
      </c>
      <c r="P61" s="312" t="str">
        <f t="shared" ca="1" si="17"/>
        <v/>
      </c>
      <c r="Q61" s="93" t="str">
        <f t="shared" ca="1" si="17"/>
        <v/>
      </c>
      <c r="R61" s="93" t="str">
        <f t="shared" ca="1" si="17"/>
        <v/>
      </c>
      <c r="S61" s="201" t="str">
        <f t="shared" ca="1" si="3"/>
        <v/>
      </c>
      <c r="T61" s="201"/>
      <c r="Z61" s="40" t="e">
        <f t="shared" ca="1" si="5"/>
        <v>#N/A</v>
      </c>
      <c r="AA61" s="310">
        <f t="shared" ca="1" si="6"/>
        <v>999</v>
      </c>
      <c r="AB61" s="40" t="e">
        <f ca="1">IF(ISNUMBER($A61),VLOOKUP('Berechnungen 2'!AI64,Matrix_Empfehlung.Stromkosten.ID.BOText,3,1),"")</f>
        <v>#VALUE!</v>
      </c>
      <c r="AC61" s="40">
        <f t="shared" ca="1" si="18"/>
        <v>999</v>
      </c>
      <c r="AD61" s="40">
        <f t="shared" ca="1" si="18"/>
        <v>49</v>
      </c>
      <c r="AE61" s="311">
        <f t="shared" ca="1" si="11"/>
        <v>0</v>
      </c>
    </row>
    <row r="62" spans="1:31" x14ac:dyDescent="0.2">
      <c r="A62" s="201">
        <f t="shared" ca="1" si="0"/>
        <v>50</v>
      </c>
      <c r="B62" s="193">
        <f t="shared" si="9"/>
        <v>50</v>
      </c>
      <c r="C62" s="192">
        <f ca="1">IF(ISERROR(LARGE('Berechnungen 2'!$E$16:$E$315,B62)),"",LARGE('Berechnungen 2'!$E$16:$E$315,B62))</f>
        <v>251</v>
      </c>
      <c r="D62" s="201" t="str">
        <f t="shared" ca="1" si="16"/>
        <v/>
      </c>
      <c r="E62" s="201" t="str">
        <f t="shared" ca="1" si="16"/>
        <v/>
      </c>
      <c r="F62" s="201" t="str">
        <f t="shared" ca="1" si="16"/>
        <v/>
      </c>
      <c r="G62" s="205" t="str">
        <f t="shared" ca="1" si="16"/>
        <v/>
      </c>
      <c r="H62" s="202" t="str">
        <f t="shared" ca="1" si="16"/>
        <v/>
      </c>
      <c r="I62" s="201" t="str">
        <f t="shared" ca="1" si="16"/>
        <v/>
      </c>
      <c r="J62" s="93" t="str">
        <f t="shared" ca="1" si="16"/>
        <v/>
      </c>
      <c r="K62" s="93" t="str">
        <f t="shared" ca="1" si="16"/>
        <v/>
      </c>
      <c r="L62" s="93" t="str">
        <f t="shared" ca="1" si="16"/>
        <v/>
      </c>
      <c r="M62" s="93" t="str">
        <f t="shared" ca="1" si="16"/>
        <v/>
      </c>
      <c r="N62" s="93" t="str">
        <f t="shared" ca="1" si="16"/>
        <v/>
      </c>
      <c r="O62" s="93" t="str">
        <f t="shared" ca="1" si="16"/>
        <v/>
      </c>
      <c r="P62" s="312" t="str">
        <f t="shared" ca="1" si="17"/>
        <v/>
      </c>
      <c r="Q62" s="93" t="str">
        <f t="shared" ca="1" si="17"/>
        <v/>
      </c>
      <c r="R62" s="93" t="str">
        <f t="shared" ca="1" si="17"/>
        <v/>
      </c>
      <c r="S62" s="201" t="str">
        <f t="shared" ca="1" si="3"/>
        <v/>
      </c>
      <c r="T62" s="201"/>
      <c r="Z62" s="40" t="e">
        <f t="shared" ca="1" si="5"/>
        <v>#N/A</v>
      </c>
      <c r="AA62" s="310">
        <f t="shared" ca="1" si="6"/>
        <v>999</v>
      </c>
      <c r="AB62" s="40" t="e">
        <f ca="1">IF(ISNUMBER($A62),VLOOKUP('Berechnungen 2'!AI65,Matrix_Empfehlung.Stromkosten.ID.BOText,3,1),"")</f>
        <v>#VALUE!</v>
      </c>
      <c r="AC62" s="40">
        <f t="shared" ca="1" si="18"/>
        <v>999</v>
      </c>
      <c r="AD62" s="40">
        <f t="shared" ca="1" si="18"/>
        <v>50</v>
      </c>
      <c r="AE62" s="311">
        <f t="shared" ca="1" si="11"/>
        <v>0</v>
      </c>
    </row>
    <row r="63" spans="1:31" x14ac:dyDescent="0.2">
      <c r="A63" s="201">
        <f t="shared" ca="1" si="0"/>
        <v>51</v>
      </c>
      <c r="B63" s="193">
        <f t="shared" si="9"/>
        <v>51</v>
      </c>
      <c r="C63" s="192">
        <f ca="1">IF(ISERROR(LARGE('Berechnungen 2'!$E$16:$E$315,B63)),"",LARGE('Berechnungen 2'!$E$16:$E$315,B63))</f>
        <v>250</v>
      </c>
      <c r="D63" s="201" t="str">
        <f t="shared" ref="D63:O72" ca="1" si="19">IF($AC63&gt;0,VLOOKUP($C63,Matrix_Berechnungen2.Rang.Pumpendaten.Endresultate,D$9,0),"")</f>
        <v/>
      </c>
      <c r="E63" s="201" t="str">
        <f t="shared" ca="1" si="19"/>
        <v/>
      </c>
      <c r="F63" s="201" t="str">
        <f t="shared" ca="1" si="19"/>
        <v/>
      </c>
      <c r="G63" s="205" t="str">
        <f t="shared" ca="1" si="19"/>
        <v/>
      </c>
      <c r="H63" s="202" t="str">
        <f t="shared" ca="1" si="19"/>
        <v/>
      </c>
      <c r="I63" s="201" t="str">
        <f t="shared" ca="1" si="19"/>
        <v/>
      </c>
      <c r="J63" s="93" t="str">
        <f t="shared" ca="1" si="19"/>
        <v/>
      </c>
      <c r="K63" s="93" t="str">
        <f t="shared" ca="1" si="19"/>
        <v/>
      </c>
      <c r="L63" s="93" t="str">
        <f t="shared" ca="1" si="19"/>
        <v/>
      </c>
      <c r="M63" s="93" t="str">
        <f t="shared" ca="1" si="19"/>
        <v/>
      </c>
      <c r="N63" s="93" t="str">
        <f t="shared" ca="1" si="19"/>
        <v/>
      </c>
      <c r="O63" s="93" t="str">
        <f t="shared" ca="1" si="19"/>
        <v/>
      </c>
      <c r="P63" s="312" t="str">
        <f t="shared" ca="1" si="17"/>
        <v/>
      </c>
      <c r="Q63" s="93" t="str">
        <f t="shared" ca="1" si="17"/>
        <v/>
      </c>
      <c r="R63" s="93" t="str">
        <f t="shared" ca="1" si="17"/>
        <v/>
      </c>
      <c r="S63" s="201" t="str">
        <f t="shared" ca="1" si="3"/>
        <v/>
      </c>
      <c r="T63" s="201"/>
      <c r="Z63" s="40" t="e">
        <f t="shared" ca="1" si="5"/>
        <v>#N/A</v>
      </c>
      <c r="AA63" s="310">
        <f t="shared" ca="1" si="6"/>
        <v>999</v>
      </c>
      <c r="AB63" s="40" t="e">
        <f ca="1">IF(ISNUMBER($A63),VLOOKUP('Berechnungen 2'!AI66,Matrix_Empfehlung.Stromkosten.ID.BOText,3,1),"")</f>
        <v>#VALUE!</v>
      </c>
      <c r="AC63" s="40">
        <f t="shared" ca="1" si="18"/>
        <v>999</v>
      </c>
      <c r="AD63" s="40">
        <f t="shared" ca="1" si="18"/>
        <v>51</v>
      </c>
      <c r="AE63" s="311">
        <f t="shared" ca="1" si="11"/>
        <v>0</v>
      </c>
    </row>
    <row r="64" spans="1:31" x14ac:dyDescent="0.2">
      <c r="A64" s="201">
        <f t="shared" ca="1" si="0"/>
        <v>52</v>
      </c>
      <c r="B64" s="193">
        <f t="shared" si="9"/>
        <v>52</v>
      </c>
      <c r="C64" s="192">
        <f ca="1">IF(ISERROR(LARGE('Berechnungen 2'!$E$16:$E$315,B64)),"",LARGE('Berechnungen 2'!$E$16:$E$315,B64))</f>
        <v>249</v>
      </c>
      <c r="D64" s="201" t="str">
        <f t="shared" ca="1" si="19"/>
        <v/>
      </c>
      <c r="E64" s="201" t="str">
        <f t="shared" ca="1" si="19"/>
        <v/>
      </c>
      <c r="F64" s="201" t="str">
        <f t="shared" ca="1" si="19"/>
        <v/>
      </c>
      <c r="G64" s="205" t="str">
        <f t="shared" ca="1" si="19"/>
        <v/>
      </c>
      <c r="H64" s="202" t="str">
        <f t="shared" ca="1" si="19"/>
        <v/>
      </c>
      <c r="I64" s="201" t="str">
        <f t="shared" ca="1" si="19"/>
        <v/>
      </c>
      <c r="J64" s="93" t="str">
        <f t="shared" ca="1" si="19"/>
        <v/>
      </c>
      <c r="K64" s="93" t="str">
        <f t="shared" ca="1" si="19"/>
        <v/>
      </c>
      <c r="L64" s="93" t="str">
        <f t="shared" ca="1" si="19"/>
        <v/>
      </c>
      <c r="M64" s="93" t="str">
        <f t="shared" ca="1" si="19"/>
        <v/>
      </c>
      <c r="N64" s="93" t="str">
        <f t="shared" ca="1" si="19"/>
        <v/>
      </c>
      <c r="O64" s="93" t="str">
        <f t="shared" ca="1" si="19"/>
        <v/>
      </c>
      <c r="P64" s="312" t="str">
        <f t="shared" ca="1" si="17"/>
        <v/>
      </c>
      <c r="Q64" s="93" t="str">
        <f t="shared" ca="1" si="17"/>
        <v/>
      </c>
      <c r="R64" s="93" t="str">
        <f t="shared" ca="1" si="17"/>
        <v/>
      </c>
      <c r="S64" s="201" t="str">
        <f t="shared" ca="1" si="3"/>
        <v/>
      </c>
      <c r="T64" s="201"/>
      <c r="Z64" s="40" t="e">
        <f t="shared" ca="1" si="5"/>
        <v>#N/A</v>
      </c>
      <c r="AA64" s="310">
        <f t="shared" ca="1" si="6"/>
        <v>999</v>
      </c>
      <c r="AB64" s="40" t="e">
        <f ca="1">IF(ISNUMBER($A64),VLOOKUP('Berechnungen 2'!AI67,Matrix_Empfehlung.Stromkosten.ID.BOText,3,1),"")</f>
        <v>#VALUE!</v>
      </c>
      <c r="AC64" s="40">
        <f t="shared" ca="1" si="18"/>
        <v>999</v>
      </c>
      <c r="AD64" s="40">
        <f t="shared" ca="1" si="18"/>
        <v>52</v>
      </c>
      <c r="AE64" s="311">
        <f t="shared" ca="1" si="11"/>
        <v>0</v>
      </c>
    </row>
    <row r="65" spans="1:31" x14ac:dyDescent="0.2">
      <c r="A65" s="201">
        <f t="shared" ca="1" si="0"/>
        <v>53</v>
      </c>
      <c r="B65" s="193">
        <f t="shared" si="9"/>
        <v>53</v>
      </c>
      <c r="C65" s="192">
        <f ca="1">IF(ISERROR(LARGE('Berechnungen 2'!$E$16:$E$315,B65)),"",LARGE('Berechnungen 2'!$E$16:$E$315,B65))</f>
        <v>248</v>
      </c>
      <c r="D65" s="201" t="str">
        <f t="shared" ca="1" si="19"/>
        <v/>
      </c>
      <c r="E65" s="201" t="str">
        <f t="shared" ca="1" si="19"/>
        <v/>
      </c>
      <c r="F65" s="201" t="str">
        <f t="shared" ca="1" si="19"/>
        <v/>
      </c>
      <c r="G65" s="205" t="str">
        <f t="shared" ca="1" si="19"/>
        <v/>
      </c>
      <c r="H65" s="202" t="str">
        <f t="shared" ca="1" si="19"/>
        <v/>
      </c>
      <c r="I65" s="201" t="str">
        <f t="shared" ca="1" si="19"/>
        <v/>
      </c>
      <c r="J65" s="93" t="str">
        <f t="shared" ca="1" si="19"/>
        <v/>
      </c>
      <c r="K65" s="93" t="str">
        <f t="shared" ca="1" si="19"/>
        <v/>
      </c>
      <c r="L65" s="93" t="str">
        <f t="shared" ca="1" si="19"/>
        <v/>
      </c>
      <c r="M65" s="93" t="str">
        <f t="shared" ca="1" si="19"/>
        <v/>
      </c>
      <c r="N65" s="93" t="str">
        <f t="shared" ca="1" si="19"/>
        <v/>
      </c>
      <c r="O65" s="93" t="str">
        <f t="shared" ca="1" si="19"/>
        <v/>
      </c>
      <c r="P65" s="312" t="str">
        <f t="shared" ca="1" si="17"/>
        <v/>
      </c>
      <c r="Q65" s="93" t="str">
        <f t="shared" ca="1" si="17"/>
        <v/>
      </c>
      <c r="R65" s="93" t="str">
        <f t="shared" ca="1" si="17"/>
        <v/>
      </c>
      <c r="S65" s="201" t="str">
        <f t="shared" ca="1" si="3"/>
        <v/>
      </c>
      <c r="T65" s="201"/>
      <c r="Z65" s="40" t="e">
        <f t="shared" ca="1" si="5"/>
        <v>#N/A</v>
      </c>
      <c r="AA65" s="310">
        <f t="shared" ca="1" si="6"/>
        <v>999</v>
      </c>
      <c r="AB65" s="40" t="e">
        <f ca="1">IF(ISNUMBER($A65),VLOOKUP('Berechnungen 2'!AI68,Matrix_Empfehlung.Stromkosten.ID.BOText,3,1),"")</f>
        <v>#VALUE!</v>
      </c>
      <c r="AC65" s="40">
        <f t="shared" ca="1" si="18"/>
        <v>999</v>
      </c>
      <c r="AD65" s="40">
        <f t="shared" ca="1" si="18"/>
        <v>53</v>
      </c>
      <c r="AE65" s="311">
        <f t="shared" ca="1" si="11"/>
        <v>0</v>
      </c>
    </row>
    <row r="66" spans="1:31" x14ac:dyDescent="0.2">
      <c r="A66" s="201">
        <f t="shared" ca="1" si="0"/>
        <v>54</v>
      </c>
      <c r="B66" s="193">
        <f t="shared" si="9"/>
        <v>54</v>
      </c>
      <c r="C66" s="192">
        <f ca="1">IF(ISERROR(LARGE('Berechnungen 2'!$E$16:$E$315,B66)),"",LARGE('Berechnungen 2'!$E$16:$E$315,B66))</f>
        <v>247</v>
      </c>
      <c r="D66" s="201" t="str">
        <f t="shared" ca="1" si="19"/>
        <v/>
      </c>
      <c r="E66" s="201" t="str">
        <f t="shared" ca="1" si="19"/>
        <v/>
      </c>
      <c r="F66" s="201" t="str">
        <f t="shared" ca="1" si="19"/>
        <v/>
      </c>
      <c r="G66" s="205" t="str">
        <f t="shared" ca="1" si="19"/>
        <v/>
      </c>
      <c r="H66" s="202" t="str">
        <f t="shared" ca="1" si="19"/>
        <v/>
      </c>
      <c r="I66" s="201" t="str">
        <f t="shared" ca="1" si="19"/>
        <v/>
      </c>
      <c r="J66" s="93" t="str">
        <f t="shared" ca="1" si="19"/>
        <v/>
      </c>
      <c r="K66" s="93" t="str">
        <f t="shared" ca="1" si="19"/>
        <v/>
      </c>
      <c r="L66" s="93" t="str">
        <f t="shared" ca="1" si="19"/>
        <v/>
      </c>
      <c r="M66" s="93" t="str">
        <f t="shared" ca="1" si="19"/>
        <v/>
      </c>
      <c r="N66" s="93" t="str">
        <f t="shared" ca="1" si="19"/>
        <v/>
      </c>
      <c r="O66" s="93" t="str">
        <f t="shared" ca="1" si="19"/>
        <v/>
      </c>
      <c r="P66" s="312" t="str">
        <f t="shared" ca="1" si="17"/>
        <v/>
      </c>
      <c r="Q66" s="93" t="str">
        <f t="shared" ca="1" si="17"/>
        <v/>
      </c>
      <c r="R66" s="93" t="str">
        <f t="shared" ca="1" si="17"/>
        <v/>
      </c>
      <c r="S66" s="201" t="str">
        <f t="shared" ca="1" si="3"/>
        <v/>
      </c>
      <c r="T66" s="201"/>
      <c r="Z66" s="40" t="e">
        <f t="shared" ca="1" si="5"/>
        <v>#N/A</v>
      </c>
      <c r="AA66" s="310">
        <f t="shared" ca="1" si="6"/>
        <v>999</v>
      </c>
      <c r="AB66" s="40" t="e">
        <f ca="1">IF(ISNUMBER($A66),VLOOKUP('Berechnungen 2'!AI69,Matrix_Empfehlung.Stromkosten.ID.BOText,3,1),"")</f>
        <v>#VALUE!</v>
      </c>
      <c r="AC66" s="40">
        <f t="shared" ca="1" si="18"/>
        <v>999</v>
      </c>
      <c r="AD66" s="40">
        <f t="shared" ca="1" si="18"/>
        <v>54</v>
      </c>
      <c r="AE66" s="311">
        <f t="shared" ca="1" si="11"/>
        <v>0</v>
      </c>
    </row>
    <row r="67" spans="1:31" x14ac:dyDescent="0.2">
      <c r="A67" s="201">
        <f t="shared" ca="1" si="0"/>
        <v>55</v>
      </c>
      <c r="B67" s="193">
        <f t="shared" si="9"/>
        <v>55</v>
      </c>
      <c r="C67" s="192">
        <f ca="1">IF(ISERROR(LARGE('Berechnungen 2'!$E$16:$E$315,B67)),"",LARGE('Berechnungen 2'!$E$16:$E$315,B67))</f>
        <v>246</v>
      </c>
      <c r="D67" s="201" t="str">
        <f t="shared" ca="1" si="19"/>
        <v/>
      </c>
      <c r="E67" s="201" t="str">
        <f t="shared" ca="1" si="19"/>
        <v/>
      </c>
      <c r="F67" s="201" t="str">
        <f t="shared" ca="1" si="19"/>
        <v/>
      </c>
      <c r="G67" s="205" t="str">
        <f t="shared" ca="1" si="19"/>
        <v/>
      </c>
      <c r="H67" s="202" t="str">
        <f t="shared" ca="1" si="19"/>
        <v/>
      </c>
      <c r="I67" s="201" t="str">
        <f t="shared" ca="1" si="19"/>
        <v/>
      </c>
      <c r="J67" s="93" t="str">
        <f t="shared" ca="1" si="19"/>
        <v/>
      </c>
      <c r="K67" s="93" t="str">
        <f t="shared" ca="1" si="19"/>
        <v/>
      </c>
      <c r="L67" s="93" t="str">
        <f t="shared" ca="1" si="19"/>
        <v/>
      </c>
      <c r="M67" s="93" t="str">
        <f t="shared" ca="1" si="19"/>
        <v/>
      </c>
      <c r="N67" s="93" t="str">
        <f t="shared" ca="1" si="19"/>
        <v/>
      </c>
      <c r="O67" s="93" t="str">
        <f t="shared" ca="1" si="19"/>
        <v/>
      </c>
      <c r="P67" s="312" t="str">
        <f t="shared" ca="1" si="17"/>
        <v/>
      </c>
      <c r="Q67" s="93" t="str">
        <f t="shared" ca="1" si="17"/>
        <v/>
      </c>
      <c r="R67" s="93" t="str">
        <f t="shared" ca="1" si="17"/>
        <v/>
      </c>
      <c r="S67" s="201" t="str">
        <f t="shared" ca="1" si="3"/>
        <v/>
      </c>
      <c r="T67" s="201"/>
      <c r="Z67" s="40" t="e">
        <f t="shared" ca="1" si="5"/>
        <v>#N/A</v>
      </c>
      <c r="AA67" s="310">
        <f t="shared" ca="1" si="6"/>
        <v>999</v>
      </c>
      <c r="AB67" s="40" t="e">
        <f ca="1">IF(ISNUMBER($A67),VLOOKUP('Berechnungen 2'!AI70,Matrix_Empfehlung.Stromkosten.ID.BOText,3,1),"")</f>
        <v>#VALUE!</v>
      </c>
      <c r="AC67" s="40">
        <f t="shared" ca="1" si="18"/>
        <v>999</v>
      </c>
      <c r="AD67" s="40">
        <f t="shared" ca="1" si="18"/>
        <v>55</v>
      </c>
      <c r="AE67" s="311">
        <f t="shared" ca="1" si="11"/>
        <v>0</v>
      </c>
    </row>
    <row r="68" spans="1:31" x14ac:dyDescent="0.2">
      <c r="A68" s="201">
        <f t="shared" ca="1" si="0"/>
        <v>56</v>
      </c>
      <c r="B68" s="193">
        <f t="shared" si="9"/>
        <v>56</v>
      </c>
      <c r="C68" s="192">
        <f ca="1">IF(ISERROR(LARGE('Berechnungen 2'!$E$16:$E$315,B68)),"",LARGE('Berechnungen 2'!$E$16:$E$315,B68))</f>
        <v>245</v>
      </c>
      <c r="D68" s="201" t="str">
        <f t="shared" ca="1" si="19"/>
        <v/>
      </c>
      <c r="E68" s="201" t="str">
        <f t="shared" ca="1" si="19"/>
        <v/>
      </c>
      <c r="F68" s="201" t="str">
        <f t="shared" ca="1" si="19"/>
        <v/>
      </c>
      <c r="G68" s="205" t="str">
        <f t="shared" ca="1" si="19"/>
        <v/>
      </c>
      <c r="H68" s="202" t="str">
        <f t="shared" ca="1" si="19"/>
        <v/>
      </c>
      <c r="I68" s="201" t="str">
        <f t="shared" ca="1" si="19"/>
        <v/>
      </c>
      <c r="J68" s="93" t="str">
        <f t="shared" ca="1" si="19"/>
        <v/>
      </c>
      <c r="K68" s="93" t="str">
        <f t="shared" ca="1" si="19"/>
        <v/>
      </c>
      <c r="L68" s="93" t="str">
        <f t="shared" ca="1" si="19"/>
        <v/>
      </c>
      <c r="M68" s="93" t="str">
        <f t="shared" ca="1" si="19"/>
        <v/>
      </c>
      <c r="N68" s="93" t="str">
        <f t="shared" ca="1" si="19"/>
        <v/>
      </c>
      <c r="O68" s="93" t="str">
        <f t="shared" ca="1" si="19"/>
        <v/>
      </c>
      <c r="P68" s="312" t="str">
        <f t="shared" ca="1" si="17"/>
        <v/>
      </c>
      <c r="Q68" s="93" t="str">
        <f t="shared" ca="1" si="17"/>
        <v/>
      </c>
      <c r="R68" s="93" t="str">
        <f t="shared" ca="1" si="17"/>
        <v/>
      </c>
      <c r="S68" s="201" t="str">
        <f t="shared" ca="1" si="3"/>
        <v/>
      </c>
      <c r="T68" s="201"/>
      <c r="Z68" s="40" t="e">
        <f t="shared" ca="1" si="5"/>
        <v>#N/A</v>
      </c>
      <c r="AA68" s="310">
        <f t="shared" ca="1" si="6"/>
        <v>999</v>
      </c>
      <c r="AB68" s="40" t="e">
        <f ca="1">IF(ISNUMBER($A68),VLOOKUP('Berechnungen 2'!AI71,Matrix_Empfehlung.Stromkosten.ID.BOText,3,1),"")</f>
        <v>#VALUE!</v>
      </c>
      <c r="AC68" s="40">
        <f t="shared" ca="1" si="18"/>
        <v>999</v>
      </c>
      <c r="AD68" s="40">
        <f t="shared" ca="1" si="18"/>
        <v>56</v>
      </c>
      <c r="AE68" s="311">
        <f t="shared" ca="1" si="11"/>
        <v>0</v>
      </c>
    </row>
    <row r="69" spans="1:31" x14ac:dyDescent="0.2">
      <c r="A69" s="201">
        <f t="shared" ca="1" si="0"/>
        <v>57</v>
      </c>
      <c r="B69" s="193">
        <f t="shared" si="9"/>
        <v>57</v>
      </c>
      <c r="C69" s="192">
        <f ca="1">IF(ISERROR(LARGE('Berechnungen 2'!$E$16:$E$315,B69)),"",LARGE('Berechnungen 2'!$E$16:$E$315,B69))</f>
        <v>244</v>
      </c>
      <c r="D69" s="201" t="str">
        <f t="shared" ca="1" si="19"/>
        <v/>
      </c>
      <c r="E69" s="201" t="str">
        <f t="shared" ca="1" si="19"/>
        <v/>
      </c>
      <c r="F69" s="201" t="str">
        <f t="shared" ca="1" si="19"/>
        <v/>
      </c>
      <c r="G69" s="205" t="str">
        <f t="shared" ca="1" si="19"/>
        <v/>
      </c>
      <c r="H69" s="202" t="str">
        <f t="shared" ca="1" si="19"/>
        <v/>
      </c>
      <c r="I69" s="201" t="str">
        <f t="shared" ca="1" si="19"/>
        <v/>
      </c>
      <c r="J69" s="93" t="str">
        <f t="shared" ca="1" si="19"/>
        <v/>
      </c>
      <c r="K69" s="93" t="str">
        <f t="shared" ca="1" si="19"/>
        <v/>
      </c>
      <c r="L69" s="93" t="str">
        <f t="shared" ca="1" si="19"/>
        <v/>
      </c>
      <c r="M69" s="93" t="str">
        <f t="shared" ca="1" si="19"/>
        <v/>
      </c>
      <c r="N69" s="93" t="str">
        <f t="shared" ca="1" si="19"/>
        <v/>
      </c>
      <c r="O69" s="93" t="str">
        <f t="shared" ca="1" si="19"/>
        <v/>
      </c>
      <c r="P69" s="312" t="str">
        <f t="shared" ca="1" si="17"/>
        <v/>
      </c>
      <c r="Q69" s="93" t="str">
        <f t="shared" ca="1" si="17"/>
        <v/>
      </c>
      <c r="R69" s="93" t="str">
        <f t="shared" ca="1" si="17"/>
        <v/>
      </c>
      <c r="S69" s="201" t="str">
        <f t="shared" ca="1" si="3"/>
        <v/>
      </c>
      <c r="T69" s="201"/>
      <c r="Z69" s="40" t="e">
        <f t="shared" ca="1" si="5"/>
        <v>#N/A</v>
      </c>
      <c r="AA69" s="310">
        <f t="shared" ca="1" si="6"/>
        <v>999</v>
      </c>
      <c r="AB69" s="40" t="e">
        <f ca="1">IF(ISNUMBER($A69),VLOOKUP('Berechnungen 2'!AI72,Matrix_Empfehlung.Stromkosten.ID.BOText,3,1),"")</f>
        <v>#VALUE!</v>
      </c>
      <c r="AC69" s="40">
        <f t="shared" ca="1" si="18"/>
        <v>999</v>
      </c>
      <c r="AD69" s="40">
        <f t="shared" ca="1" si="18"/>
        <v>57</v>
      </c>
      <c r="AE69" s="311">
        <f t="shared" ca="1" si="11"/>
        <v>0</v>
      </c>
    </row>
    <row r="70" spans="1:31" x14ac:dyDescent="0.2">
      <c r="A70" s="201">
        <f t="shared" ca="1" si="0"/>
        <v>58</v>
      </c>
      <c r="B70" s="193">
        <f t="shared" si="9"/>
        <v>58</v>
      </c>
      <c r="C70" s="192">
        <f ca="1">IF(ISERROR(LARGE('Berechnungen 2'!$E$16:$E$315,B70)),"",LARGE('Berechnungen 2'!$E$16:$E$315,B70))</f>
        <v>243</v>
      </c>
      <c r="D70" s="201" t="str">
        <f t="shared" ca="1" si="19"/>
        <v/>
      </c>
      <c r="E70" s="201" t="str">
        <f t="shared" ca="1" si="19"/>
        <v/>
      </c>
      <c r="F70" s="201" t="str">
        <f t="shared" ca="1" si="19"/>
        <v/>
      </c>
      <c r="G70" s="205" t="str">
        <f t="shared" ca="1" si="19"/>
        <v/>
      </c>
      <c r="H70" s="202" t="str">
        <f t="shared" ca="1" si="19"/>
        <v/>
      </c>
      <c r="I70" s="201" t="str">
        <f t="shared" ca="1" si="19"/>
        <v/>
      </c>
      <c r="J70" s="93" t="str">
        <f t="shared" ca="1" si="19"/>
        <v/>
      </c>
      <c r="K70" s="93" t="str">
        <f t="shared" ca="1" si="19"/>
        <v/>
      </c>
      <c r="L70" s="93" t="str">
        <f t="shared" ca="1" si="19"/>
        <v/>
      </c>
      <c r="M70" s="93" t="str">
        <f t="shared" ca="1" si="19"/>
        <v/>
      </c>
      <c r="N70" s="93" t="str">
        <f t="shared" ca="1" si="19"/>
        <v/>
      </c>
      <c r="O70" s="93" t="str">
        <f t="shared" ca="1" si="19"/>
        <v/>
      </c>
      <c r="P70" s="312" t="str">
        <f t="shared" ca="1" si="17"/>
        <v/>
      </c>
      <c r="Q70" s="93" t="str">
        <f t="shared" ca="1" si="17"/>
        <v/>
      </c>
      <c r="R70" s="93" t="str">
        <f t="shared" ca="1" si="17"/>
        <v/>
      </c>
      <c r="S70" s="201" t="str">
        <f t="shared" ca="1" si="3"/>
        <v/>
      </c>
      <c r="T70" s="201"/>
      <c r="Z70" s="40" t="e">
        <f t="shared" ca="1" si="5"/>
        <v>#N/A</v>
      </c>
      <c r="AA70" s="310">
        <f t="shared" ca="1" si="6"/>
        <v>999</v>
      </c>
      <c r="AB70" s="40" t="e">
        <f ca="1">IF(ISNUMBER($A70),VLOOKUP('Berechnungen 2'!AI73,Matrix_Empfehlung.Stromkosten.ID.BOText,3,1),"")</f>
        <v>#VALUE!</v>
      </c>
      <c r="AC70" s="40">
        <f t="shared" ca="1" si="18"/>
        <v>999</v>
      </c>
      <c r="AD70" s="40">
        <f t="shared" ca="1" si="18"/>
        <v>58</v>
      </c>
      <c r="AE70" s="311">
        <f t="shared" ca="1" si="11"/>
        <v>0</v>
      </c>
    </row>
    <row r="71" spans="1:31" x14ac:dyDescent="0.2">
      <c r="A71" s="201">
        <f t="shared" ca="1" si="0"/>
        <v>59</v>
      </c>
      <c r="B71" s="193">
        <f t="shared" si="9"/>
        <v>59</v>
      </c>
      <c r="C71" s="192">
        <f ca="1">IF(ISERROR(LARGE('Berechnungen 2'!$E$16:$E$315,B71)),"",LARGE('Berechnungen 2'!$E$16:$E$315,B71))</f>
        <v>242</v>
      </c>
      <c r="D71" s="201" t="str">
        <f t="shared" ca="1" si="19"/>
        <v/>
      </c>
      <c r="E71" s="201" t="str">
        <f t="shared" ca="1" si="19"/>
        <v/>
      </c>
      <c r="F71" s="201" t="str">
        <f t="shared" ca="1" si="19"/>
        <v/>
      </c>
      <c r="G71" s="205" t="str">
        <f t="shared" ca="1" si="19"/>
        <v/>
      </c>
      <c r="H71" s="202" t="str">
        <f t="shared" ca="1" si="19"/>
        <v/>
      </c>
      <c r="I71" s="201" t="str">
        <f t="shared" ca="1" si="19"/>
        <v/>
      </c>
      <c r="J71" s="93" t="str">
        <f t="shared" ca="1" si="19"/>
        <v/>
      </c>
      <c r="K71" s="93" t="str">
        <f t="shared" ca="1" si="19"/>
        <v/>
      </c>
      <c r="L71" s="93" t="str">
        <f t="shared" ca="1" si="19"/>
        <v/>
      </c>
      <c r="M71" s="93" t="str">
        <f t="shared" ca="1" si="19"/>
        <v/>
      </c>
      <c r="N71" s="93" t="str">
        <f t="shared" ca="1" si="19"/>
        <v/>
      </c>
      <c r="O71" s="93" t="str">
        <f t="shared" ca="1" si="19"/>
        <v/>
      </c>
      <c r="P71" s="312" t="str">
        <f t="shared" ca="1" si="17"/>
        <v/>
      </c>
      <c r="Q71" s="93" t="str">
        <f t="shared" ca="1" si="17"/>
        <v/>
      </c>
      <c r="R71" s="93" t="str">
        <f t="shared" ca="1" si="17"/>
        <v/>
      </c>
      <c r="S71" s="201" t="str">
        <f t="shared" ca="1" si="3"/>
        <v/>
      </c>
      <c r="T71" s="201"/>
      <c r="Z71" s="40" t="e">
        <f t="shared" ca="1" si="5"/>
        <v>#N/A</v>
      </c>
      <c r="AA71" s="310">
        <f t="shared" ca="1" si="6"/>
        <v>999</v>
      </c>
      <c r="AB71" s="40" t="e">
        <f ca="1">IF(ISNUMBER($A71),VLOOKUP('Berechnungen 2'!AI74,Matrix_Empfehlung.Stromkosten.ID.BOText,3,1),"")</f>
        <v>#VALUE!</v>
      </c>
      <c r="AC71" s="40">
        <f t="shared" ca="1" si="18"/>
        <v>999</v>
      </c>
      <c r="AD71" s="40">
        <f t="shared" ca="1" si="18"/>
        <v>59</v>
      </c>
      <c r="AE71" s="311">
        <f t="shared" ca="1" si="11"/>
        <v>0</v>
      </c>
    </row>
    <row r="72" spans="1:31" x14ac:dyDescent="0.2">
      <c r="A72" s="201">
        <f t="shared" ca="1" si="0"/>
        <v>60</v>
      </c>
      <c r="B72" s="193">
        <f t="shared" si="9"/>
        <v>60</v>
      </c>
      <c r="C72" s="192">
        <f ca="1">IF(ISERROR(LARGE('Berechnungen 2'!$E$16:$E$315,B72)),"",LARGE('Berechnungen 2'!$E$16:$E$315,B72))</f>
        <v>241</v>
      </c>
      <c r="D72" s="201" t="str">
        <f t="shared" ca="1" si="19"/>
        <v/>
      </c>
      <c r="E72" s="201" t="str">
        <f t="shared" ca="1" si="19"/>
        <v/>
      </c>
      <c r="F72" s="201" t="str">
        <f t="shared" ca="1" si="19"/>
        <v/>
      </c>
      <c r="G72" s="205" t="str">
        <f t="shared" ca="1" si="19"/>
        <v/>
      </c>
      <c r="H72" s="202" t="str">
        <f t="shared" ca="1" si="19"/>
        <v/>
      </c>
      <c r="I72" s="201" t="str">
        <f t="shared" ca="1" si="19"/>
        <v/>
      </c>
      <c r="J72" s="93" t="str">
        <f t="shared" ca="1" si="19"/>
        <v/>
      </c>
      <c r="K72" s="93" t="str">
        <f t="shared" ca="1" si="19"/>
        <v/>
      </c>
      <c r="L72" s="93" t="str">
        <f t="shared" ca="1" si="19"/>
        <v/>
      </c>
      <c r="M72" s="93" t="str">
        <f t="shared" ca="1" si="19"/>
        <v/>
      </c>
      <c r="N72" s="93" t="str">
        <f t="shared" ca="1" si="19"/>
        <v/>
      </c>
      <c r="O72" s="93" t="str">
        <f t="shared" ca="1" si="19"/>
        <v/>
      </c>
      <c r="P72" s="312" t="str">
        <f t="shared" ca="1" si="17"/>
        <v/>
      </c>
      <c r="Q72" s="93" t="str">
        <f t="shared" ca="1" si="17"/>
        <v/>
      </c>
      <c r="R72" s="93" t="str">
        <f t="shared" ca="1" si="17"/>
        <v/>
      </c>
      <c r="S72" s="201" t="str">
        <f t="shared" ca="1" si="3"/>
        <v/>
      </c>
      <c r="T72" s="201"/>
      <c r="Z72" s="40" t="e">
        <f t="shared" ca="1" si="5"/>
        <v>#N/A</v>
      </c>
      <c r="AA72" s="310">
        <f t="shared" ca="1" si="6"/>
        <v>999</v>
      </c>
      <c r="AB72" s="40" t="e">
        <f ca="1">IF(ISNUMBER($A72),VLOOKUP('Berechnungen 2'!AI75,Matrix_Empfehlung.Stromkosten.ID.BOText,3,1),"")</f>
        <v>#VALUE!</v>
      </c>
      <c r="AC72" s="40">
        <f t="shared" ca="1" si="18"/>
        <v>999</v>
      </c>
      <c r="AD72" s="40">
        <f t="shared" ca="1" si="18"/>
        <v>60</v>
      </c>
      <c r="AE72" s="311">
        <f t="shared" ca="1" si="11"/>
        <v>0</v>
      </c>
    </row>
    <row r="73" spans="1:31" x14ac:dyDescent="0.2">
      <c r="A73" s="201">
        <f t="shared" ca="1" si="0"/>
        <v>61</v>
      </c>
      <c r="B73" s="193">
        <f t="shared" si="9"/>
        <v>61</v>
      </c>
      <c r="C73" s="192">
        <f ca="1">IF(ISERROR(LARGE('Berechnungen 2'!$E$16:$E$315,B73)),"",LARGE('Berechnungen 2'!$E$16:$E$315,B73))</f>
        <v>240</v>
      </c>
      <c r="D73" s="201" t="str">
        <f t="shared" ref="D73:O82" ca="1" si="20">IF($AC73&gt;0,VLOOKUP($C73,Matrix_Berechnungen2.Rang.Pumpendaten.Endresultate,D$9,0),"")</f>
        <v/>
      </c>
      <c r="E73" s="201" t="str">
        <f t="shared" ca="1" si="20"/>
        <v/>
      </c>
      <c r="F73" s="201" t="str">
        <f t="shared" ca="1" si="20"/>
        <v/>
      </c>
      <c r="G73" s="205" t="str">
        <f t="shared" ca="1" si="20"/>
        <v/>
      </c>
      <c r="H73" s="202" t="str">
        <f t="shared" ca="1" si="20"/>
        <v/>
      </c>
      <c r="I73" s="201" t="str">
        <f t="shared" ca="1" si="20"/>
        <v/>
      </c>
      <c r="J73" s="93" t="str">
        <f t="shared" ca="1" si="20"/>
        <v/>
      </c>
      <c r="K73" s="93" t="str">
        <f t="shared" ca="1" si="20"/>
        <v/>
      </c>
      <c r="L73" s="93" t="str">
        <f t="shared" ca="1" si="20"/>
        <v/>
      </c>
      <c r="M73" s="93" t="str">
        <f t="shared" ca="1" si="20"/>
        <v/>
      </c>
      <c r="N73" s="93" t="str">
        <f t="shared" ca="1" si="20"/>
        <v/>
      </c>
      <c r="O73" s="93" t="str">
        <f t="shared" ca="1" si="20"/>
        <v/>
      </c>
      <c r="P73" s="312" t="str">
        <f t="shared" ref="P73:R92" ca="1" si="21">IF(AND($AC73&gt;0,$AC73&lt;&gt;999),VLOOKUP($C73,Matrix_Berechnungen2.Rang.Pumpendaten.Endresultate,P$9,0),"")</f>
        <v/>
      </c>
      <c r="Q73" s="93" t="str">
        <f t="shared" ca="1" si="21"/>
        <v/>
      </c>
      <c r="R73" s="93" t="str">
        <f t="shared" ca="1" si="21"/>
        <v/>
      </c>
      <c r="S73" s="201" t="str">
        <f t="shared" ca="1" si="3"/>
        <v/>
      </c>
      <c r="T73" s="201"/>
      <c r="Z73" s="40" t="e">
        <f t="shared" ca="1" si="5"/>
        <v>#N/A</v>
      </c>
      <c r="AA73" s="310">
        <f t="shared" ca="1" si="6"/>
        <v>999</v>
      </c>
      <c r="AB73" s="40" t="e">
        <f ca="1">IF(ISNUMBER($A73),VLOOKUP('Berechnungen 2'!AI76,Matrix_Empfehlung.Stromkosten.ID.BOText,3,1),"")</f>
        <v>#VALUE!</v>
      </c>
      <c r="AC73" s="40">
        <f t="shared" ref="AC73:AD92" ca="1" si="22">IF(VLOOKUP($C73,Matrix_Berechnungen2.Rang.Pumpendaten.Endresultate,$C$9,0)&gt;0,VLOOKUP($C73,Matrix_Berechnungen2.Rang.Pumpendaten.Endresultate,AC$9,0),"")</f>
        <v>999</v>
      </c>
      <c r="AD73" s="40">
        <f t="shared" ca="1" si="22"/>
        <v>61</v>
      </c>
      <c r="AE73" s="311">
        <f t="shared" ca="1" si="11"/>
        <v>0</v>
      </c>
    </row>
    <row r="74" spans="1:31" x14ac:dyDescent="0.2">
      <c r="A74" s="201">
        <f t="shared" ca="1" si="0"/>
        <v>62</v>
      </c>
      <c r="B74" s="193">
        <f t="shared" si="9"/>
        <v>62</v>
      </c>
      <c r="C74" s="192">
        <f ca="1">IF(ISERROR(LARGE('Berechnungen 2'!$E$16:$E$315,B74)),"",LARGE('Berechnungen 2'!$E$16:$E$315,B74))</f>
        <v>239</v>
      </c>
      <c r="D74" s="201" t="str">
        <f t="shared" ca="1" si="20"/>
        <v/>
      </c>
      <c r="E74" s="201" t="str">
        <f t="shared" ca="1" si="20"/>
        <v/>
      </c>
      <c r="F74" s="201" t="str">
        <f t="shared" ca="1" si="20"/>
        <v/>
      </c>
      <c r="G74" s="205" t="str">
        <f t="shared" ca="1" si="20"/>
        <v/>
      </c>
      <c r="H74" s="202" t="str">
        <f t="shared" ca="1" si="20"/>
        <v/>
      </c>
      <c r="I74" s="201" t="str">
        <f t="shared" ca="1" si="20"/>
        <v/>
      </c>
      <c r="J74" s="93" t="str">
        <f t="shared" ca="1" si="20"/>
        <v/>
      </c>
      <c r="K74" s="93" t="str">
        <f t="shared" ca="1" si="20"/>
        <v/>
      </c>
      <c r="L74" s="93" t="str">
        <f t="shared" ca="1" si="20"/>
        <v/>
      </c>
      <c r="M74" s="93" t="str">
        <f t="shared" ca="1" si="20"/>
        <v/>
      </c>
      <c r="N74" s="93" t="str">
        <f t="shared" ca="1" si="20"/>
        <v/>
      </c>
      <c r="O74" s="93" t="str">
        <f t="shared" ca="1" si="20"/>
        <v/>
      </c>
      <c r="P74" s="312" t="str">
        <f t="shared" ca="1" si="21"/>
        <v/>
      </c>
      <c r="Q74" s="93" t="str">
        <f t="shared" ca="1" si="21"/>
        <v/>
      </c>
      <c r="R74" s="93" t="str">
        <f t="shared" ca="1" si="21"/>
        <v/>
      </c>
      <c r="S74" s="201" t="str">
        <f t="shared" ca="1" si="3"/>
        <v/>
      </c>
      <c r="T74" s="201"/>
      <c r="Z74" s="40" t="e">
        <f t="shared" ca="1" si="5"/>
        <v>#N/A</v>
      </c>
      <c r="AA74" s="310">
        <f t="shared" ca="1" si="6"/>
        <v>999</v>
      </c>
      <c r="AB74" s="40" t="e">
        <f ca="1">IF(ISNUMBER($A74),VLOOKUP('Berechnungen 2'!AI77,Matrix_Empfehlung.Stromkosten.ID.BOText,3,1),"")</f>
        <v>#VALUE!</v>
      </c>
      <c r="AC74" s="40">
        <f t="shared" ca="1" si="22"/>
        <v>999</v>
      </c>
      <c r="AD74" s="40">
        <f t="shared" ca="1" si="22"/>
        <v>62</v>
      </c>
      <c r="AE74" s="311">
        <f t="shared" ca="1" si="11"/>
        <v>0</v>
      </c>
    </row>
    <row r="75" spans="1:31" x14ac:dyDescent="0.2">
      <c r="A75" s="201">
        <f t="shared" ca="1" si="0"/>
        <v>63</v>
      </c>
      <c r="B75" s="193">
        <f t="shared" si="9"/>
        <v>63</v>
      </c>
      <c r="C75" s="192">
        <f ca="1">IF(ISERROR(LARGE('Berechnungen 2'!$E$16:$E$315,B75)),"",LARGE('Berechnungen 2'!$E$16:$E$315,B75))</f>
        <v>238</v>
      </c>
      <c r="D75" s="201" t="str">
        <f t="shared" ca="1" si="20"/>
        <v/>
      </c>
      <c r="E75" s="201" t="str">
        <f t="shared" ca="1" si="20"/>
        <v/>
      </c>
      <c r="F75" s="201" t="str">
        <f t="shared" ca="1" si="20"/>
        <v/>
      </c>
      <c r="G75" s="205" t="str">
        <f t="shared" ca="1" si="20"/>
        <v/>
      </c>
      <c r="H75" s="202" t="str">
        <f t="shared" ca="1" si="20"/>
        <v/>
      </c>
      <c r="I75" s="201" t="str">
        <f t="shared" ca="1" si="20"/>
        <v/>
      </c>
      <c r="J75" s="93" t="str">
        <f t="shared" ca="1" si="20"/>
        <v/>
      </c>
      <c r="K75" s="93" t="str">
        <f t="shared" ca="1" si="20"/>
        <v/>
      </c>
      <c r="L75" s="93" t="str">
        <f t="shared" ca="1" si="20"/>
        <v/>
      </c>
      <c r="M75" s="93" t="str">
        <f t="shared" ca="1" si="20"/>
        <v/>
      </c>
      <c r="N75" s="93" t="str">
        <f t="shared" ca="1" si="20"/>
        <v/>
      </c>
      <c r="O75" s="93" t="str">
        <f t="shared" ca="1" si="20"/>
        <v/>
      </c>
      <c r="P75" s="312" t="str">
        <f t="shared" ca="1" si="21"/>
        <v/>
      </c>
      <c r="Q75" s="93" t="str">
        <f t="shared" ca="1" si="21"/>
        <v/>
      </c>
      <c r="R75" s="93" t="str">
        <f t="shared" ca="1" si="21"/>
        <v/>
      </c>
      <c r="S75" s="201" t="str">
        <f t="shared" ca="1" si="3"/>
        <v/>
      </c>
      <c r="T75" s="201"/>
      <c r="Z75" s="40" t="e">
        <f t="shared" ca="1" si="5"/>
        <v>#N/A</v>
      </c>
      <c r="AA75" s="310">
        <f t="shared" ca="1" si="6"/>
        <v>999</v>
      </c>
      <c r="AB75" s="40" t="e">
        <f ca="1">IF(ISNUMBER($A75),VLOOKUP('Berechnungen 2'!AI78,Matrix_Empfehlung.Stromkosten.ID.BOText,3,1),"")</f>
        <v>#VALUE!</v>
      </c>
      <c r="AC75" s="40">
        <f t="shared" ca="1" si="22"/>
        <v>999</v>
      </c>
      <c r="AD75" s="40">
        <f t="shared" ca="1" si="22"/>
        <v>63</v>
      </c>
      <c r="AE75" s="311">
        <f t="shared" ca="1" si="11"/>
        <v>0</v>
      </c>
    </row>
    <row r="76" spans="1:31" x14ac:dyDescent="0.2">
      <c r="A76" s="201">
        <f t="shared" ca="1" si="0"/>
        <v>64</v>
      </c>
      <c r="B76" s="193">
        <f t="shared" si="9"/>
        <v>64</v>
      </c>
      <c r="C76" s="192">
        <f ca="1">IF(ISERROR(LARGE('Berechnungen 2'!$E$16:$E$315,B76)),"",LARGE('Berechnungen 2'!$E$16:$E$315,B76))</f>
        <v>237</v>
      </c>
      <c r="D76" s="201" t="str">
        <f t="shared" ca="1" si="20"/>
        <v/>
      </c>
      <c r="E76" s="201" t="str">
        <f t="shared" ca="1" si="20"/>
        <v/>
      </c>
      <c r="F76" s="201" t="str">
        <f t="shared" ca="1" si="20"/>
        <v/>
      </c>
      <c r="G76" s="205" t="str">
        <f t="shared" ca="1" si="20"/>
        <v/>
      </c>
      <c r="H76" s="202" t="str">
        <f t="shared" ca="1" si="20"/>
        <v/>
      </c>
      <c r="I76" s="201" t="str">
        <f t="shared" ca="1" si="20"/>
        <v/>
      </c>
      <c r="J76" s="93" t="str">
        <f t="shared" ca="1" si="20"/>
        <v/>
      </c>
      <c r="K76" s="93" t="str">
        <f t="shared" ca="1" si="20"/>
        <v/>
      </c>
      <c r="L76" s="93" t="str">
        <f t="shared" ca="1" si="20"/>
        <v/>
      </c>
      <c r="M76" s="93" t="str">
        <f t="shared" ca="1" si="20"/>
        <v/>
      </c>
      <c r="N76" s="93" t="str">
        <f t="shared" ca="1" si="20"/>
        <v/>
      </c>
      <c r="O76" s="93" t="str">
        <f t="shared" ca="1" si="20"/>
        <v/>
      </c>
      <c r="P76" s="312" t="str">
        <f t="shared" ca="1" si="21"/>
        <v/>
      </c>
      <c r="Q76" s="93" t="str">
        <f t="shared" ca="1" si="21"/>
        <v/>
      </c>
      <c r="R76" s="93" t="str">
        <f t="shared" ca="1" si="21"/>
        <v/>
      </c>
      <c r="S76" s="201" t="str">
        <f t="shared" ca="1" si="3"/>
        <v/>
      </c>
      <c r="T76" s="201"/>
      <c r="Z76" s="40" t="e">
        <f t="shared" ca="1" si="5"/>
        <v>#N/A</v>
      </c>
      <c r="AA76" s="310">
        <f t="shared" ca="1" si="6"/>
        <v>999</v>
      </c>
      <c r="AB76" s="40" t="e">
        <f ca="1">IF(ISNUMBER($A76),VLOOKUP('Berechnungen 2'!AI79,Matrix_Empfehlung.Stromkosten.ID.BOText,3,1),"")</f>
        <v>#VALUE!</v>
      </c>
      <c r="AC76" s="40">
        <f t="shared" ca="1" si="22"/>
        <v>999</v>
      </c>
      <c r="AD76" s="40">
        <f t="shared" ca="1" si="22"/>
        <v>64</v>
      </c>
      <c r="AE76" s="311">
        <f t="shared" ca="1" si="11"/>
        <v>0</v>
      </c>
    </row>
    <row r="77" spans="1:31" x14ac:dyDescent="0.2">
      <c r="A77" s="201">
        <f t="shared" ref="A77:A140" ca="1" si="23">VLOOKUP($C77,Matrix_Berechnungen2.Rang.Pumpendaten.Endresultate,A$9,0)</f>
        <v>65</v>
      </c>
      <c r="B77" s="193">
        <f t="shared" si="9"/>
        <v>65</v>
      </c>
      <c r="C77" s="192">
        <f ca="1">IF(ISERROR(LARGE('Berechnungen 2'!$E$16:$E$315,B77)),"",LARGE('Berechnungen 2'!$E$16:$E$315,B77))</f>
        <v>236</v>
      </c>
      <c r="D77" s="201" t="str">
        <f t="shared" ca="1" si="20"/>
        <v/>
      </c>
      <c r="E77" s="201" t="str">
        <f t="shared" ca="1" si="20"/>
        <v/>
      </c>
      <c r="F77" s="201" t="str">
        <f t="shared" ca="1" si="20"/>
        <v/>
      </c>
      <c r="G77" s="205" t="str">
        <f t="shared" ca="1" si="20"/>
        <v/>
      </c>
      <c r="H77" s="202" t="str">
        <f t="shared" ca="1" si="20"/>
        <v/>
      </c>
      <c r="I77" s="201" t="str">
        <f t="shared" ca="1" si="20"/>
        <v/>
      </c>
      <c r="J77" s="93" t="str">
        <f t="shared" ca="1" si="20"/>
        <v/>
      </c>
      <c r="K77" s="93" t="str">
        <f t="shared" ca="1" si="20"/>
        <v/>
      </c>
      <c r="L77" s="93" t="str">
        <f t="shared" ca="1" si="20"/>
        <v/>
      </c>
      <c r="M77" s="93" t="str">
        <f t="shared" ca="1" si="20"/>
        <v/>
      </c>
      <c r="N77" s="93" t="str">
        <f t="shared" ca="1" si="20"/>
        <v/>
      </c>
      <c r="O77" s="93" t="str">
        <f t="shared" ca="1" si="20"/>
        <v/>
      </c>
      <c r="P77" s="312" t="str">
        <f t="shared" ca="1" si="21"/>
        <v/>
      </c>
      <c r="Q77" s="93" t="str">
        <f t="shared" ca="1" si="21"/>
        <v/>
      </c>
      <c r="R77" s="93" t="str">
        <f t="shared" ca="1" si="21"/>
        <v/>
      </c>
      <c r="S77" s="201" t="str">
        <f t="shared" ref="S77:S140" ca="1" si="24">IF(AND($AC77&gt;0,$AC77&lt;&gt;999,$AC77&lt;&gt;9999,$AA77&gt;0),VLOOKUP(R77,Matrix_Empfehlung.Potential.ID.DetailanalyseText,3,1),"")</f>
        <v/>
      </c>
      <c r="T77" s="201"/>
      <c r="Z77" s="40" t="e">
        <f t="shared" ref="Z77:Z140" ca="1" si="25">IF(ISNUMBER($A77),VLOOKUP(R77,Matrix_Empfehlung.Potential.ID.DetailanalyseText,4,1),0)</f>
        <v>#N/A</v>
      </c>
      <c r="AA77" s="310">
        <f t="shared" ref="AA77:AA140" ca="1" si="26">VLOOKUP($C77,Matrix_Berechnungen2.Rang.Pumpendaten.Endresultate,AA$9,0)</f>
        <v>999</v>
      </c>
      <c r="AB77" s="40" t="e">
        <f ca="1">IF(ISNUMBER($A77),VLOOKUP('Berechnungen 2'!AI80,Matrix_Empfehlung.Stromkosten.ID.BOText,3,1),"")</f>
        <v>#VALUE!</v>
      </c>
      <c r="AC77" s="40">
        <f t="shared" ca="1" si="22"/>
        <v>999</v>
      </c>
      <c r="AD77" s="40">
        <f t="shared" ca="1" si="22"/>
        <v>65</v>
      </c>
      <c r="AE77" s="311">
        <f t="shared" ca="1" si="11"/>
        <v>0</v>
      </c>
    </row>
    <row r="78" spans="1:31" x14ac:dyDescent="0.2">
      <c r="A78" s="201">
        <f t="shared" ca="1" si="23"/>
        <v>66</v>
      </c>
      <c r="B78" s="193">
        <f t="shared" si="9"/>
        <v>66</v>
      </c>
      <c r="C78" s="192">
        <f ca="1">IF(ISERROR(LARGE('Berechnungen 2'!$E$16:$E$315,B78)),"",LARGE('Berechnungen 2'!$E$16:$E$315,B78))</f>
        <v>235</v>
      </c>
      <c r="D78" s="201" t="str">
        <f t="shared" ca="1" si="20"/>
        <v/>
      </c>
      <c r="E78" s="201" t="str">
        <f t="shared" ca="1" si="20"/>
        <v/>
      </c>
      <c r="F78" s="201" t="str">
        <f t="shared" ca="1" si="20"/>
        <v/>
      </c>
      <c r="G78" s="205" t="str">
        <f t="shared" ca="1" si="20"/>
        <v/>
      </c>
      <c r="H78" s="202" t="str">
        <f t="shared" ca="1" si="20"/>
        <v/>
      </c>
      <c r="I78" s="201" t="str">
        <f t="shared" ca="1" si="20"/>
        <v/>
      </c>
      <c r="J78" s="93" t="str">
        <f t="shared" ca="1" si="20"/>
        <v/>
      </c>
      <c r="K78" s="93" t="str">
        <f t="shared" ca="1" si="20"/>
        <v/>
      </c>
      <c r="L78" s="93" t="str">
        <f t="shared" ca="1" si="20"/>
        <v/>
      </c>
      <c r="M78" s="93" t="str">
        <f t="shared" ca="1" si="20"/>
        <v/>
      </c>
      <c r="N78" s="93" t="str">
        <f t="shared" ca="1" si="20"/>
        <v/>
      </c>
      <c r="O78" s="93" t="str">
        <f t="shared" ca="1" si="20"/>
        <v/>
      </c>
      <c r="P78" s="312" t="str">
        <f t="shared" ca="1" si="21"/>
        <v/>
      </c>
      <c r="Q78" s="93" t="str">
        <f t="shared" ca="1" si="21"/>
        <v/>
      </c>
      <c r="R78" s="93" t="str">
        <f t="shared" ca="1" si="21"/>
        <v/>
      </c>
      <c r="S78" s="201" t="str">
        <f t="shared" ca="1" si="24"/>
        <v/>
      </c>
      <c r="T78" s="201"/>
      <c r="Z78" s="40" t="e">
        <f t="shared" ca="1" si="25"/>
        <v>#N/A</v>
      </c>
      <c r="AA78" s="310">
        <f t="shared" ca="1" si="26"/>
        <v>999</v>
      </c>
      <c r="AB78" s="40" t="e">
        <f ca="1">IF(ISNUMBER($A78),VLOOKUP('Berechnungen 2'!AI81,Matrix_Empfehlung.Stromkosten.ID.BOText,3,1),"")</f>
        <v>#VALUE!</v>
      </c>
      <c r="AC78" s="40">
        <f t="shared" ca="1" si="22"/>
        <v>999</v>
      </c>
      <c r="AD78" s="40">
        <f t="shared" ca="1" si="22"/>
        <v>66</v>
      </c>
      <c r="AE78" s="311">
        <f t="shared" ca="1" si="11"/>
        <v>0</v>
      </c>
    </row>
    <row r="79" spans="1:31" x14ac:dyDescent="0.2">
      <c r="A79" s="201">
        <f t="shared" ca="1" si="23"/>
        <v>67</v>
      </c>
      <c r="B79" s="193">
        <f t="shared" ref="B79:B142" si="27">B78+1</f>
        <v>67</v>
      </c>
      <c r="C79" s="192">
        <f ca="1">IF(ISERROR(LARGE('Berechnungen 2'!$E$16:$E$315,B79)),"",LARGE('Berechnungen 2'!$E$16:$E$315,B79))</f>
        <v>234</v>
      </c>
      <c r="D79" s="201" t="str">
        <f t="shared" ca="1" si="20"/>
        <v/>
      </c>
      <c r="E79" s="201" t="str">
        <f t="shared" ca="1" si="20"/>
        <v/>
      </c>
      <c r="F79" s="201" t="str">
        <f t="shared" ca="1" si="20"/>
        <v/>
      </c>
      <c r="G79" s="205" t="str">
        <f t="shared" ca="1" si="20"/>
        <v/>
      </c>
      <c r="H79" s="202" t="str">
        <f t="shared" ca="1" si="20"/>
        <v/>
      </c>
      <c r="I79" s="201" t="str">
        <f t="shared" ca="1" si="20"/>
        <v/>
      </c>
      <c r="J79" s="93" t="str">
        <f t="shared" ca="1" si="20"/>
        <v/>
      </c>
      <c r="K79" s="93" t="str">
        <f t="shared" ca="1" si="20"/>
        <v/>
      </c>
      <c r="L79" s="93" t="str">
        <f t="shared" ca="1" si="20"/>
        <v/>
      </c>
      <c r="M79" s="93" t="str">
        <f t="shared" ca="1" si="20"/>
        <v/>
      </c>
      <c r="N79" s="93" t="str">
        <f t="shared" ca="1" si="20"/>
        <v/>
      </c>
      <c r="O79" s="93" t="str">
        <f t="shared" ca="1" si="20"/>
        <v/>
      </c>
      <c r="P79" s="312" t="str">
        <f t="shared" ca="1" si="21"/>
        <v/>
      </c>
      <c r="Q79" s="93" t="str">
        <f t="shared" ca="1" si="21"/>
        <v/>
      </c>
      <c r="R79" s="93" t="str">
        <f t="shared" ca="1" si="21"/>
        <v/>
      </c>
      <c r="S79" s="201" t="str">
        <f t="shared" ca="1" si="24"/>
        <v/>
      </c>
      <c r="T79" s="201"/>
      <c r="Z79" s="40" t="e">
        <f t="shared" ca="1" si="25"/>
        <v>#N/A</v>
      </c>
      <c r="AA79" s="310">
        <f t="shared" ca="1" si="26"/>
        <v>999</v>
      </c>
      <c r="AB79" s="40" t="e">
        <f ca="1">IF(ISNUMBER($A79),VLOOKUP('Berechnungen 2'!AI82,Matrix_Empfehlung.Stromkosten.ID.BOText,3,1),"")</f>
        <v>#VALUE!</v>
      </c>
      <c r="AC79" s="40">
        <f t="shared" ca="1" si="22"/>
        <v>999</v>
      </c>
      <c r="AD79" s="40">
        <f t="shared" ca="1" si="22"/>
        <v>67</v>
      </c>
      <c r="AE79" s="311">
        <f t="shared" ca="1" si="11"/>
        <v>0</v>
      </c>
    </row>
    <row r="80" spans="1:31" x14ac:dyDescent="0.2">
      <c r="A80" s="201">
        <f t="shared" ca="1" si="23"/>
        <v>68</v>
      </c>
      <c r="B80" s="193">
        <f t="shared" si="27"/>
        <v>68</v>
      </c>
      <c r="C80" s="192">
        <f ca="1">IF(ISERROR(LARGE('Berechnungen 2'!$E$16:$E$315,B80)),"",LARGE('Berechnungen 2'!$E$16:$E$315,B80))</f>
        <v>233</v>
      </c>
      <c r="D80" s="201" t="str">
        <f t="shared" ca="1" si="20"/>
        <v/>
      </c>
      <c r="E80" s="201" t="str">
        <f t="shared" ca="1" si="20"/>
        <v/>
      </c>
      <c r="F80" s="201" t="str">
        <f t="shared" ca="1" si="20"/>
        <v/>
      </c>
      <c r="G80" s="205" t="str">
        <f t="shared" ca="1" si="20"/>
        <v/>
      </c>
      <c r="H80" s="202" t="str">
        <f t="shared" ca="1" si="20"/>
        <v/>
      </c>
      <c r="I80" s="201" t="str">
        <f t="shared" ca="1" si="20"/>
        <v/>
      </c>
      <c r="J80" s="93" t="str">
        <f t="shared" ca="1" si="20"/>
        <v/>
      </c>
      <c r="K80" s="93" t="str">
        <f t="shared" ca="1" si="20"/>
        <v/>
      </c>
      <c r="L80" s="93" t="str">
        <f t="shared" ca="1" si="20"/>
        <v/>
      </c>
      <c r="M80" s="93" t="str">
        <f t="shared" ca="1" si="20"/>
        <v/>
      </c>
      <c r="N80" s="93" t="str">
        <f t="shared" ca="1" si="20"/>
        <v/>
      </c>
      <c r="O80" s="93" t="str">
        <f t="shared" ca="1" si="20"/>
        <v/>
      </c>
      <c r="P80" s="312" t="str">
        <f t="shared" ca="1" si="21"/>
        <v/>
      </c>
      <c r="Q80" s="93" t="str">
        <f t="shared" ca="1" si="21"/>
        <v/>
      </c>
      <c r="R80" s="93" t="str">
        <f t="shared" ca="1" si="21"/>
        <v/>
      </c>
      <c r="S80" s="201" t="str">
        <f t="shared" ca="1" si="24"/>
        <v/>
      </c>
      <c r="T80" s="201"/>
      <c r="Z80" s="40" t="e">
        <f t="shared" ca="1" si="25"/>
        <v>#N/A</v>
      </c>
      <c r="AA80" s="310">
        <f t="shared" ca="1" si="26"/>
        <v>999</v>
      </c>
      <c r="AB80" s="40" t="e">
        <f ca="1">IF(ISNUMBER($A80),VLOOKUP('Berechnungen 2'!AI83,Matrix_Empfehlung.Stromkosten.ID.BOText,3,1),"")</f>
        <v>#VALUE!</v>
      </c>
      <c r="AC80" s="40">
        <f t="shared" ca="1" si="22"/>
        <v>999</v>
      </c>
      <c r="AD80" s="40">
        <f t="shared" ca="1" si="22"/>
        <v>68</v>
      </c>
      <c r="AE80" s="311">
        <f t="shared" ca="1" si="11"/>
        <v>0</v>
      </c>
    </row>
    <row r="81" spans="1:31" x14ac:dyDescent="0.2">
      <c r="A81" s="201">
        <f t="shared" ca="1" si="23"/>
        <v>69</v>
      </c>
      <c r="B81" s="193">
        <f t="shared" si="27"/>
        <v>69</v>
      </c>
      <c r="C81" s="192">
        <f ca="1">IF(ISERROR(LARGE('Berechnungen 2'!$E$16:$E$315,B81)),"",LARGE('Berechnungen 2'!$E$16:$E$315,B81))</f>
        <v>232</v>
      </c>
      <c r="D81" s="201" t="str">
        <f t="shared" ca="1" si="20"/>
        <v/>
      </c>
      <c r="E81" s="201" t="str">
        <f t="shared" ca="1" si="20"/>
        <v/>
      </c>
      <c r="F81" s="201" t="str">
        <f t="shared" ca="1" si="20"/>
        <v/>
      </c>
      <c r="G81" s="205" t="str">
        <f t="shared" ca="1" si="20"/>
        <v/>
      </c>
      <c r="H81" s="202" t="str">
        <f t="shared" ca="1" si="20"/>
        <v/>
      </c>
      <c r="I81" s="201" t="str">
        <f t="shared" ca="1" si="20"/>
        <v/>
      </c>
      <c r="J81" s="93" t="str">
        <f t="shared" ca="1" si="20"/>
        <v/>
      </c>
      <c r="K81" s="93" t="str">
        <f t="shared" ca="1" si="20"/>
        <v/>
      </c>
      <c r="L81" s="93" t="str">
        <f t="shared" ca="1" si="20"/>
        <v/>
      </c>
      <c r="M81" s="93" t="str">
        <f t="shared" ca="1" si="20"/>
        <v/>
      </c>
      <c r="N81" s="93" t="str">
        <f t="shared" ca="1" si="20"/>
        <v/>
      </c>
      <c r="O81" s="93" t="str">
        <f t="shared" ca="1" si="20"/>
        <v/>
      </c>
      <c r="P81" s="312" t="str">
        <f t="shared" ca="1" si="21"/>
        <v/>
      </c>
      <c r="Q81" s="93" t="str">
        <f t="shared" ca="1" si="21"/>
        <v/>
      </c>
      <c r="R81" s="93" t="str">
        <f t="shared" ca="1" si="21"/>
        <v/>
      </c>
      <c r="S81" s="201" t="str">
        <f t="shared" ca="1" si="24"/>
        <v/>
      </c>
      <c r="T81" s="201"/>
      <c r="Z81" s="40" t="e">
        <f t="shared" ca="1" si="25"/>
        <v>#N/A</v>
      </c>
      <c r="AA81" s="310">
        <f t="shared" ca="1" si="26"/>
        <v>999</v>
      </c>
      <c r="AB81" s="40" t="e">
        <f ca="1">IF(ISNUMBER($A81),VLOOKUP('Berechnungen 2'!AI84,Matrix_Empfehlung.Stromkosten.ID.BOText,3,1),"")</f>
        <v>#VALUE!</v>
      </c>
      <c r="AC81" s="40">
        <f t="shared" ca="1" si="22"/>
        <v>999</v>
      </c>
      <c r="AD81" s="40">
        <f t="shared" ca="1" si="22"/>
        <v>69</v>
      </c>
      <c r="AE81" s="311">
        <f t="shared" ca="1" si="11"/>
        <v>0</v>
      </c>
    </row>
    <row r="82" spans="1:31" x14ac:dyDescent="0.2">
      <c r="A82" s="201">
        <f t="shared" ca="1" si="23"/>
        <v>70</v>
      </c>
      <c r="B82" s="193">
        <f t="shared" si="27"/>
        <v>70</v>
      </c>
      <c r="C82" s="192">
        <f ca="1">IF(ISERROR(LARGE('Berechnungen 2'!$E$16:$E$315,B82)),"",LARGE('Berechnungen 2'!$E$16:$E$315,B82))</f>
        <v>231</v>
      </c>
      <c r="D82" s="201" t="str">
        <f t="shared" ca="1" si="20"/>
        <v/>
      </c>
      <c r="E82" s="201" t="str">
        <f t="shared" ca="1" si="20"/>
        <v/>
      </c>
      <c r="F82" s="201" t="str">
        <f t="shared" ca="1" si="20"/>
        <v/>
      </c>
      <c r="G82" s="205" t="str">
        <f t="shared" ca="1" si="20"/>
        <v/>
      </c>
      <c r="H82" s="202" t="str">
        <f t="shared" ca="1" si="20"/>
        <v/>
      </c>
      <c r="I82" s="201" t="str">
        <f t="shared" ca="1" si="20"/>
        <v/>
      </c>
      <c r="J82" s="93" t="str">
        <f t="shared" ca="1" si="20"/>
        <v/>
      </c>
      <c r="K82" s="93" t="str">
        <f t="shared" ca="1" si="20"/>
        <v/>
      </c>
      <c r="L82" s="93" t="str">
        <f t="shared" ca="1" si="20"/>
        <v/>
      </c>
      <c r="M82" s="93" t="str">
        <f t="shared" ca="1" si="20"/>
        <v/>
      </c>
      <c r="N82" s="93" t="str">
        <f t="shared" ca="1" si="20"/>
        <v/>
      </c>
      <c r="O82" s="93" t="str">
        <f t="shared" ca="1" si="20"/>
        <v/>
      </c>
      <c r="P82" s="312" t="str">
        <f t="shared" ca="1" si="21"/>
        <v/>
      </c>
      <c r="Q82" s="93" t="str">
        <f t="shared" ca="1" si="21"/>
        <v/>
      </c>
      <c r="R82" s="93" t="str">
        <f t="shared" ca="1" si="21"/>
        <v/>
      </c>
      <c r="S82" s="201" t="str">
        <f t="shared" ca="1" si="24"/>
        <v/>
      </c>
      <c r="T82" s="201"/>
      <c r="Z82" s="40" t="e">
        <f t="shared" ca="1" si="25"/>
        <v>#N/A</v>
      </c>
      <c r="AA82" s="310">
        <f t="shared" ca="1" si="26"/>
        <v>999</v>
      </c>
      <c r="AB82" s="40" t="e">
        <f ca="1">IF(ISNUMBER($A82),VLOOKUP('Berechnungen 2'!AI85,Matrix_Empfehlung.Stromkosten.ID.BOText,3,1),"")</f>
        <v>#VALUE!</v>
      </c>
      <c r="AC82" s="40">
        <f t="shared" ca="1" si="22"/>
        <v>999</v>
      </c>
      <c r="AD82" s="40">
        <f t="shared" ca="1" si="22"/>
        <v>70</v>
      </c>
      <c r="AE82" s="311">
        <f t="shared" ca="1" si="11"/>
        <v>0</v>
      </c>
    </row>
    <row r="83" spans="1:31" x14ac:dyDescent="0.2">
      <c r="A83" s="201">
        <f t="shared" ca="1" si="23"/>
        <v>71</v>
      </c>
      <c r="B83" s="193">
        <f t="shared" si="27"/>
        <v>71</v>
      </c>
      <c r="C83" s="192">
        <f ca="1">IF(ISERROR(LARGE('Berechnungen 2'!$E$16:$E$315,B83)),"",LARGE('Berechnungen 2'!$E$16:$E$315,B83))</f>
        <v>230</v>
      </c>
      <c r="D83" s="201" t="str">
        <f t="shared" ref="D83:O92" ca="1" si="28">IF($AC83&gt;0,VLOOKUP($C83,Matrix_Berechnungen2.Rang.Pumpendaten.Endresultate,D$9,0),"")</f>
        <v/>
      </c>
      <c r="E83" s="201" t="str">
        <f t="shared" ca="1" si="28"/>
        <v/>
      </c>
      <c r="F83" s="201" t="str">
        <f t="shared" ca="1" si="28"/>
        <v/>
      </c>
      <c r="G83" s="205" t="str">
        <f t="shared" ca="1" si="28"/>
        <v/>
      </c>
      <c r="H83" s="202" t="str">
        <f t="shared" ca="1" si="28"/>
        <v/>
      </c>
      <c r="I83" s="201" t="str">
        <f t="shared" ca="1" si="28"/>
        <v/>
      </c>
      <c r="J83" s="93" t="str">
        <f t="shared" ca="1" si="28"/>
        <v/>
      </c>
      <c r="K83" s="93" t="str">
        <f t="shared" ca="1" si="28"/>
        <v/>
      </c>
      <c r="L83" s="93" t="str">
        <f t="shared" ca="1" si="28"/>
        <v/>
      </c>
      <c r="M83" s="93" t="str">
        <f t="shared" ca="1" si="28"/>
        <v/>
      </c>
      <c r="N83" s="93" t="str">
        <f t="shared" ca="1" si="28"/>
        <v/>
      </c>
      <c r="O83" s="93" t="str">
        <f t="shared" ca="1" si="28"/>
        <v/>
      </c>
      <c r="P83" s="312" t="str">
        <f t="shared" ca="1" si="21"/>
        <v/>
      </c>
      <c r="Q83" s="93" t="str">
        <f t="shared" ca="1" si="21"/>
        <v/>
      </c>
      <c r="R83" s="93" t="str">
        <f t="shared" ca="1" si="21"/>
        <v/>
      </c>
      <c r="S83" s="201" t="str">
        <f t="shared" ca="1" si="24"/>
        <v/>
      </c>
      <c r="T83" s="201"/>
      <c r="Z83" s="40" t="e">
        <f t="shared" ca="1" si="25"/>
        <v>#N/A</v>
      </c>
      <c r="AA83" s="310">
        <f t="shared" ca="1" si="26"/>
        <v>999</v>
      </c>
      <c r="AB83" s="40" t="e">
        <f ca="1">IF(ISNUMBER($A83),VLOOKUP('Berechnungen 2'!AI86,Matrix_Empfehlung.Stromkosten.ID.BOText,3,1),"")</f>
        <v>#VALUE!</v>
      </c>
      <c r="AC83" s="40">
        <f t="shared" ca="1" si="22"/>
        <v>999</v>
      </c>
      <c r="AD83" s="40">
        <f t="shared" ca="1" si="22"/>
        <v>71</v>
      </c>
      <c r="AE83" s="311">
        <f t="shared" ca="1" si="11"/>
        <v>0</v>
      </c>
    </row>
    <row r="84" spans="1:31" x14ac:dyDescent="0.2">
      <c r="A84" s="201">
        <f t="shared" ca="1" si="23"/>
        <v>72</v>
      </c>
      <c r="B84" s="193">
        <f t="shared" si="27"/>
        <v>72</v>
      </c>
      <c r="C84" s="192">
        <f ca="1">IF(ISERROR(LARGE('Berechnungen 2'!$E$16:$E$315,B84)),"",LARGE('Berechnungen 2'!$E$16:$E$315,B84))</f>
        <v>229</v>
      </c>
      <c r="D84" s="201" t="str">
        <f t="shared" ca="1" si="28"/>
        <v/>
      </c>
      <c r="E84" s="201" t="str">
        <f t="shared" ca="1" si="28"/>
        <v/>
      </c>
      <c r="F84" s="201" t="str">
        <f t="shared" ca="1" si="28"/>
        <v/>
      </c>
      <c r="G84" s="205" t="str">
        <f t="shared" ca="1" si="28"/>
        <v/>
      </c>
      <c r="H84" s="202" t="str">
        <f t="shared" ca="1" si="28"/>
        <v/>
      </c>
      <c r="I84" s="201" t="str">
        <f t="shared" ca="1" si="28"/>
        <v/>
      </c>
      <c r="J84" s="93" t="str">
        <f t="shared" ca="1" si="28"/>
        <v/>
      </c>
      <c r="K84" s="93" t="str">
        <f t="shared" ca="1" si="28"/>
        <v/>
      </c>
      <c r="L84" s="93" t="str">
        <f t="shared" ca="1" si="28"/>
        <v/>
      </c>
      <c r="M84" s="93" t="str">
        <f t="shared" ca="1" si="28"/>
        <v/>
      </c>
      <c r="N84" s="93" t="str">
        <f t="shared" ca="1" si="28"/>
        <v/>
      </c>
      <c r="O84" s="93" t="str">
        <f t="shared" ca="1" si="28"/>
        <v/>
      </c>
      <c r="P84" s="312" t="str">
        <f t="shared" ca="1" si="21"/>
        <v/>
      </c>
      <c r="Q84" s="93" t="str">
        <f t="shared" ca="1" si="21"/>
        <v/>
      </c>
      <c r="R84" s="93" t="str">
        <f t="shared" ca="1" si="21"/>
        <v/>
      </c>
      <c r="S84" s="201" t="str">
        <f t="shared" ca="1" si="24"/>
        <v/>
      </c>
      <c r="T84" s="201"/>
      <c r="Z84" s="40" t="e">
        <f t="shared" ca="1" si="25"/>
        <v>#N/A</v>
      </c>
      <c r="AA84" s="310">
        <f t="shared" ca="1" si="26"/>
        <v>999</v>
      </c>
      <c r="AB84" s="40" t="e">
        <f ca="1">IF(ISNUMBER($A84),VLOOKUP('Berechnungen 2'!AI87,Matrix_Empfehlung.Stromkosten.ID.BOText,3,1),"")</f>
        <v>#VALUE!</v>
      </c>
      <c r="AC84" s="40">
        <f t="shared" ca="1" si="22"/>
        <v>999</v>
      </c>
      <c r="AD84" s="40">
        <f t="shared" ca="1" si="22"/>
        <v>72</v>
      </c>
      <c r="AE84" s="311">
        <f t="shared" ca="1" si="11"/>
        <v>0</v>
      </c>
    </row>
    <row r="85" spans="1:31" x14ac:dyDescent="0.2">
      <c r="A85" s="201">
        <f t="shared" ca="1" si="23"/>
        <v>73</v>
      </c>
      <c r="B85" s="193">
        <f t="shared" si="27"/>
        <v>73</v>
      </c>
      <c r="C85" s="192">
        <f ca="1">IF(ISERROR(LARGE('Berechnungen 2'!$E$16:$E$315,B85)),"",LARGE('Berechnungen 2'!$E$16:$E$315,B85))</f>
        <v>228</v>
      </c>
      <c r="D85" s="201" t="str">
        <f t="shared" ca="1" si="28"/>
        <v/>
      </c>
      <c r="E85" s="201" t="str">
        <f t="shared" ca="1" si="28"/>
        <v/>
      </c>
      <c r="F85" s="201" t="str">
        <f t="shared" ca="1" si="28"/>
        <v/>
      </c>
      <c r="G85" s="205" t="str">
        <f t="shared" ca="1" si="28"/>
        <v/>
      </c>
      <c r="H85" s="202" t="str">
        <f t="shared" ca="1" si="28"/>
        <v/>
      </c>
      <c r="I85" s="201" t="str">
        <f t="shared" ca="1" si="28"/>
        <v/>
      </c>
      <c r="J85" s="93" t="str">
        <f t="shared" ca="1" si="28"/>
        <v/>
      </c>
      <c r="K85" s="93" t="str">
        <f t="shared" ca="1" si="28"/>
        <v/>
      </c>
      <c r="L85" s="93" t="str">
        <f t="shared" ca="1" si="28"/>
        <v/>
      </c>
      <c r="M85" s="93" t="str">
        <f t="shared" ca="1" si="28"/>
        <v/>
      </c>
      <c r="N85" s="93" t="str">
        <f t="shared" ca="1" si="28"/>
        <v/>
      </c>
      <c r="O85" s="93" t="str">
        <f t="shared" ca="1" si="28"/>
        <v/>
      </c>
      <c r="P85" s="312" t="str">
        <f t="shared" ca="1" si="21"/>
        <v/>
      </c>
      <c r="Q85" s="93" t="str">
        <f t="shared" ca="1" si="21"/>
        <v/>
      </c>
      <c r="R85" s="93" t="str">
        <f t="shared" ca="1" si="21"/>
        <v/>
      </c>
      <c r="S85" s="201" t="str">
        <f t="shared" ca="1" si="24"/>
        <v/>
      </c>
      <c r="T85" s="201"/>
      <c r="Z85" s="40" t="e">
        <f t="shared" ca="1" si="25"/>
        <v>#N/A</v>
      </c>
      <c r="AA85" s="310">
        <f t="shared" ca="1" si="26"/>
        <v>999</v>
      </c>
      <c r="AB85" s="40" t="e">
        <f ca="1">IF(ISNUMBER($A85),VLOOKUP('Berechnungen 2'!AI88,Matrix_Empfehlung.Stromkosten.ID.BOText,3,1),"")</f>
        <v>#VALUE!</v>
      </c>
      <c r="AC85" s="40">
        <f t="shared" ca="1" si="22"/>
        <v>999</v>
      </c>
      <c r="AD85" s="40">
        <f t="shared" ca="1" si="22"/>
        <v>73</v>
      </c>
      <c r="AE85" s="311">
        <f t="shared" ca="1" si="11"/>
        <v>0</v>
      </c>
    </row>
    <row r="86" spans="1:31" x14ac:dyDescent="0.2">
      <c r="A86" s="201">
        <f t="shared" ca="1" si="23"/>
        <v>74</v>
      </c>
      <c r="B86" s="193">
        <f t="shared" si="27"/>
        <v>74</v>
      </c>
      <c r="C86" s="192">
        <f ca="1">IF(ISERROR(LARGE('Berechnungen 2'!$E$16:$E$315,B86)),"",LARGE('Berechnungen 2'!$E$16:$E$315,B86))</f>
        <v>227</v>
      </c>
      <c r="D86" s="201" t="str">
        <f t="shared" ca="1" si="28"/>
        <v/>
      </c>
      <c r="E86" s="201" t="str">
        <f t="shared" ca="1" si="28"/>
        <v/>
      </c>
      <c r="F86" s="201" t="str">
        <f t="shared" ca="1" si="28"/>
        <v/>
      </c>
      <c r="G86" s="205" t="str">
        <f t="shared" ca="1" si="28"/>
        <v/>
      </c>
      <c r="H86" s="202" t="str">
        <f t="shared" ca="1" si="28"/>
        <v/>
      </c>
      <c r="I86" s="201" t="str">
        <f t="shared" ca="1" si="28"/>
        <v/>
      </c>
      <c r="J86" s="93" t="str">
        <f t="shared" ca="1" si="28"/>
        <v/>
      </c>
      <c r="K86" s="93" t="str">
        <f t="shared" ca="1" si="28"/>
        <v/>
      </c>
      <c r="L86" s="93" t="str">
        <f t="shared" ca="1" si="28"/>
        <v/>
      </c>
      <c r="M86" s="93" t="str">
        <f t="shared" ca="1" si="28"/>
        <v/>
      </c>
      <c r="N86" s="93" t="str">
        <f t="shared" ca="1" si="28"/>
        <v/>
      </c>
      <c r="O86" s="93" t="str">
        <f t="shared" ca="1" si="28"/>
        <v/>
      </c>
      <c r="P86" s="312" t="str">
        <f t="shared" ca="1" si="21"/>
        <v/>
      </c>
      <c r="Q86" s="93" t="str">
        <f t="shared" ca="1" si="21"/>
        <v/>
      </c>
      <c r="R86" s="93" t="str">
        <f t="shared" ca="1" si="21"/>
        <v/>
      </c>
      <c r="S86" s="201" t="str">
        <f t="shared" ca="1" si="24"/>
        <v/>
      </c>
      <c r="T86" s="201"/>
      <c r="Z86" s="40" t="e">
        <f t="shared" ca="1" si="25"/>
        <v>#N/A</v>
      </c>
      <c r="AA86" s="310">
        <f t="shared" ca="1" si="26"/>
        <v>999</v>
      </c>
      <c r="AB86" s="40" t="e">
        <f ca="1">IF(ISNUMBER($A86),VLOOKUP('Berechnungen 2'!AI89,Matrix_Empfehlung.Stromkosten.ID.BOText,3,1),"")</f>
        <v>#VALUE!</v>
      </c>
      <c r="AC86" s="40">
        <f t="shared" ca="1" si="22"/>
        <v>999</v>
      </c>
      <c r="AD86" s="40">
        <f t="shared" ca="1" si="22"/>
        <v>74</v>
      </c>
      <c r="AE86" s="311">
        <f t="shared" ca="1" si="11"/>
        <v>0</v>
      </c>
    </row>
    <row r="87" spans="1:31" x14ac:dyDescent="0.2">
      <c r="A87" s="201">
        <f t="shared" ca="1" si="23"/>
        <v>75</v>
      </c>
      <c r="B87" s="193">
        <f t="shared" si="27"/>
        <v>75</v>
      </c>
      <c r="C87" s="192">
        <f ca="1">IF(ISERROR(LARGE('Berechnungen 2'!$E$16:$E$315,B87)),"",LARGE('Berechnungen 2'!$E$16:$E$315,B87))</f>
        <v>226</v>
      </c>
      <c r="D87" s="201" t="str">
        <f t="shared" ca="1" si="28"/>
        <v/>
      </c>
      <c r="E87" s="201" t="str">
        <f t="shared" ca="1" si="28"/>
        <v/>
      </c>
      <c r="F87" s="201" t="str">
        <f t="shared" ca="1" si="28"/>
        <v/>
      </c>
      <c r="G87" s="205" t="str">
        <f t="shared" ca="1" si="28"/>
        <v/>
      </c>
      <c r="H87" s="202" t="str">
        <f t="shared" ca="1" si="28"/>
        <v/>
      </c>
      <c r="I87" s="201" t="str">
        <f t="shared" ca="1" si="28"/>
        <v/>
      </c>
      <c r="J87" s="93" t="str">
        <f t="shared" ca="1" si="28"/>
        <v/>
      </c>
      <c r="K87" s="93" t="str">
        <f t="shared" ca="1" si="28"/>
        <v/>
      </c>
      <c r="L87" s="93" t="str">
        <f t="shared" ca="1" si="28"/>
        <v/>
      </c>
      <c r="M87" s="93" t="str">
        <f t="shared" ca="1" si="28"/>
        <v/>
      </c>
      <c r="N87" s="93" t="str">
        <f t="shared" ca="1" si="28"/>
        <v/>
      </c>
      <c r="O87" s="93" t="str">
        <f t="shared" ca="1" si="28"/>
        <v/>
      </c>
      <c r="P87" s="312" t="str">
        <f t="shared" ca="1" si="21"/>
        <v/>
      </c>
      <c r="Q87" s="93" t="str">
        <f t="shared" ca="1" si="21"/>
        <v/>
      </c>
      <c r="R87" s="93" t="str">
        <f t="shared" ca="1" si="21"/>
        <v/>
      </c>
      <c r="S87" s="201" t="str">
        <f t="shared" ca="1" si="24"/>
        <v/>
      </c>
      <c r="T87" s="201"/>
      <c r="Z87" s="40" t="e">
        <f t="shared" ca="1" si="25"/>
        <v>#N/A</v>
      </c>
      <c r="AA87" s="310">
        <f t="shared" ca="1" si="26"/>
        <v>999</v>
      </c>
      <c r="AB87" s="40" t="e">
        <f ca="1">IF(ISNUMBER($A87),VLOOKUP('Berechnungen 2'!AI90,Matrix_Empfehlung.Stromkosten.ID.BOText,3,1),"")</f>
        <v>#VALUE!</v>
      </c>
      <c r="AC87" s="40">
        <f t="shared" ca="1" si="22"/>
        <v>999</v>
      </c>
      <c r="AD87" s="40">
        <f t="shared" ca="1" si="22"/>
        <v>75</v>
      </c>
      <c r="AE87" s="311">
        <f t="shared" ca="1" si="11"/>
        <v>0</v>
      </c>
    </row>
    <row r="88" spans="1:31" x14ac:dyDescent="0.2">
      <c r="A88" s="201">
        <f t="shared" ca="1" si="23"/>
        <v>76</v>
      </c>
      <c r="B88" s="193">
        <f t="shared" si="27"/>
        <v>76</v>
      </c>
      <c r="C88" s="192">
        <f ca="1">IF(ISERROR(LARGE('Berechnungen 2'!$E$16:$E$315,B88)),"",LARGE('Berechnungen 2'!$E$16:$E$315,B88))</f>
        <v>225</v>
      </c>
      <c r="D88" s="201" t="str">
        <f t="shared" ca="1" si="28"/>
        <v/>
      </c>
      <c r="E88" s="201" t="str">
        <f t="shared" ca="1" si="28"/>
        <v/>
      </c>
      <c r="F88" s="201" t="str">
        <f t="shared" ca="1" si="28"/>
        <v/>
      </c>
      <c r="G88" s="205" t="str">
        <f t="shared" ca="1" si="28"/>
        <v/>
      </c>
      <c r="H88" s="202" t="str">
        <f t="shared" ca="1" si="28"/>
        <v/>
      </c>
      <c r="I88" s="201" t="str">
        <f t="shared" ca="1" si="28"/>
        <v/>
      </c>
      <c r="J88" s="93" t="str">
        <f t="shared" ca="1" si="28"/>
        <v/>
      </c>
      <c r="K88" s="93" t="str">
        <f t="shared" ca="1" si="28"/>
        <v/>
      </c>
      <c r="L88" s="93" t="str">
        <f t="shared" ca="1" si="28"/>
        <v/>
      </c>
      <c r="M88" s="93" t="str">
        <f t="shared" ca="1" si="28"/>
        <v/>
      </c>
      <c r="N88" s="93" t="str">
        <f t="shared" ca="1" si="28"/>
        <v/>
      </c>
      <c r="O88" s="93" t="str">
        <f t="shared" ca="1" si="28"/>
        <v/>
      </c>
      <c r="P88" s="312" t="str">
        <f t="shared" ca="1" si="21"/>
        <v/>
      </c>
      <c r="Q88" s="93" t="str">
        <f t="shared" ca="1" si="21"/>
        <v/>
      </c>
      <c r="R88" s="93" t="str">
        <f t="shared" ca="1" si="21"/>
        <v/>
      </c>
      <c r="S88" s="201" t="str">
        <f t="shared" ca="1" si="24"/>
        <v/>
      </c>
      <c r="T88" s="201"/>
      <c r="Z88" s="40" t="e">
        <f t="shared" ca="1" si="25"/>
        <v>#N/A</v>
      </c>
      <c r="AA88" s="310">
        <f t="shared" ca="1" si="26"/>
        <v>999</v>
      </c>
      <c r="AB88" s="40" t="e">
        <f ca="1">IF(ISNUMBER($A88),VLOOKUP('Berechnungen 2'!AI91,Matrix_Empfehlung.Stromkosten.ID.BOText,3,1),"")</f>
        <v>#VALUE!</v>
      </c>
      <c r="AC88" s="40">
        <f t="shared" ca="1" si="22"/>
        <v>999</v>
      </c>
      <c r="AD88" s="40">
        <f t="shared" ca="1" si="22"/>
        <v>76</v>
      </c>
      <c r="AE88" s="311">
        <f t="shared" ca="1" si="11"/>
        <v>0</v>
      </c>
    </row>
    <row r="89" spans="1:31" x14ac:dyDescent="0.2">
      <c r="A89" s="201">
        <f t="shared" ca="1" si="23"/>
        <v>77</v>
      </c>
      <c r="B89" s="193">
        <f t="shared" si="27"/>
        <v>77</v>
      </c>
      <c r="C89" s="192">
        <f ca="1">IF(ISERROR(LARGE('Berechnungen 2'!$E$16:$E$315,B89)),"",LARGE('Berechnungen 2'!$E$16:$E$315,B89))</f>
        <v>224</v>
      </c>
      <c r="D89" s="201" t="str">
        <f t="shared" ca="1" si="28"/>
        <v/>
      </c>
      <c r="E89" s="201" t="str">
        <f t="shared" ca="1" si="28"/>
        <v/>
      </c>
      <c r="F89" s="201" t="str">
        <f t="shared" ca="1" si="28"/>
        <v/>
      </c>
      <c r="G89" s="205" t="str">
        <f t="shared" ca="1" si="28"/>
        <v/>
      </c>
      <c r="H89" s="202" t="str">
        <f t="shared" ca="1" si="28"/>
        <v/>
      </c>
      <c r="I89" s="201" t="str">
        <f t="shared" ca="1" si="28"/>
        <v/>
      </c>
      <c r="J89" s="93" t="str">
        <f t="shared" ca="1" si="28"/>
        <v/>
      </c>
      <c r="K89" s="93" t="str">
        <f t="shared" ca="1" si="28"/>
        <v/>
      </c>
      <c r="L89" s="93" t="str">
        <f t="shared" ca="1" si="28"/>
        <v/>
      </c>
      <c r="M89" s="93" t="str">
        <f t="shared" ca="1" si="28"/>
        <v/>
      </c>
      <c r="N89" s="93" t="str">
        <f t="shared" ca="1" si="28"/>
        <v/>
      </c>
      <c r="O89" s="93" t="str">
        <f t="shared" ca="1" si="28"/>
        <v/>
      </c>
      <c r="P89" s="312" t="str">
        <f t="shared" ca="1" si="21"/>
        <v/>
      </c>
      <c r="Q89" s="93" t="str">
        <f t="shared" ca="1" si="21"/>
        <v/>
      </c>
      <c r="R89" s="93" t="str">
        <f t="shared" ca="1" si="21"/>
        <v/>
      </c>
      <c r="S89" s="201" t="str">
        <f t="shared" ca="1" si="24"/>
        <v/>
      </c>
      <c r="T89" s="201"/>
      <c r="Z89" s="40" t="e">
        <f t="shared" ca="1" si="25"/>
        <v>#N/A</v>
      </c>
      <c r="AA89" s="310">
        <f t="shared" ca="1" si="26"/>
        <v>999</v>
      </c>
      <c r="AB89" s="40" t="e">
        <f ca="1">IF(ISNUMBER($A89),VLOOKUP('Berechnungen 2'!AI92,Matrix_Empfehlung.Stromkosten.ID.BOText,3,1),"")</f>
        <v>#VALUE!</v>
      </c>
      <c r="AC89" s="40">
        <f t="shared" ca="1" si="22"/>
        <v>999</v>
      </c>
      <c r="AD89" s="40">
        <f t="shared" ca="1" si="22"/>
        <v>77</v>
      </c>
      <c r="AE89" s="311">
        <f t="shared" ref="AE89:AE152" ca="1" si="29">IF($AC89&gt;0,VLOOKUP($C89,Matrix_Berechnungen2.Rang.Pumpendaten.Endresultate,AE$9,0),"")</f>
        <v>0</v>
      </c>
    </row>
    <row r="90" spans="1:31" x14ac:dyDescent="0.2">
      <c r="A90" s="201">
        <f t="shared" ca="1" si="23"/>
        <v>78</v>
      </c>
      <c r="B90" s="193">
        <f t="shared" si="27"/>
        <v>78</v>
      </c>
      <c r="C90" s="192">
        <f ca="1">IF(ISERROR(LARGE('Berechnungen 2'!$E$16:$E$315,B90)),"",LARGE('Berechnungen 2'!$E$16:$E$315,B90))</f>
        <v>223</v>
      </c>
      <c r="D90" s="201" t="str">
        <f t="shared" ca="1" si="28"/>
        <v/>
      </c>
      <c r="E90" s="201" t="str">
        <f t="shared" ca="1" si="28"/>
        <v/>
      </c>
      <c r="F90" s="201" t="str">
        <f t="shared" ca="1" si="28"/>
        <v/>
      </c>
      <c r="G90" s="205" t="str">
        <f t="shared" ca="1" si="28"/>
        <v/>
      </c>
      <c r="H90" s="202" t="str">
        <f t="shared" ca="1" si="28"/>
        <v/>
      </c>
      <c r="I90" s="201" t="str">
        <f t="shared" ca="1" si="28"/>
        <v/>
      </c>
      <c r="J90" s="93" t="str">
        <f t="shared" ca="1" si="28"/>
        <v/>
      </c>
      <c r="K90" s="93" t="str">
        <f t="shared" ca="1" si="28"/>
        <v/>
      </c>
      <c r="L90" s="93" t="str">
        <f t="shared" ca="1" si="28"/>
        <v/>
      </c>
      <c r="M90" s="93" t="str">
        <f t="shared" ca="1" si="28"/>
        <v/>
      </c>
      <c r="N90" s="93" t="str">
        <f t="shared" ca="1" si="28"/>
        <v/>
      </c>
      <c r="O90" s="93" t="str">
        <f t="shared" ca="1" si="28"/>
        <v/>
      </c>
      <c r="P90" s="312" t="str">
        <f t="shared" ca="1" si="21"/>
        <v/>
      </c>
      <c r="Q90" s="93" t="str">
        <f t="shared" ca="1" si="21"/>
        <v/>
      </c>
      <c r="R90" s="93" t="str">
        <f t="shared" ca="1" si="21"/>
        <v/>
      </c>
      <c r="S90" s="201" t="str">
        <f t="shared" ca="1" si="24"/>
        <v/>
      </c>
      <c r="T90" s="201"/>
      <c r="Z90" s="40" t="e">
        <f t="shared" ca="1" si="25"/>
        <v>#N/A</v>
      </c>
      <c r="AA90" s="310">
        <f t="shared" ca="1" si="26"/>
        <v>999</v>
      </c>
      <c r="AB90" s="40" t="e">
        <f ca="1">IF(ISNUMBER($A90),VLOOKUP('Berechnungen 2'!AI93,Matrix_Empfehlung.Stromkosten.ID.BOText,3,1),"")</f>
        <v>#VALUE!</v>
      </c>
      <c r="AC90" s="40">
        <f t="shared" ca="1" si="22"/>
        <v>999</v>
      </c>
      <c r="AD90" s="40">
        <f t="shared" ca="1" si="22"/>
        <v>78</v>
      </c>
      <c r="AE90" s="311">
        <f t="shared" ca="1" si="29"/>
        <v>0</v>
      </c>
    </row>
    <row r="91" spans="1:31" x14ac:dyDescent="0.2">
      <c r="A91" s="201">
        <f t="shared" ca="1" si="23"/>
        <v>79</v>
      </c>
      <c r="B91" s="193">
        <f t="shared" si="27"/>
        <v>79</v>
      </c>
      <c r="C91" s="192">
        <f ca="1">IF(ISERROR(LARGE('Berechnungen 2'!$E$16:$E$315,B91)),"",LARGE('Berechnungen 2'!$E$16:$E$315,B91))</f>
        <v>222</v>
      </c>
      <c r="D91" s="201" t="str">
        <f t="shared" ca="1" si="28"/>
        <v/>
      </c>
      <c r="E91" s="201" t="str">
        <f t="shared" ca="1" si="28"/>
        <v/>
      </c>
      <c r="F91" s="201" t="str">
        <f t="shared" ca="1" si="28"/>
        <v/>
      </c>
      <c r="G91" s="205" t="str">
        <f t="shared" ca="1" si="28"/>
        <v/>
      </c>
      <c r="H91" s="202" t="str">
        <f t="shared" ca="1" si="28"/>
        <v/>
      </c>
      <c r="I91" s="201" t="str">
        <f t="shared" ca="1" si="28"/>
        <v/>
      </c>
      <c r="J91" s="93" t="str">
        <f t="shared" ca="1" si="28"/>
        <v/>
      </c>
      <c r="K91" s="93" t="str">
        <f t="shared" ca="1" si="28"/>
        <v/>
      </c>
      <c r="L91" s="93" t="str">
        <f t="shared" ca="1" si="28"/>
        <v/>
      </c>
      <c r="M91" s="93" t="str">
        <f t="shared" ca="1" si="28"/>
        <v/>
      </c>
      <c r="N91" s="93" t="str">
        <f t="shared" ca="1" si="28"/>
        <v/>
      </c>
      <c r="O91" s="93" t="str">
        <f t="shared" ca="1" si="28"/>
        <v/>
      </c>
      <c r="P91" s="312" t="str">
        <f t="shared" ca="1" si="21"/>
        <v/>
      </c>
      <c r="Q91" s="93" t="str">
        <f t="shared" ca="1" si="21"/>
        <v/>
      </c>
      <c r="R91" s="93" t="str">
        <f t="shared" ca="1" si="21"/>
        <v/>
      </c>
      <c r="S91" s="201" t="str">
        <f t="shared" ca="1" si="24"/>
        <v/>
      </c>
      <c r="T91" s="201"/>
      <c r="Z91" s="40" t="e">
        <f t="shared" ca="1" si="25"/>
        <v>#N/A</v>
      </c>
      <c r="AA91" s="310">
        <f t="shared" ca="1" si="26"/>
        <v>999</v>
      </c>
      <c r="AB91" s="40" t="e">
        <f ca="1">IF(ISNUMBER($A91),VLOOKUP('Berechnungen 2'!AI94,Matrix_Empfehlung.Stromkosten.ID.BOText,3,1),"")</f>
        <v>#VALUE!</v>
      </c>
      <c r="AC91" s="40">
        <f t="shared" ca="1" si="22"/>
        <v>999</v>
      </c>
      <c r="AD91" s="40">
        <f t="shared" ca="1" si="22"/>
        <v>79</v>
      </c>
      <c r="AE91" s="311">
        <f t="shared" ca="1" si="29"/>
        <v>0</v>
      </c>
    </row>
    <row r="92" spans="1:31" x14ac:dyDescent="0.2">
      <c r="A92" s="201">
        <f t="shared" ca="1" si="23"/>
        <v>80</v>
      </c>
      <c r="B92" s="193">
        <f t="shared" si="27"/>
        <v>80</v>
      </c>
      <c r="C92" s="192">
        <f ca="1">IF(ISERROR(LARGE('Berechnungen 2'!$E$16:$E$315,B92)),"",LARGE('Berechnungen 2'!$E$16:$E$315,B92))</f>
        <v>221</v>
      </c>
      <c r="D92" s="201" t="str">
        <f t="shared" ca="1" si="28"/>
        <v/>
      </c>
      <c r="E92" s="201" t="str">
        <f t="shared" ca="1" si="28"/>
        <v/>
      </c>
      <c r="F92" s="201" t="str">
        <f t="shared" ca="1" si="28"/>
        <v/>
      </c>
      <c r="G92" s="205" t="str">
        <f t="shared" ca="1" si="28"/>
        <v/>
      </c>
      <c r="H92" s="202" t="str">
        <f t="shared" ca="1" si="28"/>
        <v/>
      </c>
      <c r="I92" s="201" t="str">
        <f t="shared" ca="1" si="28"/>
        <v/>
      </c>
      <c r="J92" s="93" t="str">
        <f t="shared" ca="1" si="28"/>
        <v/>
      </c>
      <c r="K92" s="93" t="str">
        <f t="shared" ca="1" si="28"/>
        <v/>
      </c>
      <c r="L92" s="93" t="str">
        <f t="shared" ca="1" si="28"/>
        <v/>
      </c>
      <c r="M92" s="93" t="str">
        <f t="shared" ca="1" si="28"/>
        <v/>
      </c>
      <c r="N92" s="93" t="str">
        <f t="shared" ca="1" si="28"/>
        <v/>
      </c>
      <c r="O92" s="93" t="str">
        <f t="shared" ca="1" si="28"/>
        <v/>
      </c>
      <c r="P92" s="312" t="str">
        <f t="shared" ca="1" si="21"/>
        <v/>
      </c>
      <c r="Q92" s="93" t="str">
        <f t="shared" ca="1" si="21"/>
        <v/>
      </c>
      <c r="R92" s="93" t="str">
        <f t="shared" ca="1" si="21"/>
        <v/>
      </c>
      <c r="S92" s="201" t="str">
        <f t="shared" ca="1" si="24"/>
        <v/>
      </c>
      <c r="T92" s="201"/>
      <c r="Z92" s="40" t="e">
        <f t="shared" ca="1" si="25"/>
        <v>#N/A</v>
      </c>
      <c r="AA92" s="310">
        <f t="shared" ca="1" si="26"/>
        <v>999</v>
      </c>
      <c r="AB92" s="40" t="e">
        <f ca="1">IF(ISNUMBER($A92),VLOOKUP('Berechnungen 2'!AI95,Matrix_Empfehlung.Stromkosten.ID.BOText,3,1),"")</f>
        <v>#VALUE!</v>
      </c>
      <c r="AC92" s="40">
        <f t="shared" ca="1" si="22"/>
        <v>999</v>
      </c>
      <c r="AD92" s="40">
        <f t="shared" ca="1" si="22"/>
        <v>80</v>
      </c>
      <c r="AE92" s="311">
        <f t="shared" ca="1" si="29"/>
        <v>0</v>
      </c>
    </row>
    <row r="93" spans="1:31" x14ac:dyDescent="0.2">
      <c r="A93" s="201">
        <f t="shared" ca="1" si="23"/>
        <v>81</v>
      </c>
      <c r="B93" s="193">
        <f t="shared" si="27"/>
        <v>81</v>
      </c>
      <c r="C93" s="192">
        <f ca="1">IF(ISERROR(LARGE('Berechnungen 2'!$E$16:$E$315,B93)),"",LARGE('Berechnungen 2'!$E$16:$E$315,B93))</f>
        <v>220</v>
      </c>
      <c r="D93" s="201" t="str">
        <f t="shared" ref="D93:O102" ca="1" si="30">IF($AC93&gt;0,VLOOKUP($C93,Matrix_Berechnungen2.Rang.Pumpendaten.Endresultate,D$9,0),"")</f>
        <v/>
      </c>
      <c r="E93" s="201" t="str">
        <f t="shared" ca="1" si="30"/>
        <v/>
      </c>
      <c r="F93" s="201" t="str">
        <f t="shared" ca="1" si="30"/>
        <v/>
      </c>
      <c r="G93" s="205" t="str">
        <f t="shared" ca="1" si="30"/>
        <v/>
      </c>
      <c r="H93" s="202" t="str">
        <f t="shared" ca="1" si="30"/>
        <v/>
      </c>
      <c r="I93" s="201" t="str">
        <f t="shared" ca="1" si="30"/>
        <v/>
      </c>
      <c r="J93" s="93" t="str">
        <f t="shared" ca="1" si="30"/>
        <v/>
      </c>
      <c r="K93" s="93" t="str">
        <f t="shared" ca="1" si="30"/>
        <v/>
      </c>
      <c r="L93" s="93" t="str">
        <f t="shared" ca="1" si="30"/>
        <v/>
      </c>
      <c r="M93" s="93" t="str">
        <f t="shared" ca="1" si="30"/>
        <v/>
      </c>
      <c r="N93" s="93" t="str">
        <f t="shared" ca="1" si="30"/>
        <v/>
      </c>
      <c r="O93" s="93" t="str">
        <f t="shared" ca="1" si="30"/>
        <v/>
      </c>
      <c r="P93" s="312" t="str">
        <f t="shared" ref="P93:R112" ca="1" si="31">IF(AND($AC93&gt;0,$AC93&lt;&gt;999),VLOOKUP($C93,Matrix_Berechnungen2.Rang.Pumpendaten.Endresultate,P$9,0),"")</f>
        <v/>
      </c>
      <c r="Q93" s="93" t="str">
        <f t="shared" ca="1" si="31"/>
        <v/>
      </c>
      <c r="R93" s="93" t="str">
        <f t="shared" ca="1" si="31"/>
        <v/>
      </c>
      <c r="S93" s="201" t="str">
        <f t="shared" ca="1" si="24"/>
        <v/>
      </c>
      <c r="T93" s="201"/>
      <c r="Z93" s="40" t="e">
        <f t="shared" ca="1" si="25"/>
        <v>#N/A</v>
      </c>
      <c r="AA93" s="310">
        <f t="shared" ca="1" si="26"/>
        <v>999</v>
      </c>
      <c r="AB93" s="40" t="e">
        <f ca="1">IF(ISNUMBER($A93),VLOOKUP('Berechnungen 2'!AI96,Matrix_Empfehlung.Stromkosten.ID.BOText,3,1),"")</f>
        <v>#VALUE!</v>
      </c>
      <c r="AC93" s="40">
        <f t="shared" ref="AC93:AD112" ca="1" si="32">IF(VLOOKUP($C93,Matrix_Berechnungen2.Rang.Pumpendaten.Endresultate,$C$9,0)&gt;0,VLOOKUP($C93,Matrix_Berechnungen2.Rang.Pumpendaten.Endresultate,AC$9,0),"")</f>
        <v>999</v>
      </c>
      <c r="AD93" s="40">
        <f t="shared" ca="1" si="32"/>
        <v>81</v>
      </c>
      <c r="AE93" s="311">
        <f t="shared" ca="1" si="29"/>
        <v>0</v>
      </c>
    </row>
    <row r="94" spans="1:31" x14ac:dyDescent="0.2">
      <c r="A94" s="201">
        <f t="shared" ca="1" si="23"/>
        <v>82</v>
      </c>
      <c r="B94" s="193">
        <f t="shared" si="27"/>
        <v>82</v>
      </c>
      <c r="C94" s="192">
        <f ca="1">IF(ISERROR(LARGE('Berechnungen 2'!$E$16:$E$315,B94)),"",LARGE('Berechnungen 2'!$E$16:$E$315,B94))</f>
        <v>219</v>
      </c>
      <c r="D94" s="201" t="str">
        <f t="shared" ca="1" si="30"/>
        <v/>
      </c>
      <c r="E94" s="201" t="str">
        <f t="shared" ca="1" si="30"/>
        <v/>
      </c>
      <c r="F94" s="201" t="str">
        <f t="shared" ca="1" si="30"/>
        <v/>
      </c>
      <c r="G94" s="205" t="str">
        <f t="shared" ca="1" si="30"/>
        <v/>
      </c>
      <c r="H94" s="202" t="str">
        <f t="shared" ca="1" si="30"/>
        <v/>
      </c>
      <c r="I94" s="201" t="str">
        <f t="shared" ca="1" si="30"/>
        <v/>
      </c>
      <c r="J94" s="93" t="str">
        <f t="shared" ca="1" si="30"/>
        <v/>
      </c>
      <c r="K94" s="93" t="str">
        <f t="shared" ca="1" si="30"/>
        <v/>
      </c>
      <c r="L94" s="93" t="str">
        <f t="shared" ca="1" si="30"/>
        <v/>
      </c>
      <c r="M94" s="93" t="str">
        <f t="shared" ca="1" si="30"/>
        <v/>
      </c>
      <c r="N94" s="93" t="str">
        <f t="shared" ca="1" si="30"/>
        <v/>
      </c>
      <c r="O94" s="93" t="str">
        <f t="shared" ca="1" si="30"/>
        <v/>
      </c>
      <c r="P94" s="312" t="str">
        <f t="shared" ca="1" si="31"/>
        <v/>
      </c>
      <c r="Q94" s="93" t="str">
        <f t="shared" ca="1" si="31"/>
        <v/>
      </c>
      <c r="R94" s="93" t="str">
        <f t="shared" ca="1" si="31"/>
        <v/>
      </c>
      <c r="S94" s="201" t="str">
        <f t="shared" ca="1" si="24"/>
        <v/>
      </c>
      <c r="T94" s="201"/>
      <c r="Z94" s="40" t="e">
        <f t="shared" ca="1" si="25"/>
        <v>#N/A</v>
      </c>
      <c r="AA94" s="310">
        <f t="shared" ca="1" si="26"/>
        <v>999</v>
      </c>
      <c r="AB94" s="40" t="e">
        <f ca="1">IF(ISNUMBER($A94),VLOOKUP('Berechnungen 2'!AI97,Matrix_Empfehlung.Stromkosten.ID.BOText,3,1),"")</f>
        <v>#VALUE!</v>
      </c>
      <c r="AC94" s="40">
        <f t="shared" ca="1" si="32"/>
        <v>999</v>
      </c>
      <c r="AD94" s="40">
        <f t="shared" ca="1" si="32"/>
        <v>82</v>
      </c>
      <c r="AE94" s="311">
        <f t="shared" ca="1" si="29"/>
        <v>0</v>
      </c>
    </row>
    <row r="95" spans="1:31" x14ac:dyDescent="0.2">
      <c r="A95" s="201">
        <f t="shared" ca="1" si="23"/>
        <v>83</v>
      </c>
      <c r="B95" s="193">
        <f t="shared" si="27"/>
        <v>83</v>
      </c>
      <c r="C95" s="192">
        <f ca="1">IF(ISERROR(LARGE('Berechnungen 2'!$E$16:$E$315,B95)),"",LARGE('Berechnungen 2'!$E$16:$E$315,B95))</f>
        <v>218</v>
      </c>
      <c r="D95" s="201" t="str">
        <f t="shared" ca="1" si="30"/>
        <v/>
      </c>
      <c r="E95" s="201" t="str">
        <f t="shared" ca="1" si="30"/>
        <v/>
      </c>
      <c r="F95" s="201" t="str">
        <f t="shared" ca="1" si="30"/>
        <v/>
      </c>
      <c r="G95" s="205" t="str">
        <f t="shared" ca="1" si="30"/>
        <v/>
      </c>
      <c r="H95" s="202" t="str">
        <f t="shared" ca="1" si="30"/>
        <v/>
      </c>
      <c r="I95" s="201" t="str">
        <f t="shared" ca="1" si="30"/>
        <v/>
      </c>
      <c r="J95" s="93" t="str">
        <f t="shared" ca="1" si="30"/>
        <v/>
      </c>
      <c r="K95" s="93" t="str">
        <f t="shared" ca="1" si="30"/>
        <v/>
      </c>
      <c r="L95" s="93" t="str">
        <f t="shared" ca="1" si="30"/>
        <v/>
      </c>
      <c r="M95" s="93" t="str">
        <f t="shared" ca="1" si="30"/>
        <v/>
      </c>
      <c r="N95" s="93" t="str">
        <f t="shared" ca="1" si="30"/>
        <v/>
      </c>
      <c r="O95" s="93" t="str">
        <f t="shared" ca="1" si="30"/>
        <v/>
      </c>
      <c r="P95" s="312" t="str">
        <f t="shared" ca="1" si="31"/>
        <v/>
      </c>
      <c r="Q95" s="93" t="str">
        <f t="shared" ca="1" si="31"/>
        <v/>
      </c>
      <c r="R95" s="93" t="str">
        <f t="shared" ca="1" si="31"/>
        <v/>
      </c>
      <c r="S95" s="201" t="str">
        <f t="shared" ca="1" si="24"/>
        <v/>
      </c>
      <c r="T95" s="201"/>
      <c r="Z95" s="40" t="e">
        <f t="shared" ca="1" si="25"/>
        <v>#N/A</v>
      </c>
      <c r="AA95" s="310">
        <f t="shared" ca="1" si="26"/>
        <v>999</v>
      </c>
      <c r="AB95" s="40" t="e">
        <f ca="1">IF(ISNUMBER($A95),VLOOKUP('Berechnungen 2'!AI98,Matrix_Empfehlung.Stromkosten.ID.BOText,3,1),"")</f>
        <v>#VALUE!</v>
      </c>
      <c r="AC95" s="40">
        <f t="shared" ca="1" si="32"/>
        <v>999</v>
      </c>
      <c r="AD95" s="40">
        <f t="shared" ca="1" si="32"/>
        <v>83</v>
      </c>
      <c r="AE95" s="311">
        <f t="shared" ca="1" si="29"/>
        <v>0</v>
      </c>
    </row>
    <row r="96" spans="1:31" x14ac:dyDescent="0.2">
      <c r="A96" s="201">
        <f t="shared" ca="1" si="23"/>
        <v>84</v>
      </c>
      <c r="B96" s="193">
        <f t="shared" si="27"/>
        <v>84</v>
      </c>
      <c r="C96" s="192">
        <f ca="1">IF(ISERROR(LARGE('Berechnungen 2'!$E$16:$E$315,B96)),"",LARGE('Berechnungen 2'!$E$16:$E$315,B96))</f>
        <v>217</v>
      </c>
      <c r="D96" s="201" t="str">
        <f t="shared" ca="1" si="30"/>
        <v/>
      </c>
      <c r="E96" s="201" t="str">
        <f t="shared" ca="1" si="30"/>
        <v/>
      </c>
      <c r="F96" s="201" t="str">
        <f t="shared" ca="1" si="30"/>
        <v/>
      </c>
      <c r="G96" s="205" t="str">
        <f t="shared" ca="1" si="30"/>
        <v/>
      </c>
      <c r="H96" s="202" t="str">
        <f t="shared" ca="1" si="30"/>
        <v/>
      </c>
      <c r="I96" s="201" t="str">
        <f t="shared" ca="1" si="30"/>
        <v/>
      </c>
      <c r="J96" s="93" t="str">
        <f t="shared" ca="1" si="30"/>
        <v/>
      </c>
      <c r="K96" s="93" t="str">
        <f t="shared" ca="1" si="30"/>
        <v/>
      </c>
      <c r="L96" s="93" t="str">
        <f t="shared" ca="1" si="30"/>
        <v/>
      </c>
      <c r="M96" s="93" t="str">
        <f t="shared" ca="1" si="30"/>
        <v/>
      </c>
      <c r="N96" s="93" t="str">
        <f t="shared" ca="1" si="30"/>
        <v/>
      </c>
      <c r="O96" s="93" t="str">
        <f t="shared" ca="1" si="30"/>
        <v/>
      </c>
      <c r="P96" s="312" t="str">
        <f t="shared" ca="1" si="31"/>
        <v/>
      </c>
      <c r="Q96" s="93" t="str">
        <f t="shared" ca="1" si="31"/>
        <v/>
      </c>
      <c r="R96" s="93" t="str">
        <f t="shared" ca="1" si="31"/>
        <v/>
      </c>
      <c r="S96" s="201" t="str">
        <f t="shared" ca="1" si="24"/>
        <v/>
      </c>
      <c r="T96" s="201"/>
      <c r="Z96" s="40" t="e">
        <f t="shared" ca="1" si="25"/>
        <v>#N/A</v>
      </c>
      <c r="AA96" s="310">
        <f t="shared" ca="1" si="26"/>
        <v>999</v>
      </c>
      <c r="AB96" s="40" t="e">
        <f ca="1">IF(ISNUMBER($A96),VLOOKUP('Berechnungen 2'!AI99,Matrix_Empfehlung.Stromkosten.ID.BOText,3,1),"")</f>
        <v>#VALUE!</v>
      </c>
      <c r="AC96" s="40">
        <f t="shared" ca="1" si="32"/>
        <v>999</v>
      </c>
      <c r="AD96" s="40">
        <f t="shared" ca="1" si="32"/>
        <v>84</v>
      </c>
      <c r="AE96" s="311">
        <f t="shared" ca="1" si="29"/>
        <v>0</v>
      </c>
    </row>
    <row r="97" spans="1:31" x14ac:dyDescent="0.2">
      <c r="A97" s="201">
        <f t="shared" ca="1" si="23"/>
        <v>85</v>
      </c>
      <c r="B97" s="193">
        <f t="shared" si="27"/>
        <v>85</v>
      </c>
      <c r="C97" s="192">
        <f ca="1">IF(ISERROR(LARGE('Berechnungen 2'!$E$16:$E$315,B97)),"",LARGE('Berechnungen 2'!$E$16:$E$315,B97))</f>
        <v>216</v>
      </c>
      <c r="D97" s="201" t="str">
        <f t="shared" ca="1" si="30"/>
        <v/>
      </c>
      <c r="E97" s="201" t="str">
        <f t="shared" ca="1" si="30"/>
        <v/>
      </c>
      <c r="F97" s="201" t="str">
        <f t="shared" ca="1" si="30"/>
        <v/>
      </c>
      <c r="G97" s="205" t="str">
        <f t="shared" ca="1" si="30"/>
        <v/>
      </c>
      <c r="H97" s="202" t="str">
        <f t="shared" ca="1" si="30"/>
        <v/>
      </c>
      <c r="I97" s="201" t="str">
        <f t="shared" ca="1" si="30"/>
        <v/>
      </c>
      <c r="J97" s="93" t="str">
        <f t="shared" ca="1" si="30"/>
        <v/>
      </c>
      <c r="K97" s="93" t="str">
        <f t="shared" ca="1" si="30"/>
        <v/>
      </c>
      <c r="L97" s="93" t="str">
        <f t="shared" ca="1" si="30"/>
        <v/>
      </c>
      <c r="M97" s="93" t="str">
        <f t="shared" ca="1" si="30"/>
        <v/>
      </c>
      <c r="N97" s="93" t="str">
        <f t="shared" ca="1" si="30"/>
        <v/>
      </c>
      <c r="O97" s="93" t="str">
        <f t="shared" ca="1" si="30"/>
        <v/>
      </c>
      <c r="P97" s="312" t="str">
        <f t="shared" ca="1" si="31"/>
        <v/>
      </c>
      <c r="Q97" s="93" t="str">
        <f t="shared" ca="1" si="31"/>
        <v/>
      </c>
      <c r="R97" s="93" t="str">
        <f t="shared" ca="1" si="31"/>
        <v/>
      </c>
      <c r="S97" s="201" t="str">
        <f t="shared" ca="1" si="24"/>
        <v/>
      </c>
      <c r="T97" s="201"/>
      <c r="Z97" s="40" t="e">
        <f t="shared" ca="1" si="25"/>
        <v>#N/A</v>
      </c>
      <c r="AA97" s="310">
        <f t="shared" ca="1" si="26"/>
        <v>999</v>
      </c>
      <c r="AB97" s="40" t="e">
        <f ca="1">IF(ISNUMBER($A97),VLOOKUP('Berechnungen 2'!AI100,Matrix_Empfehlung.Stromkosten.ID.BOText,3,1),"")</f>
        <v>#VALUE!</v>
      </c>
      <c r="AC97" s="40">
        <f t="shared" ca="1" si="32"/>
        <v>999</v>
      </c>
      <c r="AD97" s="40">
        <f t="shared" ca="1" si="32"/>
        <v>85</v>
      </c>
      <c r="AE97" s="311">
        <f t="shared" ca="1" si="29"/>
        <v>0</v>
      </c>
    </row>
    <row r="98" spans="1:31" x14ac:dyDescent="0.2">
      <c r="A98" s="201">
        <f t="shared" ca="1" si="23"/>
        <v>86</v>
      </c>
      <c r="B98" s="193">
        <f t="shared" si="27"/>
        <v>86</v>
      </c>
      <c r="C98" s="192">
        <f ca="1">IF(ISERROR(LARGE('Berechnungen 2'!$E$16:$E$315,B98)),"",LARGE('Berechnungen 2'!$E$16:$E$315,B98))</f>
        <v>215</v>
      </c>
      <c r="D98" s="201" t="str">
        <f t="shared" ca="1" si="30"/>
        <v/>
      </c>
      <c r="E98" s="201" t="str">
        <f t="shared" ca="1" si="30"/>
        <v/>
      </c>
      <c r="F98" s="201" t="str">
        <f t="shared" ca="1" si="30"/>
        <v/>
      </c>
      <c r="G98" s="205" t="str">
        <f t="shared" ca="1" si="30"/>
        <v/>
      </c>
      <c r="H98" s="202" t="str">
        <f t="shared" ca="1" si="30"/>
        <v/>
      </c>
      <c r="I98" s="201" t="str">
        <f t="shared" ca="1" si="30"/>
        <v/>
      </c>
      <c r="J98" s="93" t="str">
        <f t="shared" ca="1" si="30"/>
        <v/>
      </c>
      <c r="K98" s="93" t="str">
        <f t="shared" ca="1" si="30"/>
        <v/>
      </c>
      <c r="L98" s="93" t="str">
        <f t="shared" ca="1" si="30"/>
        <v/>
      </c>
      <c r="M98" s="93" t="str">
        <f t="shared" ca="1" si="30"/>
        <v/>
      </c>
      <c r="N98" s="93" t="str">
        <f t="shared" ca="1" si="30"/>
        <v/>
      </c>
      <c r="O98" s="93" t="str">
        <f t="shared" ca="1" si="30"/>
        <v/>
      </c>
      <c r="P98" s="312" t="str">
        <f t="shared" ca="1" si="31"/>
        <v/>
      </c>
      <c r="Q98" s="93" t="str">
        <f t="shared" ca="1" si="31"/>
        <v/>
      </c>
      <c r="R98" s="93" t="str">
        <f t="shared" ca="1" si="31"/>
        <v/>
      </c>
      <c r="S98" s="201" t="str">
        <f t="shared" ca="1" si="24"/>
        <v/>
      </c>
      <c r="T98" s="201"/>
      <c r="Z98" s="40" t="e">
        <f t="shared" ca="1" si="25"/>
        <v>#N/A</v>
      </c>
      <c r="AA98" s="310">
        <f t="shared" ca="1" si="26"/>
        <v>999</v>
      </c>
      <c r="AB98" s="40" t="e">
        <f ca="1">IF(ISNUMBER($A98),VLOOKUP('Berechnungen 2'!AI101,Matrix_Empfehlung.Stromkosten.ID.BOText,3,1),"")</f>
        <v>#VALUE!</v>
      </c>
      <c r="AC98" s="40">
        <f t="shared" ca="1" si="32"/>
        <v>999</v>
      </c>
      <c r="AD98" s="40">
        <f t="shared" ca="1" si="32"/>
        <v>86</v>
      </c>
      <c r="AE98" s="311">
        <f t="shared" ca="1" si="29"/>
        <v>0</v>
      </c>
    </row>
    <row r="99" spans="1:31" x14ac:dyDescent="0.2">
      <c r="A99" s="201">
        <f t="shared" ca="1" si="23"/>
        <v>87</v>
      </c>
      <c r="B99" s="193">
        <f t="shared" si="27"/>
        <v>87</v>
      </c>
      <c r="C99" s="192">
        <f ca="1">IF(ISERROR(LARGE('Berechnungen 2'!$E$16:$E$315,B99)),"",LARGE('Berechnungen 2'!$E$16:$E$315,B99))</f>
        <v>214</v>
      </c>
      <c r="D99" s="201" t="str">
        <f t="shared" ca="1" si="30"/>
        <v/>
      </c>
      <c r="E99" s="201" t="str">
        <f t="shared" ca="1" si="30"/>
        <v/>
      </c>
      <c r="F99" s="201" t="str">
        <f t="shared" ca="1" si="30"/>
        <v/>
      </c>
      <c r="G99" s="205" t="str">
        <f t="shared" ca="1" si="30"/>
        <v/>
      </c>
      <c r="H99" s="202" t="str">
        <f t="shared" ca="1" si="30"/>
        <v/>
      </c>
      <c r="I99" s="201" t="str">
        <f t="shared" ca="1" si="30"/>
        <v/>
      </c>
      <c r="J99" s="93" t="str">
        <f t="shared" ca="1" si="30"/>
        <v/>
      </c>
      <c r="K99" s="93" t="str">
        <f t="shared" ca="1" si="30"/>
        <v/>
      </c>
      <c r="L99" s="93" t="str">
        <f t="shared" ca="1" si="30"/>
        <v/>
      </c>
      <c r="M99" s="93" t="str">
        <f t="shared" ca="1" si="30"/>
        <v/>
      </c>
      <c r="N99" s="93" t="str">
        <f t="shared" ca="1" si="30"/>
        <v/>
      </c>
      <c r="O99" s="93" t="str">
        <f t="shared" ca="1" si="30"/>
        <v/>
      </c>
      <c r="P99" s="312" t="str">
        <f t="shared" ca="1" si="31"/>
        <v/>
      </c>
      <c r="Q99" s="93" t="str">
        <f t="shared" ca="1" si="31"/>
        <v/>
      </c>
      <c r="R99" s="93" t="str">
        <f t="shared" ca="1" si="31"/>
        <v/>
      </c>
      <c r="S99" s="201" t="str">
        <f t="shared" ca="1" si="24"/>
        <v/>
      </c>
      <c r="T99" s="201"/>
      <c r="Z99" s="40" t="e">
        <f t="shared" ca="1" si="25"/>
        <v>#N/A</v>
      </c>
      <c r="AA99" s="310">
        <f t="shared" ca="1" si="26"/>
        <v>999</v>
      </c>
      <c r="AB99" s="40" t="e">
        <f ca="1">IF(ISNUMBER($A99),VLOOKUP('Berechnungen 2'!AI102,Matrix_Empfehlung.Stromkosten.ID.BOText,3,1),"")</f>
        <v>#VALUE!</v>
      </c>
      <c r="AC99" s="40">
        <f t="shared" ca="1" si="32"/>
        <v>999</v>
      </c>
      <c r="AD99" s="40">
        <f t="shared" ca="1" si="32"/>
        <v>87</v>
      </c>
      <c r="AE99" s="311">
        <f t="shared" ca="1" si="29"/>
        <v>0</v>
      </c>
    </row>
    <row r="100" spans="1:31" x14ac:dyDescent="0.2">
      <c r="A100" s="201">
        <f t="shared" ca="1" si="23"/>
        <v>88</v>
      </c>
      <c r="B100" s="193">
        <f t="shared" si="27"/>
        <v>88</v>
      </c>
      <c r="C100" s="192">
        <f ca="1">IF(ISERROR(LARGE('Berechnungen 2'!$E$16:$E$315,B100)),"",LARGE('Berechnungen 2'!$E$16:$E$315,B100))</f>
        <v>213</v>
      </c>
      <c r="D100" s="201" t="str">
        <f t="shared" ca="1" si="30"/>
        <v/>
      </c>
      <c r="E100" s="201" t="str">
        <f t="shared" ca="1" si="30"/>
        <v/>
      </c>
      <c r="F100" s="201" t="str">
        <f t="shared" ca="1" si="30"/>
        <v/>
      </c>
      <c r="G100" s="205" t="str">
        <f t="shared" ca="1" si="30"/>
        <v/>
      </c>
      <c r="H100" s="202" t="str">
        <f t="shared" ca="1" si="30"/>
        <v/>
      </c>
      <c r="I100" s="201" t="str">
        <f t="shared" ca="1" si="30"/>
        <v/>
      </c>
      <c r="J100" s="93" t="str">
        <f t="shared" ca="1" si="30"/>
        <v/>
      </c>
      <c r="K100" s="93" t="str">
        <f t="shared" ca="1" si="30"/>
        <v/>
      </c>
      <c r="L100" s="93" t="str">
        <f t="shared" ca="1" si="30"/>
        <v/>
      </c>
      <c r="M100" s="93" t="str">
        <f t="shared" ca="1" si="30"/>
        <v/>
      </c>
      <c r="N100" s="93" t="str">
        <f t="shared" ca="1" si="30"/>
        <v/>
      </c>
      <c r="O100" s="93" t="str">
        <f t="shared" ca="1" si="30"/>
        <v/>
      </c>
      <c r="P100" s="312" t="str">
        <f t="shared" ca="1" si="31"/>
        <v/>
      </c>
      <c r="Q100" s="93" t="str">
        <f t="shared" ca="1" si="31"/>
        <v/>
      </c>
      <c r="R100" s="93" t="str">
        <f t="shared" ca="1" si="31"/>
        <v/>
      </c>
      <c r="S100" s="201" t="str">
        <f t="shared" ca="1" si="24"/>
        <v/>
      </c>
      <c r="T100" s="201"/>
      <c r="Z100" s="40" t="e">
        <f t="shared" ca="1" si="25"/>
        <v>#N/A</v>
      </c>
      <c r="AA100" s="310">
        <f t="shared" ca="1" si="26"/>
        <v>999</v>
      </c>
      <c r="AB100" s="40" t="e">
        <f ca="1">IF(ISNUMBER($A100),VLOOKUP('Berechnungen 2'!AI103,Matrix_Empfehlung.Stromkosten.ID.BOText,3,1),"")</f>
        <v>#VALUE!</v>
      </c>
      <c r="AC100" s="40">
        <f t="shared" ca="1" si="32"/>
        <v>999</v>
      </c>
      <c r="AD100" s="40">
        <f t="shared" ca="1" si="32"/>
        <v>88</v>
      </c>
      <c r="AE100" s="311">
        <f t="shared" ca="1" si="29"/>
        <v>0</v>
      </c>
    </row>
    <row r="101" spans="1:31" x14ac:dyDescent="0.2">
      <c r="A101" s="201">
        <f t="shared" ca="1" si="23"/>
        <v>89</v>
      </c>
      <c r="B101" s="193">
        <f t="shared" si="27"/>
        <v>89</v>
      </c>
      <c r="C101" s="192">
        <f ca="1">IF(ISERROR(LARGE('Berechnungen 2'!$E$16:$E$315,B101)),"",LARGE('Berechnungen 2'!$E$16:$E$315,B101))</f>
        <v>212</v>
      </c>
      <c r="D101" s="201" t="str">
        <f t="shared" ca="1" si="30"/>
        <v/>
      </c>
      <c r="E101" s="201" t="str">
        <f t="shared" ca="1" si="30"/>
        <v/>
      </c>
      <c r="F101" s="201" t="str">
        <f t="shared" ca="1" si="30"/>
        <v/>
      </c>
      <c r="G101" s="205" t="str">
        <f t="shared" ca="1" si="30"/>
        <v/>
      </c>
      <c r="H101" s="202" t="str">
        <f t="shared" ca="1" si="30"/>
        <v/>
      </c>
      <c r="I101" s="201" t="str">
        <f t="shared" ca="1" si="30"/>
        <v/>
      </c>
      <c r="J101" s="93" t="str">
        <f t="shared" ca="1" si="30"/>
        <v/>
      </c>
      <c r="K101" s="93" t="str">
        <f t="shared" ca="1" si="30"/>
        <v/>
      </c>
      <c r="L101" s="93" t="str">
        <f t="shared" ca="1" si="30"/>
        <v/>
      </c>
      <c r="M101" s="93" t="str">
        <f t="shared" ca="1" si="30"/>
        <v/>
      </c>
      <c r="N101" s="93" t="str">
        <f t="shared" ca="1" si="30"/>
        <v/>
      </c>
      <c r="O101" s="93" t="str">
        <f t="shared" ca="1" si="30"/>
        <v/>
      </c>
      <c r="P101" s="312" t="str">
        <f t="shared" ca="1" si="31"/>
        <v/>
      </c>
      <c r="Q101" s="93" t="str">
        <f t="shared" ca="1" si="31"/>
        <v/>
      </c>
      <c r="R101" s="93" t="str">
        <f t="shared" ca="1" si="31"/>
        <v/>
      </c>
      <c r="S101" s="201" t="str">
        <f t="shared" ca="1" si="24"/>
        <v/>
      </c>
      <c r="T101" s="201"/>
      <c r="Z101" s="40" t="e">
        <f t="shared" ca="1" si="25"/>
        <v>#N/A</v>
      </c>
      <c r="AA101" s="310">
        <f t="shared" ca="1" si="26"/>
        <v>999</v>
      </c>
      <c r="AB101" s="40" t="e">
        <f ca="1">IF(ISNUMBER($A101),VLOOKUP('Berechnungen 2'!AI104,Matrix_Empfehlung.Stromkosten.ID.BOText,3,1),"")</f>
        <v>#VALUE!</v>
      </c>
      <c r="AC101" s="40">
        <f t="shared" ca="1" si="32"/>
        <v>999</v>
      </c>
      <c r="AD101" s="40">
        <f t="shared" ca="1" si="32"/>
        <v>89</v>
      </c>
      <c r="AE101" s="311">
        <f t="shared" ca="1" si="29"/>
        <v>0</v>
      </c>
    </row>
    <row r="102" spans="1:31" x14ac:dyDescent="0.2">
      <c r="A102" s="201">
        <f t="shared" ca="1" si="23"/>
        <v>90</v>
      </c>
      <c r="B102" s="193">
        <f t="shared" si="27"/>
        <v>90</v>
      </c>
      <c r="C102" s="192">
        <f ca="1">IF(ISERROR(LARGE('Berechnungen 2'!$E$16:$E$315,B102)),"",LARGE('Berechnungen 2'!$E$16:$E$315,B102))</f>
        <v>211</v>
      </c>
      <c r="D102" s="201" t="str">
        <f t="shared" ca="1" si="30"/>
        <v/>
      </c>
      <c r="E102" s="201" t="str">
        <f t="shared" ca="1" si="30"/>
        <v/>
      </c>
      <c r="F102" s="201" t="str">
        <f t="shared" ca="1" si="30"/>
        <v/>
      </c>
      <c r="G102" s="205" t="str">
        <f t="shared" ca="1" si="30"/>
        <v/>
      </c>
      <c r="H102" s="202" t="str">
        <f t="shared" ca="1" si="30"/>
        <v/>
      </c>
      <c r="I102" s="201" t="str">
        <f t="shared" ca="1" si="30"/>
        <v/>
      </c>
      <c r="J102" s="93" t="str">
        <f t="shared" ca="1" si="30"/>
        <v/>
      </c>
      <c r="K102" s="93" t="str">
        <f t="shared" ca="1" si="30"/>
        <v/>
      </c>
      <c r="L102" s="93" t="str">
        <f t="shared" ca="1" si="30"/>
        <v/>
      </c>
      <c r="M102" s="93" t="str">
        <f t="shared" ca="1" si="30"/>
        <v/>
      </c>
      <c r="N102" s="93" t="str">
        <f t="shared" ca="1" si="30"/>
        <v/>
      </c>
      <c r="O102" s="93" t="str">
        <f t="shared" ca="1" si="30"/>
        <v/>
      </c>
      <c r="P102" s="312" t="str">
        <f t="shared" ca="1" si="31"/>
        <v/>
      </c>
      <c r="Q102" s="93" t="str">
        <f t="shared" ca="1" si="31"/>
        <v/>
      </c>
      <c r="R102" s="93" t="str">
        <f t="shared" ca="1" si="31"/>
        <v/>
      </c>
      <c r="S102" s="201" t="str">
        <f t="shared" ca="1" si="24"/>
        <v/>
      </c>
      <c r="T102" s="201"/>
      <c r="Z102" s="40" t="e">
        <f t="shared" ca="1" si="25"/>
        <v>#N/A</v>
      </c>
      <c r="AA102" s="310">
        <f t="shared" ca="1" si="26"/>
        <v>999</v>
      </c>
      <c r="AB102" s="40" t="e">
        <f ca="1">IF(ISNUMBER($A102),VLOOKUP('Berechnungen 2'!AI105,Matrix_Empfehlung.Stromkosten.ID.BOText,3,1),"")</f>
        <v>#VALUE!</v>
      </c>
      <c r="AC102" s="40">
        <f t="shared" ca="1" si="32"/>
        <v>999</v>
      </c>
      <c r="AD102" s="40">
        <f t="shared" ca="1" si="32"/>
        <v>90</v>
      </c>
      <c r="AE102" s="311">
        <f t="shared" ca="1" si="29"/>
        <v>0</v>
      </c>
    </row>
    <row r="103" spans="1:31" x14ac:dyDescent="0.2">
      <c r="A103" s="201">
        <f t="shared" ca="1" si="23"/>
        <v>91</v>
      </c>
      <c r="B103" s="193">
        <f t="shared" si="27"/>
        <v>91</v>
      </c>
      <c r="C103" s="192">
        <f ca="1">IF(ISERROR(LARGE('Berechnungen 2'!$E$16:$E$315,B103)),"",LARGE('Berechnungen 2'!$E$16:$E$315,B103))</f>
        <v>210</v>
      </c>
      <c r="D103" s="201" t="str">
        <f t="shared" ref="D103:O112" ca="1" si="33">IF($AC103&gt;0,VLOOKUP($C103,Matrix_Berechnungen2.Rang.Pumpendaten.Endresultate,D$9,0),"")</f>
        <v/>
      </c>
      <c r="E103" s="201" t="str">
        <f t="shared" ca="1" si="33"/>
        <v/>
      </c>
      <c r="F103" s="201" t="str">
        <f t="shared" ca="1" si="33"/>
        <v/>
      </c>
      <c r="G103" s="205" t="str">
        <f t="shared" ca="1" si="33"/>
        <v/>
      </c>
      <c r="H103" s="202" t="str">
        <f t="shared" ca="1" si="33"/>
        <v/>
      </c>
      <c r="I103" s="201" t="str">
        <f t="shared" ca="1" si="33"/>
        <v/>
      </c>
      <c r="J103" s="93" t="str">
        <f t="shared" ca="1" si="33"/>
        <v/>
      </c>
      <c r="K103" s="93" t="str">
        <f t="shared" ca="1" si="33"/>
        <v/>
      </c>
      <c r="L103" s="93" t="str">
        <f t="shared" ca="1" si="33"/>
        <v/>
      </c>
      <c r="M103" s="93" t="str">
        <f t="shared" ca="1" si="33"/>
        <v/>
      </c>
      <c r="N103" s="93" t="str">
        <f t="shared" ca="1" si="33"/>
        <v/>
      </c>
      <c r="O103" s="93" t="str">
        <f t="shared" ca="1" si="33"/>
        <v/>
      </c>
      <c r="P103" s="312" t="str">
        <f t="shared" ca="1" si="31"/>
        <v/>
      </c>
      <c r="Q103" s="93" t="str">
        <f t="shared" ca="1" si="31"/>
        <v/>
      </c>
      <c r="R103" s="93" t="str">
        <f t="shared" ca="1" si="31"/>
        <v/>
      </c>
      <c r="S103" s="201" t="str">
        <f t="shared" ca="1" si="24"/>
        <v/>
      </c>
      <c r="T103" s="201"/>
      <c r="Z103" s="40" t="e">
        <f t="shared" ca="1" si="25"/>
        <v>#N/A</v>
      </c>
      <c r="AA103" s="310">
        <f t="shared" ca="1" si="26"/>
        <v>999</v>
      </c>
      <c r="AB103" s="40" t="e">
        <f ca="1">IF(ISNUMBER($A103),VLOOKUP('Berechnungen 2'!AI106,Matrix_Empfehlung.Stromkosten.ID.BOText,3,1),"")</f>
        <v>#VALUE!</v>
      </c>
      <c r="AC103" s="40">
        <f t="shared" ca="1" si="32"/>
        <v>999</v>
      </c>
      <c r="AD103" s="40">
        <f t="shared" ca="1" si="32"/>
        <v>91</v>
      </c>
      <c r="AE103" s="311">
        <f t="shared" ca="1" si="29"/>
        <v>0</v>
      </c>
    </row>
    <row r="104" spans="1:31" x14ac:dyDescent="0.2">
      <c r="A104" s="201">
        <f t="shared" ca="1" si="23"/>
        <v>92</v>
      </c>
      <c r="B104" s="193">
        <f t="shared" si="27"/>
        <v>92</v>
      </c>
      <c r="C104" s="192">
        <f ca="1">IF(ISERROR(LARGE('Berechnungen 2'!$E$16:$E$315,B104)),"",LARGE('Berechnungen 2'!$E$16:$E$315,B104))</f>
        <v>209</v>
      </c>
      <c r="D104" s="201" t="str">
        <f t="shared" ca="1" si="33"/>
        <v/>
      </c>
      <c r="E104" s="201" t="str">
        <f t="shared" ca="1" si="33"/>
        <v/>
      </c>
      <c r="F104" s="201" t="str">
        <f t="shared" ca="1" si="33"/>
        <v/>
      </c>
      <c r="G104" s="205" t="str">
        <f t="shared" ca="1" si="33"/>
        <v/>
      </c>
      <c r="H104" s="202" t="str">
        <f t="shared" ca="1" si="33"/>
        <v/>
      </c>
      <c r="I104" s="201" t="str">
        <f t="shared" ca="1" si="33"/>
        <v/>
      </c>
      <c r="J104" s="93" t="str">
        <f t="shared" ca="1" si="33"/>
        <v/>
      </c>
      <c r="K104" s="93" t="str">
        <f t="shared" ca="1" si="33"/>
        <v/>
      </c>
      <c r="L104" s="93" t="str">
        <f t="shared" ca="1" si="33"/>
        <v/>
      </c>
      <c r="M104" s="93" t="str">
        <f t="shared" ca="1" si="33"/>
        <v/>
      </c>
      <c r="N104" s="93" t="str">
        <f t="shared" ca="1" si="33"/>
        <v/>
      </c>
      <c r="O104" s="93" t="str">
        <f t="shared" ca="1" si="33"/>
        <v/>
      </c>
      <c r="P104" s="312" t="str">
        <f t="shared" ca="1" si="31"/>
        <v/>
      </c>
      <c r="Q104" s="93" t="str">
        <f t="shared" ca="1" si="31"/>
        <v/>
      </c>
      <c r="R104" s="93" t="str">
        <f t="shared" ca="1" si="31"/>
        <v/>
      </c>
      <c r="S104" s="201" t="str">
        <f t="shared" ca="1" si="24"/>
        <v/>
      </c>
      <c r="T104" s="201"/>
      <c r="Z104" s="40" t="e">
        <f t="shared" ca="1" si="25"/>
        <v>#N/A</v>
      </c>
      <c r="AA104" s="310">
        <f t="shared" ca="1" si="26"/>
        <v>999</v>
      </c>
      <c r="AB104" s="40" t="e">
        <f ca="1">IF(ISNUMBER($A104),VLOOKUP('Berechnungen 2'!AI107,Matrix_Empfehlung.Stromkosten.ID.BOText,3,1),"")</f>
        <v>#VALUE!</v>
      </c>
      <c r="AC104" s="40">
        <f t="shared" ca="1" si="32"/>
        <v>999</v>
      </c>
      <c r="AD104" s="40">
        <f t="shared" ca="1" si="32"/>
        <v>92</v>
      </c>
      <c r="AE104" s="311">
        <f t="shared" ca="1" si="29"/>
        <v>0</v>
      </c>
    </row>
    <row r="105" spans="1:31" x14ac:dyDescent="0.2">
      <c r="A105" s="201">
        <f t="shared" ca="1" si="23"/>
        <v>93</v>
      </c>
      <c r="B105" s="193">
        <f t="shared" si="27"/>
        <v>93</v>
      </c>
      <c r="C105" s="192">
        <f ca="1">IF(ISERROR(LARGE('Berechnungen 2'!$E$16:$E$315,B105)),"",LARGE('Berechnungen 2'!$E$16:$E$315,B105))</f>
        <v>208</v>
      </c>
      <c r="D105" s="201" t="str">
        <f t="shared" ca="1" si="33"/>
        <v/>
      </c>
      <c r="E105" s="201" t="str">
        <f t="shared" ca="1" si="33"/>
        <v/>
      </c>
      <c r="F105" s="201" t="str">
        <f t="shared" ca="1" si="33"/>
        <v/>
      </c>
      <c r="G105" s="205" t="str">
        <f t="shared" ca="1" si="33"/>
        <v/>
      </c>
      <c r="H105" s="202" t="str">
        <f t="shared" ca="1" si="33"/>
        <v/>
      </c>
      <c r="I105" s="201" t="str">
        <f t="shared" ca="1" si="33"/>
        <v/>
      </c>
      <c r="J105" s="93" t="str">
        <f t="shared" ca="1" si="33"/>
        <v/>
      </c>
      <c r="K105" s="93" t="str">
        <f t="shared" ca="1" si="33"/>
        <v/>
      </c>
      <c r="L105" s="93" t="str">
        <f t="shared" ca="1" si="33"/>
        <v/>
      </c>
      <c r="M105" s="93" t="str">
        <f t="shared" ca="1" si="33"/>
        <v/>
      </c>
      <c r="N105" s="93" t="str">
        <f t="shared" ca="1" si="33"/>
        <v/>
      </c>
      <c r="O105" s="93" t="str">
        <f t="shared" ca="1" si="33"/>
        <v/>
      </c>
      <c r="P105" s="312" t="str">
        <f t="shared" ca="1" si="31"/>
        <v/>
      </c>
      <c r="Q105" s="93" t="str">
        <f t="shared" ca="1" si="31"/>
        <v/>
      </c>
      <c r="R105" s="93" t="str">
        <f t="shared" ca="1" si="31"/>
        <v/>
      </c>
      <c r="S105" s="201" t="str">
        <f t="shared" ca="1" si="24"/>
        <v/>
      </c>
      <c r="T105" s="201"/>
      <c r="Z105" s="40" t="e">
        <f t="shared" ca="1" si="25"/>
        <v>#N/A</v>
      </c>
      <c r="AA105" s="310">
        <f t="shared" ca="1" si="26"/>
        <v>999</v>
      </c>
      <c r="AB105" s="40" t="e">
        <f ca="1">IF(ISNUMBER($A105),VLOOKUP('Berechnungen 2'!AI108,Matrix_Empfehlung.Stromkosten.ID.BOText,3,1),"")</f>
        <v>#VALUE!</v>
      </c>
      <c r="AC105" s="40">
        <f t="shared" ca="1" si="32"/>
        <v>999</v>
      </c>
      <c r="AD105" s="40">
        <f t="shared" ca="1" si="32"/>
        <v>93</v>
      </c>
      <c r="AE105" s="311">
        <f t="shared" ca="1" si="29"/>
        <v>0</v>
      </c>
    </row>
    <row r="106" spans="1:31" x14ac:dyDescent="0.2">
      <c r="A106" s="201">
        <f t="shared" ca="1" si="23"/>
        <v>94</v>
      </c>
      <c r="B106" s="193">
        <f t="shared" si="27"/>
        <v>94</v>
      </c>
      <c r="C106" s="192">
        <f ca="1">IF(ISERROR(LARGE('Berechnungen 2'!$E$16:$E$315,B106)),"",LARGE('Berechnungen 2'!$E$16:$E$315,B106))</f>
        <v>207</v>
      </c>
      <c r="D106" s="201" t="str">
        <f t="shared" ca="1" si="33"/>
        <v/>
      </c>
      <c r="E106" s="201" t="str">
        <f t="shared" ca="1" si="33"/>
        <v/>
      </c>
      <c r="F106" s="201" t="str">
        <f t="shared" ca="1" si="33"/>
        <v/>
      </c>
      <c r="G106" s="205" t="str">
        <f t="shared" ca="1" si="33"/>
        <v/>
      </c>
      <c r="H106" s="202" t="str">
        <f t="shared" ca="1" si="33"/>
        <v/>
      </c>
      <c r="I106" s="201" t="str">
        <f t="shared" ca="1" si="33"/>
        <v/>
      </c>
      <c r="J106" s="93" t="str">
        <f t="shared" ca="1" si="33"/>
        <v/>
      </c>
      <c r="K106" s="93" t="str">
        <f t="shared" ca="1" si="33"/>
        <v/>
      </c>
      <c r="L106" s="93" t="str">
        <f t="shared" ca="1" si="33"/>
        <v/>
      </c>
      <c r="M106" s="93" t="str">
        <f t="shared" ca="1" si="33"/>
        <v/>
      </c>
      <c r="N106" s="93" t="str">
        <f t="shared" ca="1" si="33"/>
        <v/>
      </c>
      <c r="O106" s="93" t="str">
        <f t="shared" ca="1" si="33"/>
        <v/>
      </c>
      <c r="P106" s="312" t="str">
        <f t="shared" ca="1" si="31"/>
        <v/>
      </c>
      <c r="Q106" s="93" t="str">
        <f t="shared" ca="1" si="31"/>
        <v/>
      </c>
      <c r="R106" s="93" t="str">
        <f t="shared" ca="1" si="31"/>
        <v/>
      </c>
      <c r="S106" s="201" t="str">
        <f t="shared" ca="1" si="24"/>
        <v/>
      </c>
      <c r="T106" s="201"/>
      <c r="Z106" s="40" t="e">
        <f t="shared" ca="1" si="25"/>
        <v>#N/A</v>
      </c>
      <c r="AA106" s="310">
        <f t="shared" ca="1" si="26"/>
        <v>999</v>
      </c>
      <c r="AB106" s="40" t="e">
        <f ca="1">IF(ISNUMBER($A106),VLOOKUP('Berechnungen 2'!AI109,Matrix_Empfehlung.Stromkosten.ID.BOText,3,1),"")</f>
        <v>#VALUE!</v>
      </c>
      <c r="AC106" s="40">
        <f t="shared" ca="1" si="32"/>
        <v>999</v>
      </c>
      <c r="AD106" s="40">
        <f t="shared" ca="1" si="32"/>
        <v>94</v>
      </c>
      <c r="AE106" s="311">
        <f t="shared" ca="1" si="29"/>
        <v>0</v>
      </c>
    </row>
    <row r="107" spans="1:31" x14ac:dyDescent="0.2">
      <c r="A107" s="201">
        <f t="shared" ca="1" si="23"/>
        <v>95</v>
      </c>
      <c r="B107" s="193">
        <f t="shared" si="27"/>
        <v>95</v>
      </c>
      <c r="C107" s="192">
        <f ca="1">IF(ISERROR(LARGE('Berechnungen 2'!$E$16:$E$315,B107)),"",LARGE('Berechnungen 2'!$E$16:$E$315,B107))</f>
        <v>206</v>
      </c>
      <c r="D107" s="201" t="str">
        <f t="shared" ca="1" si="33"/>
        <v/>
      </c>
      <c r="E107" s="201" t="str">
        <f t="shared" ca="1" si="33"/>
        <v/>
      </c>
      <c r="F107" s="201" t="str">
        <f t="shared" ca="1" si="33"/>
        <v/>
      </c>
      <c r="G107" s="205" t="str">
        <f t="shared" ca="1" si="33"/>
        <v/>
      </c>
      <c r="H107" s="202" t="str">
        <f t="shared" ca="1" si="33"/>
        <v/>
      </c>
      <c r="I107" s="201" t="str">
        <f t="shared" ca="1" si="33"/>
        <v/>
      </c>
      <c r="J107" s="93" t="str">
        <f t="shared" ca="1" si="33"/>
        <v/>
      </c>
      <c r="K107" s="93" t="str">
        <f t="shared" ca="1" si="33"/>
        <v/>
      </c>
      <c r="L107" s="93" t="str">
        <f t="shared" ca="1" si="33"/>
        <v/>
      </c>
      <c r="M107" s="93" t="str">
        <f t="shared" ca="1" si="33"/>
        <v/>
      </c>
      <c r="N107" s="93" t="str">
        <f t="shared" ca="1" si="33"/>
        <v/>
      </c>
      <c r="O107" s="93" t="str">
        <f t="shared" ca="1" si="33"/>
        <v/>
      </c>
      <c r="P107" s="312" t="str">
        <f t="shared" ca="1" si="31"/>
        <v/>
      </c>
      <c r="Q107" s="93" t="str">
        <f t="shared" ca="1" si="31"/>
        <v/>
      </c>
      <c r="R107" s="93" t="str">
        <f t="shared" ca="1" si="31"/>
        <v/>
      </c>
      <c r="S107" s="201" t="str">
        <f t="shared" ca="1" si="24"/>
        <v/>
      </c>
      <c r="T107" s="201"/>
      <c r="Z107" s="40" t="e">
        <f t="shared" ca="1" si="25"/>
        <v>#N/A</v>
      </c>
      <c r="AA107" s="310">
        <f t="shared" ca="1" si="26"/>
        <v>999</v>
      </c>
      <c r="AB107" s="40" t="e">
        <f ca="1">IF(ISNUMBER($A107),VLOOKUP('Berechnungen 2'!AI110,Matrix_Empfehlung.Stromkosten.ID.BOText,3,1),"")</f>
        <v>#VALUE!</v>
      </c>
      <c r="AC107" s="40">
        <f t="shared" ca="1" si="32"/>
        <v>999</v>
      </c>
      <c r="AD107" s="40">
        <f t="shared" ca="1" si="32"/>
        <v>95</v>
      </c>
      <c r="AE107" s="311">
        <f t="shared" ca="1" si="29"/>
        <v>0</v>
      </c>
    </row>
    <row r="108" spans="1:31" x14ac:dyDescent="0.2">
      <c r="A108" s="201">
        <f t="shared" ca="1" si="23"/>
        <v>96</v>
      </c>
      <c r="B108" s="193">
        <f t="shared" si="27"/>
        <v>96</v>
      </c>
      <c r="C108" s="192">
        <f ca="1">IF(ISERROR(LARGE('Berechnungen 2'!$E$16:$E$315,B108)),"",LARGE('Berechnungen 2'!$E$16:$E$315,B108))</f>
        <v>205</v>
      </c>
      <c r="D108" s="201" t="str">
        <f t="shared" ca="1" si="33"/>
        <v/>
      </c>
      <c r="E108" s="201" t="str">
        <f t="shared" ca="1" si="33"/>
        <v/>
      </c>
      <c r="F108" s="201" t="str">
        <f t="shared" ca="1" si="33"/>
        <v/>
      </c>
      <c r="G108" s="205" t="str">
        <f t="shared" ca="1" si="33"/>
        <v/>
      </c>
      <c r="H108" s="202" t="str">
        <f t="shared" ca="1" si="33"/>
        <v/>
      </c>
      <c r="I108" s="201" t="str">
        <f t="shared" ca="1" si="33"/>
        <v/>
      </c>
      <c r="J108" s="93" t="str">
        <f t="shared" ca="1" si="33"/>
        <v/>
      </c>
      <c r="K108" s="93" t="str">
        <f t="shared" ca="1" si="33"/>
        <v/>
      </c>
      <c r="L108" s="93" t="str">
        <f t="shared" ca="1" si="33"/>
        <v/>
      </c>
      <c r="M108" s="93" t="str">
        <f t="shared" ca="1" si="33"/>
        <v/>
      </c>
      <c r="N108" s="93" t="str">
        <f t="shared" ca="1" si="33"/>
        <v/>
      </c>
      <c r="O108" s="93" t="str">
        <f t="shared" ca="1" si="33"/>
        <v/>
      </c>
      <c r="P108" s="312" t="str">
        <f t="shared" ca="1" si="31"/>
        <v/>
      </c>
      <c r="Q108" s="93" t="str">
        <f t="shared" ca="1" si="31"/>
        <v/>
      </c>
      <c r="R108" s="93" t="str">
        <f t="shared" ca="1" si="31"/>
        <v/>
      </c>
      <c r="S108" s="201" t="str">
        <f t="shared" ca="1" si="24"/>
        <v/>
      </c>
      <c r="T108" s="201"/>
      <c r="Z108" s="40" t="e">
        <f t="shared" ca="1" si="25"/>
        <v>#N/A</v>
      </c>
      <c r="AA108" s="310">
        <f t="shared" ca="1" si="26"/>
        <v>999</v>
      </c>
      <c r="AB108" s="40" t="e">
        <f ca="1">IF(ISNUMBER($A108),VLOOKUP('Berechnungen 2'!AI111,Matrix_Empfehlung.Stromkosten.ID.BOText,3,1),"")</f>
        <v>#VALUE!</v>
      </c>
      <c r="AC108" s="40">
        <f t="shared" ca="1" si="32"/>
        <v>999</v>
      </c>
      <c r="AD108" s="40">
        <f t="shared" ca="1" si="32"/>
        <v>96</v>
      </c>
      <c r="AE108" s="311">
        <f t="shared" ca="1" si="29"/>
        <v>0</v>
      </c>
    </row>
    <row r="109" spans="1:31" x14ac:dyDescent="0.2">
      <c r="A109" s="201">
        <f t="shared" ca="1" si="23"/>
        <v>97</v>
      </c>
      <c r="B109" s="193">
        <f t="shared" si="27"/>
        <v>97</v>
      </c>
      <c r="C109" s="192">
        <f ca="1">IF(ISERROR(LARGE('Berechnungen 2'!$E$16:$E$315,B109)),"",LARGE('Berechnungen 2'!$E$16:$E$315,B109))</f>
        <v>204</v>
      </c>
      <c r="D109" s="201" t="str">
        <f t="shared" ca="1" si="33"/>
        <v/>
      </c>
      <c r="E109" s="201" t="str">
        <f t="shared" ca="1" si="33"/>
        <v/>
      </c>
      <c r="F109" s="201" t="str">
        <f t="shared" ca="1" si="33"/>
        <v/>
      </c>
      <c r="G109" s="205" t="str">
        <f t="shared" ca="1" si="33"/>
        <v/>
      </c>
      <c r="H109" s="202" t="str">
        <f t="shared" ca="1" si="33"/>
        <v/>
      </c>
      <c r="I109" s="201" t="str">
        <f t="shared" ca="1" si="33"/>
        <v/>
      </c>
      <c r="J109" s="93" t="str">
        <f t="shared" ca="1" si="33"/>
        <v/>
      </c>
      <c r="K109" s="93" t="str">
        <f t="shared" ca="1" si="33"/>
        <v/>
      </c>
      <c r="L109" s="93" t="str">
        <f t="shared" ca="1" si="33"/>
        <v/>
      </c>
      <c r="M109" s="93" t="str">
        <f t="shared" ca="1" si="33"/>
        <v/>
      </c>
      <c r="N109" s="93" t="str">
        <f t="shared" ca="1" si="33"/>
        <v/>
      </c>
      <c r="O109" s="93" t="str">
        <f t="shared" ca="1" si="33"/>
        <v/>
      </c>
      <c r="P109" s="312" t="str">
        <f t="shared" ca="1" si="31"/>
        <v/>
      </c>
      <c r="Q109" s="93" t="str">
        <f t="shared" ca="1" si="31"/>
        <v/>
      </c>
      <c r="R109" s="93" t="str">
        <f t="shared" ca="1" si="31"/>
        <v/>
      </c>
      <c r="S109" s="201" t="str">
        <f t="shared" ca="1" si="24"/>
        <v/>
      </c>
      <c r="T109" s="201"/>
      <c r="Z109" s="40" t="e">
        <f t="shared" ca="1" si="25"/>
        <v>#N/A</v>
      </c>
      <c r="AA109" s="310">
        <f t="shared" ca="1" si="26"/>
        <v>999</v>
      </c>
      <c r="AB109" s="40" t="e">
        <f ca="1">IF(ISNUMBER($A109),VLOOKUP('Berechnungen 2'!AI112,Matrix_Empfehlung.Stromkosten.ID.BOText,3,1),"")</f>
        <v>#VALUE!</v>
      </c>
      <c r="AC109" s="40">
        <f t="shared" ca="1" si="32"/>
        <v>999</v>
      </c>
      <c r="AD109" s="40">
        <f t="shared" ca="1" si="32"/>
        <v>97</v>
      </c>
      <c r="AE109" s="311">
        <f t="shared" ca="1" si="29"/>
        <v>0</v>
      </c>
    </row>
    <row r="110" spans="1:31" x14ac:dyDescent="0.2">
      <c r="A110" s="201">
        <f t="shared" ca="1" si="23"/>
        <v>98</v>
      </c>
      <c r="B110" s="193">
        <f t="shared" si="27"/>
        <v>98</v>
      </c>
      <c r="C110" s="192">
        <f ca="1">IF(ISERROR(LARGE('Berechnungen 2'!$E$16:$E$315,B110)),"",LARGE('Berechnungen 2'!$E$16:$E$315,B110))</f>
        <v>203</v>
      </c>
      <c r="D110" s="201" t="str">
        <f t="shared" ca="1" si="33"/>
        <v/>
      </c>
      <c r="E110" s="201" t="str">
        <f t="shared" ca="1" si="33"/>
        <v/>
      </c>
      <c r="F110" s="201" t="str">
        <f t="shared" ca="1" si="33"/>
        <v/>
      </c>
      <c r="G110" s="205" t="str">
        <f t="shared" ca="1" si="33"/>
        <v/>
      </c>
      <c r="H110" s="202" t="str">
        <f t="shared" ca="1" si="33"/>
        <v/>
      </c>
      <c r="I110" s="201" t="str">
        <f t="shared" ca="1" si="33"/>
        <v/>
      </c>
      <c r="J110" s="93" t="str">
        <f t="shared" ca="1" si="33"/>
        <v/>
      </c>
      <c r="K110" s="93" t="str">
        <f t="shared" ca="1" si="33"/>
        <v/>
      </c>
      <c r="L110" s="93" t="str">
        <f t="shared" ca="1" si="33"/>
        <v/>
      </c>
      <c r="M110" s="93" t="str">
        <f t="shared" ca="1" si="33"/>
        <v/>
      </c>
      <c r="N110" s="93" t="str">
        <f t="shared" ca="1" si="33"/>
        <v/>
      </c>
      <c r="O110" s="93" t="str">
        <f t="shared" ca="1" si="33"/>
        <v/>
      </c>
      <c r="P110" s="312" t="str">
        <f t="shared" ca="1" si="31"/>
        <v/>
      </c>
      <c r="Q110" s="93" t="str">
        <f t="shared" ca="1" si="31"/>
        <v/>
      </c>
      <c r="R110" s="93" t="str">
        <f t="shared" ca="1" si="31"/>
        <v/>
      </c>
      <c r="S110" s="201" t="str">
        <f t="shared" ca="1" si="24"/>
        <v/>
      </c>
      <c r="T110" s="201"/>
      <c r="Z110" s="40" t="e">
        <f t="shared" ca="1" si="25"/>
        <v>#N/A</v>
      </c>
      <c r="AA110" s="310">
        <f t="shared" ca="1" si="26"/>
        <v>999</v>
      </c>
      <c r="AB110" s="40" t="e">
        <f ca="1">IF(ISNUMBER($A110),VLOOKUP('Berechnungen 2'!AI113,Matrix_Empfehlung.Stromkosten.ID.BOText,3,1),"")</f>
        <v>#VALUE!</v>
      </c>
      <c r="AC110" s="40">
        <f t="shared" ca="1" si="32"/>
        <v>999</v>
      </c>
      <c r="AD110" s="40">
        <f t="shared" ca="1" si="32"/>
        <v>98</v>
      </c>
      <c r="AE110" s="311">
        <f t="shared" ca="1" si="29"/>
        <v>0</v>
      </c>
    </row>
    <row r="111" spans="1:31" x14ac:dyDescent="0.2">
      <c r="A111" s="201">
        <f t="shared" ca="1" si="23"/>
        <v>99</v>
      </c>
      <c r="B111" s="193">
        <f t="shared" si="27"/>
        <v>99</v>
      </c>
      <c r="C111" s="192">
        <f ca="1">IF(ISERROR(LARGE('Berechnungen 2'!$E$16:$E$315,B111)),"",LARGE('Berechnungen 2'!$E$16:$E$315,B111))</f>
        <v>202</v>
      </c>
      <c r="D111" s="201" t="str">
        <f t="shared" ca="1" si="33"/>
        <v/>
      </c>
      <c r="E111" s="201" t="str">
        <f t="shared" ca="1" si="33"/>
        <v/>
      </c>
      <c r="F111" s="201" t="str">
        <f t="shared" ca="1" si="33"/>
        <v/>
      </c>
      <c r="G111" s="205" t="str">
        <f t="shared" ca="1" si="33"/>
        <v/>
      </c>
      <c r="H111" s="202" t="str">
        <f t="shared" ca="1" si="33"/>
        <v/>
      </c>
      <c r="I111" s="201" t="str">
        <f t="shared" ca="1" si="33"/>
        <v/>
      </c>
      <c r="J111" s="93" t="str">
        <f t="shared" ca="1" si="33"/>
        <v/>
      </c>
      <c r="K111" s="93" t="str">
        <f t="shared" ca="1" si="33"/>
        <v/>
      </c>
      <c r="L111" s="93" t="str">
        <f t="shared" ca="1" si="33"/>
        <v/>
      </c>
      <c r="M111" s="93" t="str">
        <f t="shared" ca="1" si="33"/>
        <v/>
      </c>
      <c r="N111" s="93" t="str">
        <f t="shared" ca="1" si="33"/>
        <v/>
      </c>
      <c r="O111" s="93" t="str">
        <f t="shared" ca="1" si="33"/>
        <v/>
      </c>
      <c r="P111" s="312" t="str">
        <f t="shared" ca="1" si="31"/>
        <v/>
      </c>
      <c r="Q111" s="93" t="str">
        <f t="shared" ca="1" si="31"/>
        <v/>
      </c>
      <c r="R111" s="93" t="str">
        <f t="shared" ca="1" si="31"/>
        <v/>
      </c>
      <c r="S111" s="201" t="str">
        <f t="shared" ca="1" si="24"/>
        <v/>
      </c>
      <c r="T111" s="201"/>
      <c r="Z111" s="40" t="e">
        <f t="shared" ca="1" si="25"/>
        <v>#N/A</v>
      </c>
      <c r="AA111" s="310">
        <f t="shared" ca="1" si="26"/>
        <v>999</v>
      </c>
      <c r="AB111" s="40" t="e">
        <f ca="1">IF(ISNUMBER($A111),VLOOKUP('Berechnungen 2'!AI114,Matrix_Empfehlung.Stromkosten.ID.BOText,3,1),"")</f>
        <v>#VALUE!</v>
      </c>
      <c r="AC111" s="40">
        <f t="shared" ca="1" si="32"/>
        <v>999</v>
      </c>
      <c r="AD111" s="40">
        <f t="shared" ca="1" si="32"/>
        <v>99</v>
      </c>
      <c r="AE111" s="311">
        <f t="shared" ca="1" si="29"/>
        <v>0</v>
      </c>
    </row>
    <row r="112" spans="1:31" x14ac:dyDescent="0.2">
      <c r="A112" s="201">
        <f t="shared" ca="1" si="23"/>
        <v>100</v>
      </c>
      <c r="B112" s="193">
        <f t="shared" si="27"/>
        <v>100</v>
      </c>
      <c r="C112" s="192">
        <f ca="1">IF(ISERROR(LARGE('Berechnungen 2'!$E$16:$E$315,B112)),"",LARGE('Berechnungen 2'!$E$16:$E$315,B112))</f>
        <v>201</v>
      </c>
      <c r="D112" s="201" t="str">
        <f t="shared" ca="1" si="33"/>
        <v/>
      </c>
      <c r="E112" s="201" t="str">
        <f t="shared" ca="1" si="33"/>
        <v/>
      </c>
      <c r="F112" s="201" t="str">
        <f t="shared" ca="1" si="33"/>
        <v/>
      </c>
      <c r="G112" s="205" t="str">
        <f t="shared" ca="1" si="33"/>
        <v/>
      </c>
      <c r="H112" s="202" t="str">
        <f t="shared" ca="1" si="33"/>
        <v/>
      </c>
      <c r="I112" s="201" t="str">
        <f t="shared" ca="1" si="33"/>
        <v/>
      </c>
      <c r="J112" s="93" t="str">
        <f t="shared" ca="1" si="33"/>
        <v/>
      </c>
      <c r="K112" s="93" t="str">
        <f t="shared" ca="1" si="33"/>
        <v/>
      </c>
      <c r="L112" s="93" t="str">
        <f t="shared" ca="1" si="33"/>
        <v/>
      </c>
      <c r="M112" s="93" t="str">
        <f t="shared" ca="1" si="33"/>
        <v/>
      </c>
      <c r="N112" s="93" t="str">
        <f t="shared" ca="1" si="33"/>
        <v/>
      </c>
      <c r="O112" s="93" t="str">
        <f t="shared" ca="1" si="33"/>
        <v/>
      </c>
      <c r="P112" s="312" t="str">
        <f t="shared" ca="1" si="31"/>
        <v/>
      </c>
      <c r="Q112" s="93" t="str">
        <f t="shared" ca="1" si="31"/>
        <v/>
      </c>
      <c r="R112" s="93" t="str">
        <f t="shared" ca="1" si="31"/>
        <v/>
      </c>
      <c r="S112" s="201" t="str">
        <f t="shared" ca="1" si="24"/>
        <v/>
      </c>
      <c r="T112" s="201"/>
      <c r="Z112" s="40" t="e">
        <f t="shared" ca="1" si="25"/>
        <v>#N/A</v>
      </c>
      <c r="AA112" s="310">
        <f t="shared" ca="1" si="26"/>
        <v>999</v>
      </c>
      <c r="AB112" s="40" t="e">
        <f ca="1">IF(ISNUMBER($A112),VLOOKUP('Berechnungen 2'!AI115,Matrix_Empfehlung.Stromkosten.ID.BOText,3,1),"")</f>
        <v>#VALUE!</v>
      </c>
      <c r="AC112" s="40">
        <f t="shared" ca="1" si="32"/>
        <v>999</v>
      </c>
      <c r="AD112" s="40">
        <f t="shared" ca="1" si="32"/>
        <v>100</v>
      </c>
      <c r="AE112" s="311">
        <f t="shared" ca="1" si="29"/>
        <v>0</v>
      </c>
    </row>
    <row r="113" spans="1:31" x14ac:dyDescent="0.2">
      <c r="A113" s="201">
        <f t="shared" ca="1" si="23"/>
        <v>101</v>
      </c>
      <c r="B113" s="193">
        <f t="shared" si="27"/>
        <v>101</v>
      </c>
      <c r="C113" s="192">
        <f ca="1">IF(ISERROR(LARGE('Berechnungen 2'!$E$16:$E$315,B113)),"",LARGE('Berechnungen 2'!$E$16:$E$315,B113))</f>
        <v>200</v>
      </c>
      <c r="D113" s="201" t="str">
        <f t="shared" ref="D113:O122" ca="1" si="34">IF($AC113&gt;0,VLOOKUP($C113,Matrix_Berechnungen2.Rang.Pumpendaten.Endresultate,D$9,0),"")</f>
        <v/>
      </c>
      <c r="E113" s="201" t="str">
        <f t="shared" ca="1" si="34"/>
        <v/>
      </c>
      <c r="F113" s="201" t="str">
        <f t="shared" ca="1" si="34"/>
        <v/>
      </c>
      <c r="G113" s="205" t="str">
        <f t="shared" ca="1" si="34"/>
        <v/>
      </c>
      <c r="H113" s="202" t="str">
        <f t="shared" ca="1" si="34"/>
        <v/>
      </c>
      <c r="I113" s="201" t="str">
        <f t="shared" ca="1" si="34"/>
        <v/>
      </c>
      <c r="J113" s="93" t="str">
        <f t="shared" ca="1" si="34"/>
        <v/>
      </c>
      <c r="K113" s="93" t="str">
        <f t="shared" ca="1" si="34"/>
        <v/>
      </c>
      <c r="L113" s="93" t="str">
        <f t="shared" ca="1" si="34"/>
        <v/>
      </c>
      <c r="M113" s="93" t="str">
        <f t="shared" ca="1" si="34"/>
        <v/>
      </c>
      <c r="N113" s="93" t="str">
        <f t="shared" ca="1" si="34"/>
        <v/>
      </c>
      <c r="O113" s="93" t="str">
        <f t="shared" ca="1" si="34"/>
        <v/>
      </c>
      <c r="P113" s="312" t="str">
        <f t="shared" ref="P113:R132" ca="1" si="35">IF(AND($AC113&gt;0,$AC113&lt;&gt;999),VLOOKUP($C113,Matrix_Berechnungen2.Rang.Pumpendaten.Endresultate,P$9,0),"")</f>
        <v/>
      </c>
      <c r="Q113" s="93" t="str">
        <f t="shared" ca="1" si="35"/>
        <v/>
      </c>
      <c r="R113" s="93" t="str">
        <f t="shared" ca="1" si="35"/>
        <v/>
      </c>
      <c r="S113" s="201" t="str">
        <f t="shared" ca="1" si="24"/>
        <v/>
      </c>
      <c r="T113" s="201"/>
      <c r="Z113" s="40" t="e">
        <f t="shared" ca="1" si="25"/>
        <v>#N/A</v>
      </c>
      <c r="AA113" s="310">
        <f t="shared" ca="1" si="26"/>
        <v>999</v>
      </c>
      <c r="AB113" s="40" t="e">
        <f ca="1">IF(ISNUMBER($A113),VLOOKUP('Berechnungen 2'!AI116,Matrix_Empfehlung.Stromkosten.ID.BOText,3,1),"")</f>
        <v>#VALUE!</v>
      </c>
      <c r="AC113" s="40">
        <f t="shared" ref="AC113:AD132" ca="1" si="36">IF(VLOOKUP($C113,Matrix_Berechnungen2.Rang.Pumpendaten.Endresultate,$C$9,0)&gt;0,VLOOKUP($C113,Matrix_Berechnungen2.Rang.Pumpendaten.Endresultate,AC$9,0),"")</f>
        <v>999</v>
      </c>
      <c r="AD113" s="40">
        <f t="shared" ca="1" si="36"/>
        <v>101</v>
      </c>
      <c r="AE113" s="311">
        <f t="shared" ca="1" si="29"/>
        <v>0</v>
      </c>
    </row>
    <row r="114" spans="1:31" x14ac:dyDescent="0.2">
      <c r="A114" s="201">
        <f t="shared" ca="1" si="23"/>
        <v>102</v>
      </c>
      <c r="B114" s="193">
        <f t="shared" si="27"/>
        <v>102</v>
      </c>
      <c r="C114" s="192">
        <f ca="1">IF(ISERROR(LARGE('Berechnungen 2'!$E$16:$E$315,B114)),"",LARGE('Berechnungen 2'!$E$16:$E$315,B114))</f>
        <v>199</v>
      </c>
      <c r="D114" s="201" t="str">
        <f t="shared" ca="1" si="34"/>
        <v/>
      </c>
      <c r="E114" s="201" t="str">
        <f t="shared" ca="1" si="34"/>
        <v/>
      </c>
      <c r="F114" s="201" t="str">
        <f t="shared" ca="1" si="34"/>
        <v/>
      </c>
      <c r="G114" s="205" t="str">
        <f t="shared" ca="1" si="34"/>
        <v/>
      </c>
      <c r="H114" s="202" t="str">
        <f t="shared" ca="1" si="34"/>
        <v/>
      </c>
      <c r="I114" s="201" t="str">
        <f t="shared" ca="1" si="34"/>
        <v/>
      </c>
      <c r="J114" s="93" t="str">
        <f t="shared" ca="1" si="34"/>
        <v/>
      </c>
      <c r="K114" s="93" t="str">
        <f t="shared" ca="1" si="34"/>
        <v/>
      </c>
      <c r="L114" s="93" t="str">
        <f t="shared" ca="1" si="34"/>
        <v/>
      </c>
      <c r="M114" s="93" t="str">
        <f t="shared" ca="1" si="34"/>
        <v/>
      </c>
      <c r="N114" s="93" t="str">
        <f t="shared" ca="1" si="34"/>
        <v/>
      </c>
      <c r="O114" s="93" t="str">
        <f t="shared" ca="1" si="34"/>
        <v/>
      </c>
      <c r="P114" s="312" t="str">
        <f t="shared" ca="1" si="35"/>
        <v/>
      </c>
      <c r="Q114" s="93" t="str">
        <f t="shared" ca="1" si="35"/>
        <v/>
      </c>
      <c r="R114" s="93" t="str">
        <f t="shared" ca="1" si="35"/>
        <v/>
      </c>
      <c r="S114" s="201" t="str">
        <f t="shared" ca="1" si="24"/>
        <v/>
      </c>
      <c r="T114" s="201"/>
      <c r="Z114" s="40" t="e">
        <f t="shared" ca="1" si="25"/>
        <v>#N/A</v>
      </c>
      <c r="AA114" s="310">
        <f t="shared" ca="1" si="26"/>
        <v>999</v>
      </c>
      <c r="AB114" s="40" t="e">
        <f ca="1">IF(ISNUMBER($A114),VLOOKUP('Berechnungen 2'!AI117,Matrix_Empfehlung.Stromkosten.ID.BOText,3,1),"")</f>
        <v>#VALUE!</v>
      </c>
      <c r="AC114" s="40">
        <f t="shared" ca="1" si="36"/>
        <v>999</v>
      </c>
      <c r="AD114" s="40">
        <f t="shared" ca="1" si="36"/>
        <v>102</v>
      </c>
      <c r="AE114" s="311">
        <f t="shared" ca="1" si="29"/>
        <v>0</v>
      </c>
    </row>
    <row r="115" spans="1:31" x14ac:dyDescent="0.2">
      <c r="A115" s="201">
        <f t="shared" ca="1" si="23"/>
        <v>103</v>
      </c>
      <c r="B115" s="193">
        <f t="shared" si="27"/>
        <v>103</v>
      </c>
      <c r="C115" s="192">
        <f ca="1">IF(ISERROR(LARGE('Berechnungen 2'!$E$16:$E$315,B115)),"",LARGE('Berechnungen 2'!$E$16:$E$315,B115))</f>
        <v>198</v>
      </c>
      <c r="D115" s="201" t="str">
        <f t="shared" ca="1" si="34"/>
        <v/>
      </c>
      <c r="E115" s="201" t="str">
        <f t="shared" ca="1" si="34"/>
        <v/>
      </c>
      <c r="F115" s="201" t="str">
        <f t="shared" ca="1" si="34"/>
        <v/>
      </c>
      <c r="G115" s="205" t="str">
        <f t="shared" ca="1" si="34"/>
        <v/>
      </c>
      <c r="H115" s="202" t="str">
        <f t="shared" ca="1" si="34"/>
        <v/>
      </c>
      <c r="I115" s="201" t="str">
        <f t="shared" ca="1" si="34"/>
        <v/>
      </c>
      <c r="J115" s="93" t="str">
        <f t="shared" ca="1" si="34"/>
        <v/>
      </c>
      <c r="K115" s="93" t="str">
        <f t="shared" ca="1" si="34"/>
        <v/>
      </c>
      <c r="L115" s="93" t="str">
        <f t="shared" ca="1" si="34"/>
        <v/>
      </c>
      <c r="M115" s="93" t="str">
        <f t="shared" ca="1" si="34"/>
        <v/>
      </c>
      <c r="N115" s="93" t="str">
        <f t="shared" ca="1" si="34"/>
        <v/>
      </c>
      <c r="O115" s="93" t="str">
        <f t="shared" ca="1" si="34"/>
        <v/>
      </c>
      <c r="P115" s="312" t="str">
        <f t="shared" ca="1" si="35"/>
        <v/>
      </c>
      <c r="Q115" s="93" t="str">
        <f t="shared" ca="1" si="35"/>
        <v/>
      </c>
      <c r="R115" s="93" t="str">
        <f t="shared" ca="1" si="35"/>
        <v/>
      </c>
      <c r="S115" s="201" t="str">
        <f t="shared" ca="1" si="24"/>
        <v/>
      </c>
      <c r="T115" s="201"/>
      <c r="Z115" s="40" t="e">
        <f t="shared" ca="1" si="25"/>
        <v>#N/A</v>
      </c>
      <c r="AA115" s="310">
        <f t="shared" ca="1" si="26"/>
        <v>999</v>
      </c>
      <c r="AB115" s="40" t="e">
        <f ca="1">IF(ISNUMBER($A115),VLOOKUP('Berechnungen 2'!AI118,Matrix_Empfehlung.Stromkosten.ID.BOText,3,1),"")</f>
        <v>#VALUE!</v>
      </c>
      <c r="AC115" s="40">
        <f t="shared" ca="1" si="36"/>
        <v>999</v>
      </c>
      <c r="AD115" s="40">
        <f t="shared" ca="1" si="36"/>
        <v>103</v>
      </c>
      <c r="AE115" s="311">
        <f t="shared" ca="1" si="29"/>
        <v>0</v>
      </c>
    </row>
    <row r="116" spans="1:31" x14ac:dyDescent="0.2">
      <c r="A116" s="201">
        <f t="shared" ca="1" si="23"/>
        <v>104</v>
      </c>
      <c r="B116" s="193">
        <f t="shared" si="27"/>
        <v>104</v>
      </c>
      <c r="C116" s="192">
        <f ca="1">IF(ISERROR(LARGE('Berechnungen 2'!$E$16:$E$315,B116)),"",LARGE('Berechnungen 2'!$E$16:$E$315,B116))</f>
        <v>197</v>
      </c>
      <c r="D116" s="201" t="str">
        <f t="shared" ca="1" si="34"/>
        <v/>
      </c>
      <c r="E116" s="201" t="str">
        <f t="shared" ca="1" si="34"/>
        <v/>
      </c>
      <c r="F116" s="201" t="str">
        <f t="shared" ca="1" si="34"/>
        <v/>
      </c>
      <c r="G116" s="205" t="str">
        <f t="shared" ca="1" si="34"/>
        <v/>
      </c>
      <c r="H116" s="202" t="str">
        <f t="shared" ca="1" si="34"/>
        <v/>
      </c>
      <c r="I116" s="201" t="str">
        <f t="shared" ca="1" si="34"/>
        <v/>
      </c>
      <c r="J116" s="93" t="str">
        <f t="shared" ca="1" si="34"/>
        <v/>
      </c>
      <c r="K116" s="93" t="str">
        <f t="shared" ca="1" si="34"/>
        <v/>
      </c>
      <c r="L116" s="93" t="str">
        <f t="shared" ca="1" si="34"/>
        <v/>
      </c>
      <c r="M116" s="93" t="str">
        <f t="shared" ca="1" si="34"/>
        <v/>
      </c>
      <c r="N116" s="93" t="str">
        <f t="shared" ca="1" si="34"/>
        <v/>
      </c>
      <c r="O116" s="93" t="str">
        <f t="shared" ca="1" si="34"/>
        <v/>
      </c>
      <c r="P116" s="312" t="str">
        <f t="shared" ca="1" si="35"/>
        <v/>
      </c>
      <c r="Q116" s="93" t="str">
        <f t="shared" ca="1" si="35"/>
        <v/>
      </c>
      <c r="R116" s="93" t="str">
        <f t="shared" ca="1" si="35"/>
        <v/>
      </c>
      <c r="S116" s="201" t="str">
        <f t="shared" ca="1" si="24"/>
        <v/>
      </c>
      <c r="T116" s="201"/>
      <c r="Z116" s="40" t="e">
        <f t="shared" ca="1" si="25"/>
        <v>#N/A</v>
      </c>
      <c r="AA116" s="310">
        <f t="shared" ca="1" si="26"/>
        <v>999</v>
      </c>
      <c r="AB116" s="40" t="e">
        <f ca="1">IF(ISNUMBER($A116),VLOOKUP('Berechnungen 2'!AI119,Matrix_Empfehlung.Stromkosten.ID.BOText,3,1),"")</f>
        <v>#VALUE!</v>
      </c>
      <c r="AC116" s="40">
        <f t="shared" ca="1" si="36"/>
        <v>999</v>
      </c>
      <c r="AD116" s="40">
        <f t="shared" ca="1" si="36"/>
        <v>104</v>
      </c>
      <c r="AE116" s="311">
        <f t="shared" ca="1" si="29"/>
        <v>0</v>
      </c>
    </row>
    <row r="117" spans="1:31" x14ac:dyDescent="0.2">
      <c r="A117" s="201">
        <f t="shared" ca="1" si="23"/>
        <v>105</v>
      </c>
      <c r="B117" s="193">
        <f t="shared" si="27"/>
        <v>105</v>
      </c>
      <c r="C117" s="192">
        <f ca="1">IF(ISERROR(LARGE('Berechnungen 2'!$E$16:$E$315,B117)),"",LARGE('Berechnungen 2'!$E$16:$E$315,B117))</f>
        <v>196</v>
      </c>
      <c r="D117" s="201" t="str">
        <f t="shared" ca="1" si="34"/>
        <v/>
      </c>
      <c r="E117" s="201" t="str">
        <f t="shared" ca="1" si="34"/>
        <v/>
      </c>
      <c r="F117" s="201" t="str">
        <f t="shared" ca="1" si="34"/>
        <v/>
      </c>
      <c r="G117" s="205" t="str">
        <f t="shared" ca="1" si="34"/>
        <v/>
      </c>
      <c r="H117" s="202" t="str">
        <f t="shared" ca="1" si="34"/>
        <v/>
      </c>
      <c r="I117" s="201" t="str">
        <f t="shared" ca="1" si="34"/>
        <v/>
      </c>
      <c r="J117" s="93" t="str">
        <f t="shared" ca="1" si="34"/>
        <v/>
      </c>
      <c r="K117" s="93" t="str">
        <f t="shared" ca="1" si="34"/>
        <v/>
      </c>
      <c r="L117" s="93" t="str">
        <f t="shared" ca="1" si="34"/>
        <v/>
      </c>
      <c r="M117" s="93" t="str">
        <f t="shared" ca="1" si="34"/>
        <v/>
      </c>
      <c r="N117" s="93" t="str">
        <f t="shared" ca="1" si="34"/>
        <v/>
      </c>
      <c r="O117" s="93" t="str">
        <f t="shared" ca="1" si="34"/>
        <v/>
      </c>
      <c r="P117" s="312" t="str">
        <f t="shared" ca="1" si="35"/>
        <v/>
      </c>
      <c r="Q117" s="93" t="str">
        <f t="shared" ca="1" si="35"/>
        <v/>
      </c>
      <c r="R117" s="93" t="str">
        <f t="shared" ca="1" si="35"/>
        <v/>
      </c>
      <c r="S117" s="201" t="str">
        <f t="shared" ca="1" si="24"/>
        <v/>
      </c>
      <c r="T117" s="201"/>
      <c r="Z117" s="40" t="e">
        <f t="shared" ca="1" si="25"/>
        <v>#N/A</v>
      </c>
      <c r="AA117" s="310">
        <f t="shared" ca="1" si="26"/>
        <v>999</v>
      </c>
      <c r="AB117" s="40" t="e">
        <f ca="1">IF(ISNUMBER($A117),VLOOKUP('Berechnungen 2'!AI120,Matrix_Empfehlung.Stromkosten.ID.BOText,3,1),"")</f>
        <v>#VALUE!</v>
      </c>
      <c r="AC117" s="40">
        <f t="shared" ca="1" si="36"/>
        <v>999</v>
      </c>
      <c r="AD117" s="40">
        <f t="shared" ca="1" si="36"/>
        <v>105</v>
      </c>
      <c r="AE117" s="311">
        <f t="shared" ca="1" si="29"/>
        <v>0</v>
      </c>
    </row>
    <row r="118" spans="1:31" x14ac:dyDescent="0.2">
      <c r="A118" s="201">
        <f t="shared" ca="1" si="23"/>
        <v>106</v>
      </c>
      <c r="B118" s="193">
        <f t="shared" si="27"/>
        <v>106</v>
      </c>
      <c r="C118" s="192">
        <f ca="1">IF(ISERROR(LARGE('Berechnungen 2'!$E$16:$E$315,B118)),"",LARGE('Berechnungen 2'!$E$16:$E$315,B118))</f>
        <v>195</v>
      </c>
      <c r="D118" s="201" t="str">
        <f t="shared" ca="1" si="34"/>
        <v/>
      </c>
      <c r="E118" s="201" t="str">
        <f t="shared" ca="1" si="34"/>
        <v/>
      </c>
      <c r="F118" s="201" t="str">
        <f t="shared" ca="1" si="34"/>
        <v/>
      </c>
      <c r="G118" s="205" t="str">
        <f t="shared" ca="1" si="34"/>
        <v/>
      </c>
      <c r="H118" s="202" t="str">
        <f t="shared" ca="1" si="34"/>
        <v/>
      </c>
      <c r="I118" s="201" t="str">
        <f t="shared" ca="1" si="34"/>
        <v/>
      </c>
      <c r="J118" s="93" t="str">
        <f t="shared" ca="1" si="34"/>
        <v/>
      </c>
      <c r="K118" s="93" t="str">
        <f t="shared" ca="1" si="34"/>
        <v/>
      </c>
      <c r="L118" s="93" t="str">
        <f t="shared" ca="1" si="34"/>
        <v/>
      </c>
      <c r="M118" s="93" t="str">
        <f t="shared" ca="1" si="34"/>
        <v/>
      </c>
      <c r="N118" s="93" t="str">
        <f t="shared" ca="1" si="34"/>
        <v/>
      </c>
      <c r="O118" s="93" t="str">
        <f t="shared" ca="1" si="34"/>
        <v/>
      </c>
      <c r="P118" s="312" t="str">
        <f t="shared" ca="1" si="35"/>
        <v/>
      </c>
      <c r="Q118" s="93" t="str">
        <f t="shared" ca="1" si="35"/>
        <v/>
      </c>
      <c r="R118" s="93" t="str">
        <f t="shared" ca="1" si="35"/>
        <v/>
      </c>
      <c r="S118" s="201" t="str">
        <f t="shared" ca="1" si="24"/>
        <v/>
      </c>
      <c r="T118" s="201"/>
      <c r="Z118" s="40" t="e">
        <f t="shared" ca="1" si="25"/>
        <v>#N/A</v>
      </c>
      <c r="AA118" s="310">
        <f t="shared" ca="1" si="26"/>
        <v>999</v>
      </c>
      <c r="AB118" s="40" t="e">
        <f ca="1">IF(ISNUMBER($A118),VLOOKUP('Berechnungen 2'!AI121,Matrix_Empfehlung.Stromkosten.ID.BOText,3,1),"")</f>
        <v>#VALUE!</v>
      </c>
      <c r="AC118" s="40">
        <f t="shared" ca="1" si="36"/>
        <v>999</v>
      </c>
      <c r="AD118" s="40">
        <f t="shared" ca="1" si="36"/>
        <v>106</v>
      </c>
      <c r="AE118" s="311">
        <f t="shared" ca="1" si="29"/>
        <v>0</v>
      </c>
    </row>
    <row r="119" spans="1:31" x14ac:dyDescent="0.2">
      <c r="A119" s="201">
        <f t="shared" ca="1" si="23"/>
        <v>107</v>
      </c>
      <c r="B119" s="193">
        <f t="shared" si="27"/>
        <v>107</v>
      </c>
      <c r="C119" s="192">
        <f ca="1">IF(ISERROR(LARGE('Berechnungen 2'!$E$16:$E$315,B119)),"",LARGE('Berechnungen 2'!$E$16:$E$315,B119))</f>
        <v>194</v>
      </c>
      <c r="D119" s="201" t="str">
        <f t="shared" ca="1" si="34"/>
        <v/>
      </c>
      <c r="E119" s="201" t="str">
        <f t="shared" ca="1" si="34"/>
        <v/>
      </c>
      <c r="F119" s="201" t="str">
        <f t="shared" ca="1" si="34"/>
        <v/>
      </c>
      <c r="G119" s="205" t="str">
        <f t="shared" ca="1" si="34"/>
        <v/>
      </c>
      <c r="H119" s="202" t="str">
        <f t="shared" ca="1" si="34"/>
        <v/>
      </c>
      <c r="I119" s="201" t="str">
        <f t="shared" ca="1" si="34"/>
        <v/>
      </c>
      <c r="J119" s="93" t="str">
        <f t="shared" ca="1" si="34"/>
        <v/>
      </c>
      <c r="K119" s="93" t="str">
        <f t="shared" ca="1" si="34"/>
        <v/>
      </c>
      <c r="L119" s="93" t="str">
        <f t="shared" ca="1" si="34"/>
        <v/>
      </c>
      <c r="M119" s="93" t="str">
        <f t="shared" ca="1" si="34"/>
        <v/>
      </c>
      <c r="N119" s="93" t="str">
        <f t="shared" ca="1" si="34"/>
        <v/>
      </c>
      <c r="O119" s="93" t="str">
        <f t="shared" ca="1" si="34"/>
        <v/>
      </c>
      <c r="P119" s="312" t="str">
        <f t="shared" ca="1" si="35"/>
        <v/>
      </c>
      <c r="Q119" s="93" t="str">
        <f t="shared" ca="1" si="35"/>
        <v/>
      </c>
      <c r="R119" s="93" t="str">
        <f t="shared" ca="1" si="35"/>
        <v/>
      </c>
      <c r="S119" s="201" t="str">
        <f t="shared" ca="1" si="24"/>
        <v/>
      </c>
      <c r="T119" s="201"/>
      <c r="Z119" s="40" t="e">
        <f t="shared" ca="1" si="25"/>
        <v>#N/A</v>
      </c>
      <c r="AA119" s="310">
        <f t="shared" ca="1" si="26"/>
        <v>999</v>
      </c>
      <c r="AB119" s="40" t="e">
        <f ca="1">IF(ISNUMBER($A119),VLOOKUP('Berechnungen 2'!AI122,Matrix_Empfehlung.Stromkosten.ID.BOText,3,1),"")</f>
        <v>#VALUE!</v>
      </c>
      <c r="AC119" s="40">
        <f t="shared" ca="1" si="36"/>
        <v>999</v>
      </c>
      <c r="AD119" s="40">
        <f t="shared" ca="1" si="36"/>
        <v>107</v>
      </c>
      <c r="AE119" s="311">
        <f t="shared" ca="1" si="29"/>
        <v>0</v>
      </c>
    </row>
    <row r="120" spans="1:31" x14ac:dyDescent="0.2">
      <c r="A120" s="201">
        <f t="shared" ca="1" si="23"/>
        <v>108</v>
      </c>
      <c r="B120" s="193">
        <f t="shared" si="27"/>
        <v>108</v>
      </c>
      <c r="C120" s="192">
        <f ca="1">IF(ISERROR(LARGE('Berechnungen 2'!$E$16:$E$315,B120)),"",LARGE('Berechnungen 2'!$E$16:$E$315,B120))</f>
        <v>193</v>
      </c>
      <c r="D120" s="201" t="str">
        <f t="shared" ca="1" si="34"/>
        <v/>
      </c>
      <c r="E120" s="201" t="str">
        <f t="shared" ca="1" si="34"/>
        <v/>
      </c>
      <c r="F120" s="201" t="str">
        <f t="shared" ca="1" si="34"/>
        <v/>
      </c>
      <c r="G120" s="205" t="str">
        <f t="shared" ca="1" si="34"/>
        <v/>
      </c>
      <c r="H120" s="202" t="str">
        <f t="shared" ca="1" si="34"/>
        <v/>
      </c>
      <c r="I120" s="201" t="str">
        <f t="shared" ca="1" si="34"/>
        <v/>
      </c>
      <c r="J120" s="93" t="str">
        <f t="shared" ca="1" si="34"/>
        <v/>
      </c>
      <c r="K120" s="93" t="str">
        <f t="shared" ca="1" si="34"/>
        <v/>
      </c>
      <c r="L120" s="93" t="str">
        <f t="shared" ca="1" si="34"/>
        <v/>
      </c>
      <c r="M120" s="93" t="str">
        <f t="shared" ca="1" si="34"/>
        <v/>
      </c>
      <c r="N120" s="93" t="str">
        <f t="shared" ca="1" si="34"/>
        <v/>
      </c>
      <c r="O120" s="93" t="str">
        <f t="shared" ca="1" si="34"/>
        <v/>
      </c>
      <c r="P120" s="312" t="str">
        <f t="shared" ca="1" si="35"/>
        <v/>
      </c>
      <c r="Q120" s="93" t="str">
        <f t="shared" ca="1" si="35"/>
        <v/>
      </c>
      <c r="R120" s="93" t="str">
        <f t="shared" ca="1" si="35"/>
        <v/>
      </c>
      <c r="S120" s="201" t="str">
        <f t="shared" ca="1" si="24"/>
        <v/>
      </c>
      <c r="T120" s="201"/>
      <c r="Z120" s="40" t="e">
        <f t="shared" ca="1" si="25"/>
        <v>#N/A</v>
      </c>
      <c r="AA120" s="310">
        <f t="shared" ca="1" si="26"/>
        <v>999</v>
      </c>
      <c r="AB120" s="40" t="e">
        <f ca="1">IF(ISNUMBER($A120),VLOOKUP('Berechnungen 2'!AI123,Matrix_Empfehlung.Stromkosten.ID.BOText,3,1),"")</f>
        <v>#VALUE!</v>
      </c>
      <c r="AC120" s="40">
        <f t="shared" ca="1" si="36"/>
        <v>999</v>
      </c>
      <c r="AD120" s="40">
        <f t="shared" ca="1" si="36"/>
        <v>108</v>
      </c>
      <c r="AE120" s="311">
        <f t="shared" ca="1" si="29"/>
        <v>0</v>
      </c>
    </row>
    <row r="121" spans="1:31" x14ac:dyDescent="0.2">
      <c r="A121" s="201">
        <f t="shared" ca="1" si="23"/>
        <v>109</v>
      </c>
      <c r="B121" s="193">
        <f t="shared" si="27"/>
        <v>109</v>
      </c>
      <c r="C121" s="192">
        <f ca="1">IF(ISERROR(LARGE('Berechnungen 2'!$E$16:$E$315,B121)),"",LARGE('Berechnungen 2'!$E$16:$E$315,B121))</f>
        <v>192</v>
      </c>
      <c r="D121" s="201" t="str">
        <f t="shared" ca="1" si="34"/>
        <v/>
      </c>
      <c r="E121" s="201" t="str">
        <f t="shared" ca="1" si="34"/>
        <v/>
      </c>
      <c r="F121" s="201" t="str">
        <f t="shared" ca="1" si="34"/>
        <v/>
      </c>
      <c r="G121" s="205" t="str">
        <f t="shared" ca="1" si="34"/>
        <v/>
      </c>
      <c r="H121" s="202" t="str">
        <f t="shared" ca="1" si="34"/>
        <v/>
      </c>
      <c r="I121" s="201" t="str">
        <f t="shared" ca="1" si="34"/>
        <v/>
      </c>
      <c r="J121" s="93" t="str">
        <f t="shared" ca="1" si="34"/>
        <v/>
      </c>
      <c r="K121" s="93" t="str">
        <f t="shared" ca="1" si="34"/>
        <v/>
      </c>
      <c r="L121" s="93" t="str">
        <f t="shared" ca="1" si="34"/>
        <v/>
      </c>
      <c r="M121" s="93" t="str">
        <f t="shared" ca="1" si="34"/>
        <v/>
      </c>
      <c r="N121" s="93" t="str">
        <f t="shared" ca="1" si="34"/>
        <v/>
      </c>
      <c r="O121" s="93" t="str">
        <f t="shared" ca="1" si="34"/>
        <v/>
      </c>
      <c r="P121" s="312" t="str">
        <f t="shared" ca="1" si="35"/>
        <v/>
      </c>
      <c r="Q121" s="93" t="str">
        <f t="shared" ca="1" si="35"/>
        <v/>
      </c>
      <c r="R121" s="93" t="str">
        <f t="shared" ca="1" si="35"/>
        <v/>
      </c>
      <c r="S121" s="201" t="str">
        <f t="shared" ca="1" si="24"/>
        <v/>
      </c>
      <c r="T121" s="201"/>
      <c r="Z121" s="40" t="e">
        <f t="shared" ca="1" si="25"/>
        <v>#N/A</v>
      </c>
      <c r="AA121" s="310">
        <f t="shared" ca="1" si="26"/>
        <v>999</v>
      </c>
      <c r="AB121" s="40" t="e">
        <f ca="1">IF(ISNUMBER($A121),VLOOKUP('Berechnungen 2'!AI124,Matrix_Empfehlung.Stromkosten.ID.BOText,3,1),"")</f>
        <v>#VALUE!</v>
      </c>
      <c r="AC121" s="40">
        <f t="shared" ca="1" si="36"/>
        <v>999</v>
      </c>
      <c r="AD121" s="40">
        <f t="shared" ca="1" si="36"/>
        <v>109</v>
      </c>
      <c r="AE121" s="311">
        <f t="shared" ca="1" si="29"/>
        <v>0</v>
      </c>
    </row>
    <row r="122" spans="1:31" x14ac:dyDescent="0.2">
      <c r="A122" s="201">
        <f t="shared" ca="1" si="23"/>
        <v>110</v>
      </c>
      <c r="B122" s="193">
        <f t="shared" si="27"/>
        <v>110</v>
      </c>
      <c r="C122" s="192">
        <f ca="1">IF(ISERROR(LARGE('Berechnungen 2'!$E$16:$E$315,B122)),"",LARGE('Berechnungen 2'!$E$16:$E$315,B122))</f>
        <v>191</v>
      </c>
      <c r="D122" s="201" t="str">
        <f t="shared" ca="1" si="34"/>
        <v/>
      </c>
      <c r="E122" s="201" t="str">
        <f t="shared" ca="1" si="34"/>
        <v/>
      </c>
      <c r="F122" s="201" t="str">
        <f t="shared" ca="1" si="34"/>
        <v/>
      </c>
      <c r="G122" s="205" t="str">
        <f t="shared" ca="1" si="34"/>
        <v/>
      </c>
      <c r="H122" s="202" t="str">
        <f t="shared" ca="1" si="34"/>
        <v/>
      </c>
      <c r="I122" s="201" t="str">
        <f t="shared" ca="1" si="34"/>
        <v/>
      </c>
      <c r="J122" s="93" t="str">
        <f t="shared" ca="1" si="34"/>
        <v/>
      </c>
      <c r="K122" s="93" t="str">
        <f t="shared" ca="1" si="34"/>
        <v/>
      </c>
      <c r="L122" s="93" t="str">
        <f t="shared" ca="1" si="34"/>
        <v/>
      </c>
      <c r="M122" s="93" t="str">
        <f t="shared" ca="1" si="34"/>
        <v/>
      </c>
      <c r="N122" s="93" t="str">
        <f t="shared" ca="1" si="34"/>
        <v/>
      </c>
      <c r="O122" s="93" t="str">
        <f t="shared" ca="1" si="34"/>
        <v/>
      </c>
      <c r="P122" s="312" t="str">
        <f t="shared" ca="1" si="35"/>
        <v/>
      </c>
      <c r="Q122" s="93" t="str">
        <f t="shared" ca="1" si="35"/>
        <v/>
      </c>
      <c r="R122" s="93" t="str">
        <f t="shared" ca="1" si="35"/>
        <v/>
      </c>
      <c r="S122" s="201" t="str">
        <f t="shared" ca="1" si="24"/>
        <v/>
      </c>
      <c r="T122" s="201"/>
      <c r="Z122" s="40" t="e">
        <f t="shared" ca="1" si="25"/>
        <v>#N/A</v>
      </c>
      <c r="AA122" s="310">
        <f t="shared" ca="1" si="26"/>
        <v>999</v>
      </c>
      <c r="AB122" s="40" t="e">
        <f ca="1">IF(ISNUMBER($A122),VLOOKUP('Berechnungen 2'!AI125,Matrix_Empfehlung.Stromkosten.ID.BOText,3,1),"")</f>
        <v>#VALUE!</v>
      </c>
      <c r="AC122" s="40">
        <f t="shared" ca="1" si="36"/>
        <v>999</v>
      </c>
      <c r="AD122" s="40">
        <f t="shared" ca="1" si="36"/>
        <v>110</v>
      </c>
      <c r="AE122" s="311">
        <f t="shared" ca="1" si="29"/>
        <v>0</v>
      </c>
    </row>
    <row r="123" spans="1:31" x14ac:dyDescent="0.2">
      <c r="A123" s="201">
        <f t="shared" ca="1" si="23"/>
        <v>111</v>
      </c>
      <c r="B123" s="193">
        <f t="shared" si="27"/>
        <v>111</v>
      </c>
      <c r="C123" s="192">
        <f ca="1">IF(ISERROR(LARGE('Berechnungen 2'!$E$16:$E$315,B123)),"",LARGE('Berechnungen 2'!$E$16:$E$315,B123))</f>
        <v>190</v>
      </c>
      <c r="D123" s="201" t="str">
        <f t="shared" ref="D123:O132" ca="1" si="37">IF($AC123&gt;0,VLOOKUP($C123,Matrix_Berechnungen2.Rang.Pumpendaten.Endresultate,D$9,0),"")</f>
        <v/>
      </c>
      <c r="E123" s="201" t="str">
        <f t="shared" ca="1" si="37"/>
        <v/>
      </c>
      <c r="F123" s="201" t="str">
        <f t="shared" ca="1" si="37"/>
        <v/>
      </c>
      <c r="G123" s="205" t="str">
        <f t="shared" ca="1" si="37"/>
        <v/>
      </c>
      <c r="H123" s="202" t="str">
        <f t="shared" ca="1" si="37"/>
        <v/>
      </c>
      <c r="I123" s="201" t="str">
        <f t="shared" ca="1" si="37"/>
        <v/>
      </c>
      <c r="J123" s="93" t="str">
        <f t="shared" ca="1" si="37"/>
        <v/>
      </c>
      <c r="K123" s="93" t="str">
        <f t="shared" ca="1" si="37"/>
        <v/>
      </c>
      <c r="L123" s="93" t="str">
        <f t="shared" ca="1" si="37"/>
        <v/>
      </c>
      <c r="M123" s="93" t="str">
        <f t="shared" ca="1" si="37"/>
        <v/>
      </c>
      <c r="N123" s="93" t="str">
        <f t="shared" ca="1" si="37"/>
        <v/>
      </c>
      <c r="O123" s="93" t="str">
        <f t="shared" ca="1" si="37"/>
        <v/>
      </c>
      <c r="P123" s="312" t="str">
        <f t="shared" ca="1" si="35"/>
        <v/>
      </c>
      <c r="Q123" s="93" t="str">
        <f t="shared" ca="1" si="35"/>
        <v/>
      </c>
      <c r="R123" s="93" t="str">
        <f t="shared" ca="1" si="35"/>
        <v/>
      </c>
      <c r="S123" s="201" t="str">
        <f t="shared" ca="1" si="24"/>
        <v/>
      </c>
      <c r="T123" s="201"/>
      <c r="Z123" s="40" t="e">
        <f t="shared" ca="1" si="25"/>
        <v>#N/A</v>
      </c>
      <c r="AA123" s="310">
        <f t="shared" ca="1" si="26"/>
        <v>999</v>
      </c>
      <c r="AB123" s="40" t="e">
        <f ca="1">IF(ISNUMBER($A123),VLOOKUP('Berechnungen 2'!AI126,Matrix_Empfehlung.Stromkosten.ID.BOText,3,1),"")</f>
        <v>#VALUE!</v>
      </c>
      <c r="AC123" s="40">
        <f t="shared" ca="1" si="36"/>
        <v>999</v>
      </c>
      <c r="AD123" s="40">
        <f t="shared" ca="1" si="36"/>
        <v>111</v>
      </c>
      <c r="AE123" s="311">
        <f t="shared" ca="1" si="29"/>
        <v>0</v>
      </c>
    </row>
    <row r="124" spans="1:31" x14ac:dyDescent="0.2">
      <c r="A124" s="201">
        <f t="shared" ca="1" si="23"/>
        <v>112</v>
      </c>
      <c r="B124" s="193">
        <f t="shared" si="27"/>
        <v>112</v>
      </c>
      <c r="C124" s="192">
        <f ca="1">IF(ISERROR(LARGE('Berechnungen 2'!$E$16:$E$315,B124)),"",LARGE('Berechnungen 2'!$E$16:$E$315,B124))</f>
        <v>189</v>
      </c>
      <c r="D124" s="201" t="str">
        <f t="shared" ca="1" si="37"/>
        <v/>
      </c>
      <c r="E124" s="201" t="str">
        <f t="shared" ca="1" si="37"/>
        <v/>
      </c>
      <c r="F124" s="201" t="str">
        <f t="shared" ca="1" si="37"/>
        <v/>
      </c>
      <c r="G124" s="205" t="str">
        <f t="shared" ca="1" si="37"/>
        <v/>
      </c>
      <c r="H124" s="202" t="str">
        <f t="shared" ca="1" si="37"/>
        <v/>
      </c>
      <c r="I124" s="201" t="str">
        <f t="shared" ca="1" si="37"/>
        <v/>
      </c>
      <c r="J124" s="93" t="str">
        <f t="shared" ca="1" si="37"/>
        <v/>
      </c>
      <c r="K124" s="93" t="str">
        <f t="shared" ca="1" si="37"/>
        <v/>
      </c>
      <c r="L124" s="93" t="str">
        <f t="shared" ca="1" si="37"/>
        <v/>
      </c>
      <c r="M124" s="93" t="str">
        <f t="shared" ca="1" si="37"/>
        <v/>
      </c>
      <c r="N124" s="93" t="str">
        <f t="shared" ca="1" si="37"/>
        <v/>
      </c>
      <c r="O124" s="93" t="str">
        <f t="shared" ca="1" si="37"/>
        <v/>
      </c>
      <c r="P124" s="312" t="str">
        <f t="shared" ca="1" si="35"/>
        <v/>
      </c>
      <c r="Q124" s="93" t="str">
        <f t="shared" ca="1" si="35"/>
        <v/>
      </c>
      <c r="R124" s="93" t="str">
        <f t="shared" ca="1" si="35"/>
        <v/>
      </c>
      <c r="S124" s="201" t="str">
        <f t="shared" ca="1" si="24"/>
        <v/>
      </c>
      <c r="T124" s="201"/>
      <c r="Z124" s="40" t="e">
        <f t="shared" ca="1" si="25"/>
        <v>#N/A</v>
      </c>
      <c r="AA124" s="310">
        <f t="shared" ca="1" si="26"/>
        <v>999</v>
      </c>
      <c r="AB124" s="40" t="e">
        <f ca="1">IF(ISNUMBER($A124),VLOOKUP('Berechnungen 2'!AI127,Matrix_Empfehlung.Stromkosten.ID.BOText,3,1),"")</f>
        <v>#VALUE!</v>
      </c>
      <c r="AC124" s="40">
        <f t="shared" ca="1" si="36"/>
        <v>999</v>
      </c>
      <c r="AD124" s="40">
        <f t="shared" ca="1" si="36"/>
        <v>112</v>
      </c>
      <c r="AE124" s="311">
        <f t="shared" ca="1" si="29"/>
        <v>0</v>
      </c>
    </row>
    <row r="125" spans="1:31" x14ac:dyDescent="0.2">
      <c r="A125" s="201">
        <f t="shared" ca="1" si="23"/>
        <v>113</v>
      </c>
      <c r="B125" s="193">
        <f t="shared" si="27"/>
        <v>113</v>
      </c>
      <c r="C125" s="192">
        <f ca="1">IF(ISERROR(LARGE('Berechnungen 2'!$E$16:$E$315,B125)),"",LARGE('Berechnungen 2'!$E$16:$E$315,B125))</f>
        <v>188</v>
      </c>
      <c r="D125" s="201" t="str">
        <f t="shared" ca="1" si="37"/>
        <v/>
      </c>
      <c r="E125" s="201" t="str">
        <f t="shared" ca="1" si="37"/>
        <v/>
      </c>
      <c r="F125" s="201" t="str">
        <f t="shared" ca="1" si="37"/>
        <v/>
      </c>
      <c r="G125" s="205" t="str">
        <f t="shared" ca="1" si="37"/>
        <v/>
      </c>
      <c r="H125" s="202" t="str">
        <f t="shared" ca="1" si="37"/>
        <v/>
      </c>
      <c r="I125" s="201" t="str">
        <f t="shared" ca="1" si="37"/>
        <v/>
      </c>
      <c r="J125" s="93" t="str">
        <f t="shared" ca="1" si="37"/>
        <v/>
      </c>
      <c r="K125" s="93" t="str">
        <f t="shared" ca="1" si="37"/>
        <v/>
      </c>
      <c r="L125" s="93" t="str">
        <f t="shared" ca="1" si="37"/>
        <v/>
      </c>
      <c r="M125" s="93" t="str">
        <f t="shared" ca="1" si="37"/>
        <v/>
      </c>
      <c r="N125" s="93" t="str">
        <f t="shared" ca="1" si="37"/>
        <v/>
      </c>
      <c r="O125" s="93" t="str">
        <f t="shared" ca="1" si="37"/>
        <v/>
      </c>
      <c r="P125" s="312" t="str">
        <f t="shared" ca="1" si="35"/>
        <v/>
      </c>
      <c r="Q125" s="93" t="str">
        <f t="shared" ca="1" si="35"/>
        <v/>
      </c>
      <c r="R125" s="93" t="str">
        <f t="shared" ca="1" si="35"/>
        <v/>
      </c>
      <c r="S125" s="201" t="str">
        <f t="shared" ca="1" si="24"/>
        <v/>
      </c>
      <c r="T125" s="201"/>
      <c r="Z125" s="40" t="e">
        <f t="shared" ca="1" si="25"/>
        <v>#N/A</v>
      </c>
      <c r="AA125" s="310">
        <f t="shared" ca="1" si="26"/>
        <v>999</v>
      </c>
      <c r="AB125" s="40" t="e">
        <f ca="1">IF(ISNUMBER($A125),VLOOKUP('Berechnungen 2'!AI128,Matrix_Empfehlung.Stromkosten.ID.BOText,3,1),"")</f>
        <v>#VALUE!</v>
      </c>
      <c r="AC125" s="40">
        <f t="shared" ca="1" si="36"/>
        <v>999</v>
      </c>
      <c r="AD125" s="40">
        <f t="shared" ca="1" si="36"/>
        <v>113</v>
      </c>
      <c r="AE125" s="311">
        <f t="shared" ca="1" si="29"/>
        <v>0</v>
      </c>
    </row>
    <row r="126" spans="1:31" x14ac:dyDescent="0.2">
      <c r="A126" s="201">
        <f t="shared" ca="1" si="23"/>
        <v>114</v>
      </c>
      <c r="B126" s="193">
        <f t="shared" si="27"/>
        <v>114</v>
      </c>
      <c r="C126" s="192">
        <f ca="1">IF(ISERROR(LARGE('Berechnungen 2'!$E$16:$E$315,B126)),"",LARGE('Berechnungen 2'!$E$16:$E$315,B126))</f>
        <v>187</v>
      </c>
      <c r="D126" s="201" t="str">
        <f t="shared" ca="1" si="37"/>
        <v/>
      </c>
      <c r="E126" s="201" t="str">
        <f t="shared" ca="1" si="37"/>
        <v/>
      </c>
      <c r="F126" s="201" t="str">
        <f t="shared" ca="1" si="37"/>
        <v/>
      </c>
      <c r="G126" s="205" t="str">
        <f t="shared" ca="1" si="37"/>
        <v/>
      </c>
      <c r="H126" s="202" t="str">
        <f t="shared" ca="1" si="37"/>
        <v/>
      </c>
      <c r="I126" s="201" t="str">
        <f t="shared" ca="1" si="37"/>
        <v/>
      </c>
      <c r="J126" s="93" t="str">
        <f t="shared" ca="1" si="37"/>
        <v/>
      </c>
      <c r="K126" s="93" t="str">
        <f t="shared" ca="1" si="37"/>
        <v/>
      </c>
      <c r="L126" s="93" t="str">
        <f t="shared" ca="1" si="37"/>
        <v/>
      </c>
      <c r="M126" s="93" t="str">
        <f t="shared" ca="1" si="37"/>
        <v/>
      </c>
      <c r="N126" s="93" t="str">
        <f t="shared" ca="1" si="37"/>
        <v/>
      </c>
      <c r="O126" s="93" t="str">
        <f t="shared" ca="1" si="37"/>
        <v/>
      </c>
      <c r="P126" s="312" t="str">
        <f t="shared" ca="1" si="35"/>
        <v/>
      </c>
      <c r="Q126" s="93" t="str">
        <f t="shared" ca="1" si="35"/>
        <v/>
      </c>
      <c r="R126" s="93" t="str">
        <f t="shared" ca="1" si="35"/>
        <v/>
      </c>
      <c r="S126" s="201" t="str">
        <f t="shared" ca="1" si="24"/>
        <v/>
      </c>
      <c r="T126" s="201"/>
      <c r="Z126" s="40" t="e">
        <f t="shared" ca="1" si="25"/>
        <v>#N/A</v>
      </c>
      <c r="AA126" s="310">
        <f t="shared" ca="1" si="26"/>
        <v>999</v>
      </c>
      <c r="AB126" s="40" t="e">
        <f ca="1">IF(ISNUMBER($A126),VLOOKUP('Berechnungen 2'!AI129,Matrix_Empfehlung.Stromkosten.ID.BOText,3,1),"")</f>
        <v>#VALUE!</v>
      </c>
      <c r="AC126" s="40">
        <f t="shared" ca="1" si="36"/>
        <v>999</v>
      </c>
      <c r="AD126" s="40">
        <f t="shared" ca="1" si="36"/>
        <v>114</v>
      </c>
      <c r="AE126" s="311">
        <f t="shared" ca="1" si="29"/>
        <v>0</v>
      </c>
    </row>
    <row r="127" spans="1:31" x14ac:dyDescent="0.2">
      <c r="A127" s="201">
        <f t="shared" ca="1" si="23"/>
        <v>115</v>
      </c>
      <c r="B127" s="193">
        <f t="shared" si="27"/>
        <v>115</v>
      </c>
      <c r="C127" s="192">
        <f ca="1">IF(ISERROR(LARGE('Berechnungen 2'!$E$16:$E$315,B127)),"",LARGE('Berechnungen 2'!$E$16:$E$315,B127))</f>
        <v>186</v>
      </c>
      <c r="D127" s="201" t="str">
        <f t="shared" ca="1" si="37"/>
        <v/>
      </c>
      <c r="E127" s="201" t="str">
        <f t="shared" ca="1" si="37"/>
        <v/>
      </c>
      <c r="F127" s="201" t="str">
        <f t="shared" ca="1" si="37"/>
        <v/>
      </c>
      <c r="G127" s="205" t="str">
        <f t="shared" ca="1" si="37"/>
        <v/>
      </c>
      <c r="H127" s="202" t="str">
        <f t="shared" ca="1" si="37"/>
        <v/>
      </c>
      <c r="I127" s="201" t="str">
        <f t="shared" ca="1" si="37"/>
        <v/>
      </c>
      <c r="J127" s="93" t="str">
        <f t="shared" ca="1" si="37"/>
        <v/>
      </c>
      <c r="K127" s="93" t="str">
        <f t="shared" ca="1" si="37"/>
        <v/>
      </c>
      <c r="L127" s="93" t="str">
        <f t="shared" ca="1" si="37"/>
        <v/>
      </c>
      <c r="M127" s="93" t="str">
        <f t="shared" ca="1" si="37"/>
        <v/>
      </c>
      <c r="N127" s="93" t="str">
        <f t="shared" ca="1" si="37"/>
        <v/>
      </c>
      <c r="O127" s="93" t="str">
        <f t="shared" ca="1" si="37"/>
        <v/>
      </c>
      <c r="P127" s="312" t="str">
        <f t="shared" ca="1" si="35"/>
        <v/>
      </c>
      <c r="Q127" s="93" t="str">
        <f t="shared" ca="1" si="35"/>
        <v/>
      </c>
      <c r="R127" s="93" t="str">
        <f t="shared" ca="1" si="35"/>
        <v/>
      </c>
      <c r="S127" s="201" t="str">
        <f t="shared" ca="1" si="24"/>
        <v/>
      </c>
      <c r="T127" s="201"/>
      <c r="Z127" s="40" t="e">
        <f t="shared" ca="1" si="25"/>
        <v>#N/A</v>
      </c>
      <c r="AA127" s="310">
        <f t="shared" ca="1" si="26"/>
        <v>999</v>
      </c>
      <c r="AB127" s="40" t="e">
        <f ca="1">IF(ISNUMBER($A127),VLOOKUP('Berechnungen 2'!AI130,Matrix_Empfehlung.Stromkosten.ID.BOText,3,1),"")</f>
        <v>#VALUE!</v>
      </c>
      <c r="AC127" s="40">
        <f t="shared" ca="1" si="36"/>
        <v>999</v>
      </c>
      <c r="AD127" s="40">
        <f t="shared" ca="1" si="36"/>
        <v>115</v>
      </c>
      <c r="AE127" s="311">
        <f t="shared" ca="1" si="29"/>
        <v>0</v>
      </c>
    </row>
    <row r="128" spans="1:31" x14ac:dyDescent="0.2">
      <c r="A128" s="201">
        <f t="shared" ca="1" si="23"/>
        <v>116</v>
      </c>
      <c r="B128" s="193">
        <f t="shared" si="27"/>
        <v>116</v>
      </c>
      <c r="C128" s="192">
        <f ca="1">IF(ISERROR(LARGE('Berechnungen 2'!$E$16:$E$315,B128)),"",LARGE('Berechnungen 2'!$E$16:$E$315,B128))</f>
        <v>185</v>
      </c>
      <c r="D128" s="201" t="str">
        <f t="shared" ca="1" si="37"/>
        <v/>
      </c>
      <c r="E128" s="201" t="str">
        <f t="shared" ca="1" si="37"/>
        <v/>
      </c>
      <c r="F128" s="201" t="str">
        <f t="shared" ca="1" si="37"/>
        <v/>
      </c>
      <c r="G128" s="205" t="str">
        <f t="shared" ca="1" si="37"/>
        <v/>
      </c>
      <c r="H128" s="202" t="str">
        <f t="shared" ca="1" si="37"/>
        <v/>
      </c>
      <c r="I128" s="201" t="str">
        <f t="shared" ca="1" si="37"/>
        <v/>
      </c>
      <c r="J128" s="93" t="str">
        <f t="shared" ca="1" si="37"/>
        <v/>
      </c>
      <c r="K128" s="93" t="str">
        <f t="shared" ca="1" si="37"/>
        <v/>
      </c>
      <c r="L128" s="93" t="str">
        <f t="shared" ca="1" si="37"/>
        <v/>
      </c>
      <c r="M128" s="93" t="str">
        <f t="shared" ca="1" si="37"/>
        <v/>
      </c>
      <c r="N128" s="93" t="str">
        <f t="shared" ca="1" si="37"/>
        <v/>
      </c>
      <c r="O128" s="93" t="str">
        <f t="shared" ca="1" si="37"/>
        <v/>
      </c>
      <c r="P128" s="312" t="str">
        <f t="shared" ca="1" si="35"/>
        <v/>
      </c>
      <c r="Q128" s="93" t="str">
        <f t="shared" ca="1" si="35"/>
        <v/>
      </c>
      <c r="R128" s="93" t="str">
        <f t="shared" ca="1" si="35"/>
        <v/>
      </c>
      <c r="S128" s="201" t="str">
        <f t="shared" ca="1" si="24"/>
        <v/>
      </c>
      <c r="T128" s="201"/>
      <c r="Z128" s="40" t="e">
        <f t="shared" ca="1" si="25"/>
        <v>#N/A</v>
      </c>
      <c r="AA128" s="310">
        <f t="shared" ca="1" si="26"/>
        <v>999</v>
      </c>
      <c r="AB128" s="40" t="e">
        <f ca="1">IF(ISNUMBER($A128),VLOOKUP('Berechnungen 2'!AI131,Matrix_Empfehlung.Stromkosten.ID.BOText,3,1),"")</f>
        <v>#VALUE!</v>
      </c>
      <c r="AC128" s="40">
        <f t="shared" ca="1" si="36"/>
        <v>999</v>
      </c>
      <c r="AD128" s="40">
        <f t="shared" ca="1" si="36"/>
        <v>116</v>
      </c>
      <c r="AE128" s="311">
        <f t="shared" ca="1" si="29"/>
        <v>0</v>
      </c>
    </row>
    <row r="129" spans="1:31" x14ac:dyDescent="0.2">
      <c r="A129" s="201">
        <f t="shared" ca="1" si="23"/>
        <v>117</v>
      </c>
      <c r="B129" s="193">
        <f t="shared" si="27"/>
        <v>117</v>
      </c>
      <c r="C129" s="192">
        <f ca="1">IF(ISERROR(LARGE('Berechnungen 2'!$E$16:$E$315,B129)),"",LARGE('Berechnungen 2'!$E$16:$E$315,B129))</f>
        <v>184</v>
      </c>
      <c r="D129" s="201" t="str">
        <f t="shared" ca="1" si="37"/>
        <v/>
      </c>
      <c r="E129" s="201" t="str">
        <f t="shared" ca="1" si="37"/>
        <v/>
      </c>
      <c r="F129" s="201" t="str">
        <f t="shared" ca="1" si="37"/>
        <v/>
      </c>
      <c r="G129" s="205" t="str">
        <f t="shared" ca="1" si="37"/>
        <v/>
      </c>
      <c r="H129" s="202" t="str">
        <f t="shared" ca="1" si="37"/>
        <v/>
      </c>
      <c r="I129" s="201" t="str">
        <f t="shared" ca="1" si="37"/>
        <v/>
      </c>
      <c r="J129" s="93" t="str">
        <f t="shared" ca="1" si="37"/>
        <v/>
      </c>
      <c r="K129" s="93" t="str">
        <f t="shared" ca="1" si="37"/>
        <v/>
      </c>
      <c r="L129" s="93" t="str">
        <f t="shared" ca="1" si="37"/>
        <v/>
      </c>
      <c r="M129" s="93" t="str">
        <f t="shared" ca="1" si="37"/>
        <v/>
      </c>
      <c r="N129" s="93" t="str">
        <f t="shared" ca="1" si="37"/>
        <v/>
      </c>
      <c r="O129" s="93" t="str">
        <f t="shared" ca="1" si="37"/>
        <v/>
      </c>
      <c r="P129" s="312" t="str">
        <f t="shared" ca="1" si="35"/>
        <v/>
      </c>
      <c r="Q129" s="93" t="str">
        <f t="shared" ca="1" si="35"/>
        <v/>
      </c>
      <c r="R129" s="93" t="str">
        <f t="shared" ca="1" si="35"/>
        <v/>
      </c>
      <c r="S129" s="201" t="str">
        <f t="shared" ca="1" si="24"/>
        <v/>
      </c>
      <c r="T129" s="201"/>
      <c r="Z129" s="40" t="e">
        <f t="shared" ca="1" si="25"/>
        <v>#N/A</v>
      </c>
      <c r="AA129" s="310">
        <f t="shared" ca="1" si="26"/>
        <v>999</v>
      </c>
      <c r="AB129" s="40" t="e">
        <f ca="1">IF(ISNUMBER($A129),VLOOKUP('Berechnungen 2'!AI132,Matrix_Empfehlung.Stromkosten.ID.BOText,3,1),"")</f>
        <v>#VALUE!</v>
      </c>
      <c r="AC129" s="40">
        <f t="shared" ca="1" si="36"/>
        <v>999</v>
      </c>
      <c r="AD129" s="40">
        <f t="shared" ca="1" si="36"/>
        <v>117</v>
      </c>
      <c r="AE129" s="311">
        <f t="shared" ca="1" si="29"/>
        <v>0</v>
      </c>
    </row>
    <row r="130" spans="1:31" x14ac:dyDescent="0.2">
      <c r="A130" s="201">
        <f t="shared" ca="1" si="23"/>
        <v>118</v>
      </c>
      <c r="B130" s="193">
        <f t="shared" si="27"/>
        <v>118</v>
      </c>
      <c r="C130" s="192">
        <f ca="1">IF(ISERROR(LARGE('Berechnungen 2'!$E$16:$E$315,B130)),"",LARGE('Berechnungen 2'!$E$16:$E$315,B130))</f>
        <v>183</v>
      </c>
      <c r="D130" s="201" t="str">
        <f t="shared" ca="1" si="37"/>
        <v/>
      </c>
      <c r="E130" s="201" t="str">
        <f t="shared" ca="1" si="37"/>
        <v/>
      </c>
      <c r="F130" s="201" t="str">
        <f t="shared" ca="1" si="37"/>
        <v/>
      </c>
      <c r="G130" s="205" t="str">
        <f t="shared" ca="1" si="37"/>
        <v/>
      </c>
      <c r="H130" s="202" t="str">
        <f t="shared" ca="1" si="37"/>
        <v/>
      </c>
      <c r="I130" s="201" t="str">
        <f t="shared" ca="1" si="37"/>
        <v/>
      </c>
      <c r="J130" s="93" t="str">
        <f t="shared" ca="1" si="37"/>
        <v/>
      </c>
      <c r="K130" s="93" t="str">
        <f t="shared" ca="1" si="37"/>
        <v/>
      </c>
      <c r="L130" s="93" t="str">
        <f t="shared" ca="1" si="37"/>
        <v/>
      </c>
      <c r="M130" s="93" t="str">
        <f t="shared" ca="1" si="37"/>
        <v/>
      </c>
      <c r="N130" s="93" t="str">
        <f t="shared" ca="1" si="37"/>
        <v/>
      </c>
      <c r="O130" s="93" t="str">
        <f t="shared" ca="1" si="37"/>
        <v/>
      </c>
      <c r="P130" s="312" t="str">
        <f t="shared" ca="1" si="35"/>
        <v/>
      </c>
      <c r="Q130" s="93" t="str">
        <f t="shared" ca="1" si="35"/>
        <v/>
      </c>
      <c r="R130" s="93" t="str">
        <f t="shared" ca="1" si="35"/>
        <v/>
      </c>
      <c r="S130" s="201" t="str">
        <f t="shared" ca="1" si="24"/>
        <v/>
      </c>
      <c r="T130" s="201"/>
      <c r="Z130" s="40" t="e">
        <f t="shared" ca="1" si="25"/>
        <v>#N/A</v>
      </c>
      <c r="AA130" s="310">
        <f t="shared" ca="1" si="26"/>
        <v>999</v>
      </c>
      <c r="AB130" s="40" t="e">
        <f ca="1">IF(ISNUMBER($A130),VLOOKUP('Berechnungen 2'!AI133,Matrix_Empfehlung.Stromkosten.ID.BOText,3,1),"")</f>
        <v>#VALUE!</v>
      </c>
      <c r="AC130" s="40">
        <f t="shared" ca="1" si="36"/>
        <v>999</v>
      </c>
      <c r="AD130" s="40">
        <f t="shared" ca="1" si="36"/>
        <v>118</v>
      </c>
      <c r="AE130" s="311">
        <f t="shared" ca="1" si="29"/>
        <v>0</v>
      </c>
    </row>
    <row r="131" spans="1:31" x14ac:dyDescent="0.2">
      <c r="A131" s="201">
        <f t="shared" ca="1" si="23"/>
        <v>119</v>
      </c>
      <c r="B131" s="193">
        <f t="shared" si="27"/>
        <v>119</v>
      </c>
      <c r="C131" s="192">
        <f ca="1">IF(ISERROR(LARGE('Berechnungen 2'!$E$16:$E$315,B131)),"",LARGE('Berechnungen 2'!$E$16:$E$315,B131))</f>
        <v>182</v>
      </c>
      <c r="D131" s="201" t="str">
        <f t="shared" ca="1" si="37"/>
        <v/>
      </c>
      <c r="E131" s="201" t="str">
        <f t="shared" ca="1" si="37"/>
        <v/>
      </c>
      <c r="F131" s="201" t="str">
        <f t="shared" ca="1" si="37"/>
        <v/>
      </c>
      <c r="G131" s="205" t="str">
        <f t="shared" ca="1" si="37"/>
        <v/>
      </c>
      <c r="H131" s="202" t="str">
        <f t="shared" ca="1" si="37"/>
        <v/>
      </c>
      <c r="I131" s="201" t="str">
        <f t="shared" ca="1" si="37"/>
        <v/>
      </c>
      <c r="J131" s="93" t="str">
        <f t="shared" ca="1" si="37"/>
        <v/>
      </c>
      <c r="K131" s="93" t="str">
        <f t="shared" ca="1" si="37"/>
        <v/>
      </c>
      <c r="L131" s="93" t="str">
        <f t="shared" ca="1" si="37"/>
        <v/>
      </c>
      <c r="M131" s="93" t="str">
        <f t="shared" ca="1" si="37"/>
        <v/>
      </c>
      <c r="N131" s="93" t="str">
        <f t="shared" ca="1" si="37"/>
        <v/>
      </c>
      <c r="O131" s="93" t="str">
        <f t="shared" ca="1" si="37"/>
        <v/>
      </c>
      <c r="P131" s="312" t="str">
        <f t="shared" ca="1" si="35"/>
        <v/>
      </c>
      <c r="Q131" s="93" t="str">
        <f t="shared" ca="1" si="35"/>
        <v/>
      </c>
      <c r="R131" s="93" t="str">
        <f t="shared" ca="1" si="35"/>
        <v/>
      </c>
      <c r="S131" s="201" t="str">
        <f t="shared" ca="1" si="24"/>
        <v/>
      </c>
      <c r="T131" s="201"/>
      <c r="Z131" s="40" t="e">
        <f t="shared" ca="1" si="25"/>
        <v>#N/A</v>
      </c>
      <c r="AA131" s="310">
        <f t="shared" ca="1" si="26"/>
        <v>999</v>
      </c>
      <c r="AB131" s="40" t="e">
        <f ca="1">IF(ISNUMBER($A131),VLOOKUP('Berechnungen 2'!AI134,Matrix_Empfehlung.Stromkosten.ID.BOText,3,1),"")</f>
        <v>#VALUE!</v>
      </c>
      <c r="AC131" s="40">
        <f t="shared" ca="1" si="36"/>
        <v>999</v>
      </c>
      <c r="AD131" s="40">
        <f t="shared" ca="1" si="36"/>
        <v>119</v>
      </c>
      <c r="AE131" s="311">
        <f t="shared" ca="1" si="29"/>
        <v>0</v>
      </c>
    </row>
    <row r="132" spans="1:31" x14ac:dyDescent="0.2">
      <c r="A132" s="201">
        <f t="shared" ca="1" si="23"/>
        <v>120</v>
      </c>
      <c r="B132" s="193">
        <f t="shared" si="27"/>
        <v>120</v>
      </c>
      <c r="C132" s="192">
        <f ca="1">IF(ISERROR(LARGE('Berechnungen 2'!$E$16:$E$315,B132)),"",LARGE('Berechnungen 2'!$E$16:$E$315,B132))</f>
        <v>181</v>
      </c>
      <c r="D132" s="201" t="str">
        <f t="shared" ca="1" si="37"/>
        <v/>
      </c>
      <c r="E132" s="201" t="str">
        <f t="shared" ca="1" si="37"/>
        <v/>
      </c>
      <c r="F132" s="201" t="str">
        <f t="shared" ca="1" si="37"/>
        <v/>
      </c>
      <c r="G132" s="205" t="str">
        <f t="shared" ca="1" si="37"/>
        <v/>
      </c>
      <c r="H132" s="202" t="str">
        <f t="shared" ca="1" si="37"/>
        <v/>
      </c>
      <c r="I132" s="201" t="str">
        <f t="shared" ca="1" si="37"/>
        <v/>
      </c>
      <c r="J132" s="93" t="str">
        <f t="shared" ca="1" si="37"/>
        <v/>
      </c>
      <c r="K132" s="93" t="str">
        <f t="shared" ca="1" si="37"/>
        <v/>
      </c>
      <c r="L132" s="93" t="str">
        <f t="shared" ca="1" si="37"/>
        <v/>
      </c>
      <c r="M132" s="93" t="str">
        <f t="shared" ca="1" si="37"/>
        <v/>
      </c>
      <c r="N132" s="93" t="str">
        <f t="shared" ca="1" si="37"/>
        <v/>
      </c>
      <c r="O132" s="93" t="str">
        <f t="shared" ca="1" si="37"/>
        <v/>
      </c>
      <c r="P132" s="312" t="str">
        <f t="shared" ca="1" si="35"/>
        <v/>
      </c>
      <c r="Q132" s="93" t="str">
        <f t="shared" ca="1" si="35"/>
        <v/>
      </c>
      <c r="R132" s="93" t="str">
        <f t="shared" ca="1" si="35"/>
        <v/>
      </c>
      <c r="S132" s="201" t="str">
        <f t="shared" ca="1" si="24"/>
        <v/>
      </c>
      <c r="T132" s="201"/>
      <c r="Z132" s="40" t="e">
        <f t="shared" ca="1" si="25"/>
        <v>#N/A</v>
      </c>
      <c r="AA132" s="310">
        <f t="shared" ca="1" si="26"/>
        <v>999</v>
      </c>
      <c r="AB132" s="40" t="e">
        <f ca="1">IF(ISNUMBER($A132),VLOOKUP('Berechnungen 2'!AI135,Matrix_Empfehlung.Stromkosten.ID.BOText,3,1),"")</f>
        <v>#VALUE!</v>
      </c>
      <c r="AC132" s="40">
        <f t="shared" ca="1" si="36"/>
        <v>999</v>
      </c>
      <c r="AD132" s="40">
        <f t="shared" ca="1" si="36"/>
        <v>120</v>
      </c>
      <c r="AE132" s="311">
        <f t="shared" ca="1" si="29"/>
        <v>0</v>
      </c>
    </row>
    <row r="133" spans="1:31" x14ac:dyDescent="0.2">
      <c r="A133" s="201">
        <f t="shared" ca="1" si="23"/>
        <v>121</v>
      </c>
      <c r="B133" s="193">
        <f t="shared" si="27"/>
        <v>121</v>
      </c>
      <c r="C133" s="192">
        <f ca="1">IF(ISERROR(LARGE('Berechnungen 2'!$E$16:$E$315,B133)),"",LARGE('Berechnungen 2'!$E$16:$E$315,B133))</f>
        <v>180</v>
      </c>
      <c r="D133" s="201" t="str">
        <f t="shared" ref="D133:O142" ca="1" si="38">IF($AC133&gt;0,VLOOKUP($C133,Matrix_Berechnungen2.Rang.Pumpendaten.Endresultate,D$9,0),"")</f>
        <v/>
      </c>
      <c r="E133" s="201" t="str">
        <f t="shared" ca="1" si="38"/>
        <v/>
      </c>
      <c r="F133" s="201" t="str">
        <f t="shared" ca="1" si="38"/>
        <v/>
      </c>
      <c r="G133" s="205" t="str">
        <f t="shared" ca="1" si="38"/>
        <v/>
      </c>
      <c r="H133" s="202" t="str">
        <f t="shared" ca="1" si="38"/>
        <v/>
      </c>
      <c r="I133" s="201" t="str">
        <f t="shared" ca="1" si="38"/>
        <v/>
      </c>
      <c r="J133" s="93" t="str">
        <f t="shared" ca="1" si="38"/>
        <v/>
      </c>
      <c r="K133" s="93" t="str">
        <f t="shared" ca="1" si="38"/>
        <v/>
      </c>
      <c r="L133" s="93" t="str">
        <f t="shared" ca="1" si="38"/>
        <v/>
      </c>
      <c r="M133" s="93" t="str">
        <f t="shared" ca="1" si="38"/>
        <v/>
      </c>
      <c r="N133" s="93" t="str">
        <f t="shared" ca="1" si="38"/>
        <v/>
      </c>
      <c r="O133" s="93" t="str">
        <f t="shared" ca="1" si="38"/>
        <v/>
      </c>
      <c r="P133" s="312" t="str">
        <f t="shared" ref="P133:R152" ca="1" si="39">IF(AND($AC133&gt;0,$AC133&lt;&gt;999),VLOOKUP($C133,Matrix_Berechnungen2.Rang.Pumpendaten.Endresultate,P$9,0),"")</f>
        <v/>
      </c>
      <c r="Q133" s="93" t="str">
        <f t="shared" ca="1" si="39"/>
        <v/>
      </c>
      <c r="R133" s="93" t="str">
        <f t="shared" ca="1" si="39"/>
        <v/>
      </c>
      <c r="S133" s="201" t="str">
        <f t="shared" ca="1" si="24"/>
        <v/>
      </c>
      <c r="T133" s="201"/>
      <c r="Z133" s="40" t="e">
        <f t="shared" ca="1" si="25"/>
        <v>#N/A</v>
      </c>
      <c r="AA133" s="310">
        <f t="shared" ca="1" si="26"/>
        <v>999</v>
      </c>
      <c r="AB133" s="40" t="e">
        <f ca="1">IF(ISNUMBER($A133),VLOOKUP('Berechnungen 2'!AI136,Matrix_Empfehlung.Stromkosten.ID.BOText,3,1),"")</f>
        <v>#VALUE!</v>
      </c>
      <c r="AC133" s="40">
        <f t="shared" ref="AC133:AD152" ca="1" si="40">IF(VLOOKUP($C133,Matrix_Berechnungen2.Rang.Pumpendaten.Endresultate,$C$9,0)&gt;0,VLOOKUP($C133,Matrix_Berechnungen2.Rang.Pumpendaten.Endresultate,AC$9,0),"")</f>
        <v>999</v>
      </c>
      <c r="AD133" s="40">
        <f t="shared" ca="1" si="40"/>
        <v>121</v>
      </c>
      <c r="AE133" s="311">
        <f t="shared" ca="1" si="29"/>
        <v>0</v>
      </c>
    </row>
    <row r="134" spans="1:31" x14ac:dyDescent="0.2">
      <c r="A134" s="201">
        <f t="shared" ca="1" si="23"/>
        <v>122</v>
      </c>
      <c r="B134" s="193">
        <f t="shared" si="27"/>
        <v>122</v>
      </c>
      <c r="C134" s="192">
        <f ca="1">IF(ISERROR(LARGE('Berechnungen 2'!$E$16:$E$315,B134)),"",LARGE('Berechnungen 2'!$E$16:$E$315,B134))</f>
        <v>179</v>
      </c>
      <c r="D134" s="201" t="str">
        <f t="shared" ca="1" si="38"/>
        <v/>
      </c>
      <c r="E134" s="201" t="str">
        <f t="shared" ca="1" si="38"/>
        <v/>
      </c>
      <c r="F134" s="201" t="str">
        <f t="shared" ca="1" si="38"/>
        <v/>
      </c>
      <c r="G134" s="205" t="str">
        <f t="shared" ca="1" si="38"/>
        <v/>
      </c>
      <c r="H134" s="202" t="str">
        <f t="shared" ca="1" si="38"/>
        <v/>
      </c>
      <c r="I134" s="201" t="str">
        <f t="shared" ca="1" si="38"/>
        <v/>
      </c>
      <c r="J134" s="93" t="str">
        <f t="shared" ca="1" si="38"/>
        <v/>
      </c>
      <c r="K134" s="93" t="str">
        <f t="shared" ca="1" si="38"/>
        <v/>
      </c>
      <c r="L134" s="93" t="str">
        <f t="shared" ca="1" si="38"/>
        <v/>
      </c>
      <c r="M134" s="93" t="str">
        <f t="shared" ca="1" si="38"/>
        <v/>
      </c>
      <c r="N134" s="93" t="str">
        <f t="shared" ca="1" si="38"/>
        <v/>
      </c>
      <c r="O134" s="93" t="str">
        <f t="shared" ca="1" si="38"/>
        <v/>
      </c>
      <c r="P134" s="312" t="str">
        <f t="shared" ca="1" si="39"/>
        <v/>
      </c>
      <c r="Q134" s="93" t="str">
        <f t="shared" ca="1" si="39"/>
        <v/>
      </c>
      <c r="R134" s="93" t="str">
        <f t="shared" ca="1" si="39"/>
        <v/>
      </c>
      <c r="S134" s="201" t="str">
        <f t="shared" ca="1" si="24"/>
        <v/>
      </c>
      <c r="T134" s="201"/>
      <c r="Z134" s="40" t="e">
        <f t="shared" ca="1" si="25"/>
        <v>#N/A</v>
      </c>
      <c r="AA134" s="310">
        <f t="shared" ca="1" si="26"/>
        <v>999</v>
      </c>
      <c r="AB134" s="40" t="e">
        <f ca="1">IF(ISNUMBER($A134),VLOOKUP('Berechnungen 2'!AI137,Matrix_Empfehlung.Stromkosten.ID.BOText,3,1),"")</f>
        <v>#VALUE!</v>
      </c>
      <c r="AC134" s="40">
        <f t="shared" ca="1" si="40"/>
        <v>999</v>
      </c>
      <c r="AD134" s="40">
        <f t="shared" ca="1" si="40"/>
        <v>122</v>
      </c>
      <c r="AE134" s="311">
        <f t="shared" ca="1" si="29"/>
        <v>0</v>
      </c>
    </row>
    <row r="135" spans="1:31" x14ac:dyDescent="0.2">
      <c r="A135" s="201">
        <f t="shared" ca="1" si="23"/>
        <v>123</v>
      </c>
      <c r="B135" s="193">
        <f t="shared" si="27"/>
        <v>123</v>
      </c>
      <c r="C135" s="192">
        <f ca="1">IF(ISERROR(LARGE('Berechnungen 2'!$E$16:$E$315,B135)),"",LARGE('Berechnungen 2'!$E$16:$E$315,B135))</f>
        <v>178</v>
      </c>
      <c r="D135" s="201" t="str">
        <f t="shared" ca="1" si="38"/>
        <v/>
      </c>
      <c r="E135" s="201" t="str">
        <f t="shared" ca="1" si="38"/>
        <v/>
      </c>
      <c r="F135" s="201" t="str">
        <f t="shared" ca="1" si="38"/>
        <v/>
      </c>
      <c r="G135" s="205" t="str">
        <f t="shared" ca="1" si="38"/>
        <v/>
      </c>
      <c r="H135" s="202" t="str">
        <f t="shared" ca="1" si="38"/>
        <v/>
      </c>
      <c r="I135" s="201" t="str">
        <f t="shared" ca="1" si="38"/>
        <v/>
      </c>
      <c r="J135" s="93" t="str">
        <f t="shared" ca="1" si="38"/>
        <v/>
      </c>
      <c r="K135" s="93" t="str">
        <f t="shared" ca="1" si="38"/>
        <v/>
      </c>
      <c r="L135" s="93" t="str">
        <f t="shared" ca="1" si="38"/>
        <v/>
      </c>
      <c r="M135" s="93" t="str">
        <f t="shared" ca="1" si="38"/>
        <v/>
      </c>
      <c r="N135" s="93" t="str">
        <f t="shared" ca="1" si="38"/>
        <v/>
      </c>
      <c r="O135" s="93" t="str">
        <f t="shared" ca="1" si="38"/>
        <v/>
      </c>
      <c r="P135" s="312" t="str">
        <f t="shared" ca="1" si="39"/>
        <v/>
      </c>
      <c r="Q135" s="93" t="str">
        <f t="shared" ca="1" si="39"/>
        <v/>
      </c>
      <c r="R135" s="93" t="str">
        <f t="shared" ca="1" si="39"/>
        <v/>
      </c>
      <c r="S135" s="201" t="str">
        <f t="shared" ca="1" si="24"/>
        <v/>
      </c>
      <c r="T135" s="201"/>
      <c r="Z135" s="40" t="e">
        <f t="shared" ca="1" si="25"/>
        <v>#N/A</v>
      </c>
      <c r="AA135" s="310">
        <f t="shared" ca="1" si="26"/>
        <v>999</v>
      </c>
      <c r="AB135" s="40" t="e">
        <f ca="1">IF(ISNUMBER($A135),VLOOKUP('Berechnungen 2'!AI138,Matrix_Empfehlung.Stromkosten.ID.BOText,3,1),"")</f>
        <v>#VALUE!</v>
      </c>
      <c r="AC135" s="40">
        <f t="shared" ca="1" si="40"/>
        <v>999</v>
      </c>
      <c r="AD135" s="40">
        <f t="shared" ca="1" si="40"/>
        <v>123</v>
      </c>
      <c r="AE135" s="311">
        <f t="shared" ca="1" si="29"/>
        <v>0</v>
      </c>
    </row>
    <row r="136" spans="1:31" x14ac:dyDescent="0.2">
      <c r="A136" s="201">
        <f t="shared" ca="1" si="23"/>
        <v>124</v>
      </c>
      <c r="B136" s="193">
        <f t="shared" si="27"/>
        <v>124</v>
      </c>
      <c r="C136" s="192">
        <f ca="1">IF(ISERROR(LARGE('Berechnungen 2'!$E$16:$E$315,B136)),"",LARGE('Berechnungen 2'!$E$16:$E$315,B136))</f>
        <v>177</v>
      </c>
      <c r="D136" s="201" t="str">
        <f t="shared" ca="1" si="38"/>
        <v/>
      </c>
      <c r="E136" s="201" t="str">
        <f t="shared" ca="1" si="38"/>
        <v/>
      </c>
      <c r="F136" s="201" t="str">
        <f t="shared" ca="1" si="38"/>
        <v/>
      </c>
      <c r="G136" s="205" t="str">
        <f t="shared" ca="1" si="38"/>
        <v/>
      </c>
      <c r="H136" s="202" t="str">
        <f t="shared" ca="1" si="38"/>
        <v/>
      </c>
      <c r="I136" s="201" t="str">
        <f t="shared" ca="1" si="38"/>
        <v/>
      </c>
      <c r="J136" s="93" t="str">
        <f t="shared" ca="1" si="38"/>
        <v/>
      </c>
      <c r="K136" s="93" t="str">
        <f t="shared" ca="1" si="38"/>
        <v/>
      </c>
      <c r="L136" s="93" t="str">
        <f t="shared" ca="1" si="38"/>
        <v/>
      </c>
      <c r="M136" s="93" t="str">
        <f t="shared" ca="1" si="38"/>
        <v/>
      </c>
      <c r="N136" s="93" t="str">
        <f t="shared" ca="1" si="38"/>
        <v/>
      </c>
      <c r="O136" s="93" t="str">
        <f t="shared" ca="1" si="38"/>
        <v/>
      </c>
      <c r="P136" s="312" t="str">
        <f t="shared" ca="1" si="39"/>
        <v/>
      </c>
      <c r="Q136" s="93" t="str">
        <f t="shared" ca="1" si="39"/>
        <v/>
      </c>
      <c r="R136" s="93" t="str">
        <f t="shared" ca="1" si="39"/>
        <v/>
      </c>
      <c r="S136" s="201" t="str">
        <f t="shared" ca="1" si="24"/>
        <v/>
      </c>
      <c r="T136" s="201"/>
      <c r="Z136" s="40" t="e">
        <f t="shared" ca="1" si="25"/>
        <v>#N/A</v>
      </c>
      <c r="AA136" s="310">
        <f t="shared" ca="1" si="26"/>
        <v>999</v>
      </c>
      <c r="AB136" s="40" t="e">
        <f ca="1">IF(ISNUMBER($A136),VLOOKUP('Berechnungen 2'!AI139,Matrix_Empfehlung.Stromkosten.ID.BOText,3,1),"")</f>
        <v>#VALUE!</v>
      </c>
      <c r="AC136" s="40">
        <f t="shared" ca="1" si="40"/>
        <v>999</v>
      </c>
      <c r="AD136" s="40">
        <f t="shared" ca="1" si="40"/>
        <v>124</v>
      </c>
      <c r="AE136" s="311">
        <f t="shared" ca="1" si="29"/>
        <v>0</v>
      </c>
    </row>
    <row r="137" spans="1:31" x14ac:dyDescent="0.2">
      <c r="A137" s="201">
        <f t="shared" ca="1" si="23"/>
        <v>125</v>
      </c>
      <c r="B137" s="193">
        <f t="shared" si="27"/>
        <v>125</v>
      </c>
      <c r="C137" s="192">
        <f ca="1">IF(ISERROR(LARGE('Berechnungen 2'!$E$16:$E$315,B137)),"",LARGE('Berechnungen 2'!$E$16:$E$315,B137))</f>
        <v>176</v>
      </c>
      <c r="D137" s="201" t="str">
        <f t="shared" ca="1" si="38"/>
        <v/>
      </c>
      <c r="E137" s="201" t="str">
        <f t="shared" ca="1" si="38"/>
        <v/>
      </c>
      <c r="F137" s="201" t="str">
        <f t="shared" ca="1" si="38"/>
        <v/>
      </c>
      <c r="G137" s="205" t="str">
        <f t="shared" ca="1" si="38"/>
        <v/>
      </c>
      <c r="H137" s="202" t="str">
        <f t="shared" ca="1" si="38"/>
        <v/>
      </c>
      <c r="I137" s="201" t="str">
        <f t="shared" ca="1" si="38"/>
        <v/>
      </c>
      <c r="J137" s="93" t="str">
        <f t="shared" ca="1" si="38"/>
        <v/>
      </c>
      <c r="K137" s="93" t="str">
        <f t="shared" ca="1" si="38"/>
        <v/>
      </c>
      <c r="L137" s="93" t="str">
        <f t="shared" ca="1" si="38"/>
        <v/>
      </c>
      <c r="M137" s="93" t="str">
        <f t="shared" ca="1" si="38"/>
        <v/>
      </c>
      <c r="N137" s="93" t="str">
        <f t="shared" ca="1" si="38"/>
        <v/>
      </c>
      <c r="O137" s="93" t="str">
        <f t="shared" ca="1" si="38"/>
        <v/>
      </c>
      <c r="P137" s="312" t="str">
        <f t="shared" ca="1" si="39"/>
        <v/>
      </c>
      <c r="Q137" s="93" t="str">
        <f t="shared" ca="1" si="39"/>
        <v/>
      </c>
      <c r="R137" s="93" t="str">
        <f t="shared" ca="1" si="39"/>
        <v/>
      </c>
      <c r="S137" s="201" t="str">
        <f t="shared" ca="1" si="24"/>
        <v/>
      </c>
      <c r="T137" s="201"/>
      <c r="Z137" s="40" t="e">
        <f t="shared" ca="1" si="25"/>
        <v>#N/A</v>
      </c>
      <c r="AA137" s="310">
        <f t="shared" ca="1" si="26"/>
        <v>999</v>
      </c>
      <c r="AB137" s="40" t="e">
        <f ca="1">IF(ISNUMBER($A137),VLOOKUP('Berechnungen 2'!AI140,Matrix_Empfehlung.Stromkosten.ID.BOText,3,1),"")</f>
        <v>#VALUE!</v>
      </c>
      <c r="AC137" s="40">
        <f t="shared" ca="1" si="40"/>
        <v>999</v>
      </c>
      <c r="AD137" s="40">
        <f t="shared" ca="1" si="40"/>
        <v>125</v>
      </c>
      <c r="AE137" s="311">
        <f t="shared" ca="1" si="29"/>
        <v>0</v>
      </c>
    </row>
    <row r="138" spans="1:31" x14ac:dyDescent="0.2">
      <c r="A138" s="201">
        <f t="shared" ca="1" si="23"/>
        <v>126</v>
      </c>
      <c r="B138" s="193">
        <f t="shared" si="27"/>
        <v>126</v>
      </c>
      <c r="C138" s="192">
        <f ca="1">IF(ISERROR(LARGE('Berechnungen 2'!$E$16:$E$315,B138)),"",LARGE('Berechnungen 2'!$E$16:$E$315,B138))</f>
        <v>175</v>
      </c>
      <c r="D138" s="201" t="str">
        <f t="shared" ca="1" si="38"/>
        <v/>
      </c>
      <c r="E138" s="201" t="str">
        <f t="shared" ca="1" si="38"/>
        <v/>
      </c>
      <c r="F138" s="201" t="str">
        <f t="shared" ca="1" si="38"/>
        <v/>
      </c>
      <c r="G138" s="205" t="str">
        <f t="shared" ca="1" si="38"/>
        <v/>
      </c>
      <c r="H138" s="202" t="str">
        <f t="shared" ca="1" si="38"/>
        <v/>
      </c>
      <c r="I138" s="201" t="str">
        <f t="shared" ca="1" si="38"/>
        <v/>
      </c>
      <c r="J138" s="93" t="str">
        <f t="shared" ca="1" si="38"/>
        <v/>
      </c>
      <c r="K138" s="93" t="str">
        <f t="shared" ca="1" si="38"/>
        <v/>
      </c>
      <c r="L138" s="93" t="str">
        <f t="shared" ca="1" si="38"/>
        <v/>
      </c>
      <c r="M138" s="93" t="str">
        <f t="shared" ca="1" si="38"/>
        <v/>
      </c>
      <c r="N138" s="93" t="str">
        <f t="shared" ca="1" si="38"/>
        <v/>
      </c>
      <c r="O138" s="93" t="str">
        <f t="shared" ca="1" si="38"/>
        <v/>
      </c>
      <c r="P138" s="312" t="str">
        <f t="shared" ca="1" si="39"/>
        <v/>
      </c>
      <c r="Q138" s="93" t="str">
        <f t="shared" ca="1" si="39"/>
        <v/>
      </c>
      <c r="R138" s="93" t="str">
        <f t="shared" ca="1" si="39"/>
        <v/>
      </c>
      <c r="S138" s="201" t="str">
        <f t="shared" ca="1" si="24"/>
        <v/>
      </c>
      <c r="T138" s="201"/>
      <c r="Z138" s="40" t="e">
        <f t="shared" ca="1" si="25"/>
        <v>#N/A</v>
      </c>
      <c r="AA138" s="310">
        <f t="shared" ca="1" si="26"/>
        <v>999</v>
      </c>
      <c r="AB138" s="40" t="e">
        <f ca="1">IF(ISNUMBER($A138),VLOOKUP('Berechnungen 2'!AI141,Matrix_Empfehlung.Stromkosten.ID.BOText,3,1),"")</f>
        <v>#VALUE!</v>
      </c>
      <c r="AC138" s="40">
        <f t="shared" ca="1" si="40"/>
        <v>999</v>
      </c>
      <c r="AD138" s="40">
        <f t="shared" ca="1" si="40"/>
        <v>126</v>
      </c>
      <c r="AE138" s="311">
        <f t="shared" ca="1" si="29"/>
        <v>0</v>
      </c>
    </row>
    <row r="139" spans="1:31" x14ac:dyDescent="0.2">
      <c r="A139" s="201">
        <f t="shared" ca="1" si="23"/>
        <v>127</v>
      </c>
      <c r="B139" s="193">
        <f t="shared" si="27"/>
        <v>127</v>
      </c>
      <c r="C139" s="192">
        <f ca="1">IF(ISERROR(LARGE('Berechnungen 2'!$E$16:$E$315,B139)),"",LARGE('Berechnungen 2'!$E$16:$E$315,B139))</f>
        <v>174</v>
      </c>
      <c r="D139" s="201" t="str">
        <f t="shared" ca="1" si="38"/>
        <v/>
      </c>
      <c r="E139" s="201" t="str">
        <f t="shared" ca="1" si="38"/>
        <v/>
      </c>
      <c r="F139" s="201" t="str">
        <f t="shared" ca="1" si="38"/>
        <v/>
      </c>
      <c r="G139" s="205" t="str">
        <f t="shared" ca="1" si="38"/>
        <v/>
      </c>
      <c r="H139" s="202" t="str">
        <f t="shared" ca="1" si="38"/>
        <v/>
      </c>
      <c r="I139" s="201" t="str">
        <f t="shared" ca="1" si="38"/>
        <v/>
      </c>
      <c r="J139" s="93" t="str">
        <f t="shared" ca="1" si="38"/>
        <v/>
      </c>
      <c r="K139" s="93" t="str">
        <f t="shared" ca="1" si="38"/>
        <v/>
      </c>
      <c r="L139" s="93" t="str">
        <f t="shared" ca="1" si="38"/>
        <v/>
      </c>
      <c r="M139" s="93" t="str">
        <f t="shared" ca="1" si="38"/>
        <v/>
      </c>
      <c r="N139" s="93" t="str">
        <f t="shared" ca="1" si="38"/>
        <v/>
      </c>
      <c r="O139" s="93" t="str">
        <f t="shared" ca="1" si="38"/>
        <v/>
      </c>
      <c r="P139" s="312" t="str">
        <f t="shared" ca="1" si="39"/>
        <v/>
      </c>
      <c r="Q139" s="93" t="str">
        <f t="shared" ca="1" si="39"/>
        <v/>
      </c>
      <c r="R139" s="93" t="str">
        <f t="shared" ca="1" si="39"/>
        <v/>
      </c>
      <c r="S139" s="201" t="str">
        <f t="shared" ca="1" si="24"/>
        <v/>
      </c>
      <c r="T139" s="201"/>
      <c r="Z139" s="40" t="e">
        <f t="shared" ca="1" si="25"/>
        <v>#N/A</v>
      </c>
      <c r="AA139" s="310">
        <f t="shared" ca="1" si="26"/>
        <v>999</v>
      </c>
      <c r="AB139" s="40" t="e">
        <f ca="1">IF(ISNUMBER($A139),VLOOKUP('Berechnungen 2'!AI142,Matrix_Empfehlung.Stromkosten.ID.BOText,3,1),"")</f>
        <v>#VALUE!</v>
      </c>
      <c r="AC139" s="40">
        <f t="shared" ca="1" si="40"/>
        <v>999</v>
      </c>
      <c r="AD139" s="40">
        <f t="shared" ca="1" si="40"/>
        <v>127</v>
      </c>
      <c r="AE139" s="311">
        <f t="shared" ca="1" si="29"/>
        <v>0</v>
      </c>
    </row>
    <row r="140" spans="1:31" x14ac:dyDescent="0.2">
      <c r="A140" s="201">
        <f t="shared" ca="1" si="23"/>
        <v>128</v>
      </c>
      <c r="B140" s="193">
        <f t="shared" si="27"/>
        <v>128</v>
      </c>
      <c r="C140" s="192">
        <f ca="1">IF(ISERROR(LARGE('Berechnungen 2'!$E$16:$E$315,B140)),"",LARGE('Berechnungen 2'!$E$16:$E$315,B140))</f>
        <v>173</v>
      </c>
      <c r="D140" s="201" t="str">
        <f t="shared" ca="1" si="38"/>
        <v/>
      </c>
      <c r="E140" s="201" t="str">
        <f t="shared" ca="1" si="38"/>
        <v/>
      </c>
      <c r="F140" s="201" t="str">
        <f t="shared" ca="1" si="38"/>
        <v/>
      </c>
      <c r="G140" s="205" t="str">
        <f t="shared" ca="1" si="38"/>
        <v/>
      </c>
      <c r="H140" s="202" t="str">
        <f t="shared" ca="1" si="38"/>
        <v/>
      </c>
      <c r="I140" s="201" t="str">
        <f t="shared" ca="1" si="38"/>
        <v/>
      </c>
      <c r="J140" s="93" t="str">
        <f t="shared" ca="1" si="38"/>
        <v/>
      </c>
      <c r="K140" s="93" t="str">
        <f t="shared" ca="1" si="38"/>
        <v/>
      </c>
      <c r="L140" s="93" t="str">
        <f t="shared" ca="1" si="38"/>
        <v/>
      </c>
      <c r="M140" s="93" t="str">
        <f t="shared" ca="1" si="38"/>
        <v/>
      </c>
      <c r="N140" s="93" t="str">
        <f t="shared" ca="1" si="38"/>
        <v/>
      </c>
      <c r="O140" s="93" t="str">
        <f t="shared" ca="1" si="38"/>
        <v/>
      </c>
      <c r="P140" s="312" t="str">
        <f t="shared" ca="1" si="39"/>
        <v/>
      </c>
      <c r="Q140" s="93" t="str">
        <f t="shared" ca="1" si="39"/>
        <v/>
      </c>
      <c r="R140" s="93" t="str">
        <f t="shared" ca="1" si="39"/>
        <v/>
      </c>
      <c r="S140" s="201" t="str">
        <f t="shared" ca="1" si="24"/>
        <v/>
      </c>
      <c r="T140" s="201"/>
      <c r="Z140" s="40" t="e">
        <f t="shared" ca="1" si="25"/>
        <v>#N/A</v>
      </c>
      <c r="AA140" s="310">
        <f t="shared" ca="1" si="26"/>
        <v>999</v>
      </c>
      <c r="AB140" s="40" t="e">
        <f ca="1">IF(ISNUMBER($A140),VLOOKUP('Berechnungen 2'!AI143,Matrix_Empfehlung.Stromkosten.ID.BOText,3,1),"")</f>
        <v>#VALUE!</v>
      </c>
      <c r="AC140" s="40">
        <f t="shared" ca="1" si="40"/>
        <v>999</v>
      </c>
      <c r="AD140" s="40">
        <f t="shared" ca="1" si="40"/>
        <v>128</v>
      </c>
      <c r="AE140" s="311">
        <f t="shared" ca="1" si="29"/>
        <v>0</v>
      </c>
    </row>
    <row r="141" spans="1:31" x14ac:dyDescent="0.2">
      <c r="A141" s="201">
        <f t="shared" ref="A141:A204" ca="1" si="41">VLOOKUP($C141,Matrix_Berechnungen2.Rang.Pumpendaten.Endresultate,A$9,0)</f>
        <v>129</v>
      </c>
      <c r="B141" s="193">
        <f t="shared" si="27"/>
        <v>129</v>
      </c>
      <c r="C141" s="192">
        <f ca="1">IF(ISERROR(LARGE('Berechnungen 2'!$E$16:$E$315,B141)),"",LARGE('Berechnungen 2'!$E$16:$E$315,B141))</f>
        <v>172</v>
      </c>
      <c r="D141" s="201" t="str">
        <f t="shared" ca="1" si="38"/>
        <v/>
      </c>
      <c r="E141" s="201" t="str">
        <f t="shared" ca="1" si="38"/>
        <v/>
      </c>
      <c r="F141" s="201" t="str">
        <f t="shared" ca="1" si="38"/>
        <v/>
      </c>
      <c r="G141" s="205" t="str">
        <f t="shared" ca="1" si="38"/>
        <v/>
      </c>
      <c r="H141" s="202" t="str">
        <f t="shared" ca="1" si="38"/>
        <v/>
      </c>
      <c r="I141" s="201" t="str">
        <f t="shared" ca="1" si="38"/>
        <v/>
      </c>
      <c r="J141" s="93" t="str">
        <f t="shared" ca="1" si="38"/>
        <v/>
      </c>
      <c r="K141" s="93" t="str">
        <f t="shared" ca="1" si="38"/>
        <v/>
      </c>
      <c r="L141" s="93" t="str">
        <f t="shared" ca="1" si="38"/>
        <v/>
      </c>
      <c r="M141" s="93" t="str">
        <f t="shared" ca="1" si="38"/>
        <v/>
      </c>
      <c r="N141" s="93" t="str">
        <f t="shared" ca="1" si="38"/>
        <v/>
      </c>
      <c r="O141" s="93" t="str">
        <f t="shared" ca="1" si="38"/>
        <v/>
      </c>
      <c r="P141" s="312" t="str">
        <f t="shared" ca="1" si="39"/>
        <v/>
      </c>
      <c r="Q141" s="93" t="str">
        <f t="shared" ca="1" si="39"/>
        <v/>
      </c>
      <c r="R141" s="93" t="str">
        <f t="shared" ca="1" si="39"/>
        <v/>
      </c>
      <c r="S141" s="201" t="str">
        <f t="shared" ref="S141:S204" ca="1" si="42">IF(AND($AC141&gt;0,$AC141&lt;&gt;999,$AC141&lt;&gt;9999,$AA141&gt;0),VLOOKUP(R141,Matrix_Empfehlung.Potential.ID.DetailanalyseText,3,1),"")</f>
        <v/>
      </c>
      <c r="T141" s="201"/>
      <c r="Z141" s="40" t="e">
        <f t="shared" ref="Z141:Z204" ca="1" si="43">IF(ISNUMBER($A141),VLOOKUP(R141,Matrix_Empfehlung.Potential.ID.DetailanalyseText,4,1),0)</f>
        <v>#N/A</v>
      </c>
      <c r="AA141" s="310">
        <f t="shared" ref="AA141:AA204" ca="1" si="44">VLOOKUP($C141,Matrix_Berechnungen2.Rang.Pumpendaten.Endresultate,AA$9,0)</f>
        <v>999</v>
      </c>
      <c r="AB141" s="40" t="e">
        <f ca="1">IF(ISNUMBER($A141),VLOOKUP('Berechnungen 2'!AI144,Matrix_Empfehlung.Stromkosten.ID.BOText,3,1),"")</f>
        <v>#VALUE!</v>
      </c>
      <c r="AC141" s="40">
        <f t="shared" ca="1" si="40"/>
        <v>999</v>
      </c>
      <c r="AD141" s="40">
        <f t="shared" ca="1" si="40"/>
        <v>129</v>
      </c>
      <c r="AE141" s="311">
        <f t="shared" ca="1" si="29"/>
        <v>0</v>
      </c>
    </row>
    <row r="142" spans="1:31" x14ac:dyDescent="0.2">
      <c r="A142" s="201">
        <f t="shared" ca="1" si="41"/>
        <v>130</v>
      </c>
      <c r="B142" s="193">
        <f t="shared" si="27"/>
        <v>130</v>
      </c>
      <c r="C142" s="192">
        <f ca="1">IF(ISERROR(LARGE('Berechnungen 2'!$E$16:$E$315,B142)),"",LARGE('Berechnungen 2'!$E$16:$E$315,B142))</f>
        <v>171</v>
      </c>
      <c r="D142" s="201" t="str">
        <f t="shared" ca="1" si="38"/>
        <v/>
      </c>
      <c r="E142" s="201" t="str">
        <f t="shared" ca="1" si="38"/>
        <v/>
      </c>
      <c r="F142" s="201" t="str">
        <f t="shared" ca="1" si="38"/>
        <v/>
      </c>
      <c r="G142" s="205" t="str">
        <f t="shared" ca="1" si="38"/>
        <v/>
      </c>
      <c r="H142" s="202" t="str">
        <f t="shared" ca="1" si="38"/>
        <v/>
      </c>
      <c r="I142" s="201" t="str">
        <f t="shared" ca="1" si="38"/>
        <v/>
      </c>
      <c r="J142" s="93" t="str">
        <f t="shared" ca="1" si="38"/>
        <v/>
      </c>
      <c r="K142" s="93" t="str">
        <f t="shared" ca="1" si="38"/>
        <v/>
      </c>
      <c r="L142" s="93" t="str">
        <f t="shared" ca="1" si="38"/>
        <v/>
      </c>
      <c r="M142" s="93" t="str">
        <f t="shared" ca="1" si="38"/>
        <v/>
      </c>
      <c r="N142" s="93" t="str">
        <f t="shared" ca="1" si="38"/>
        <v/>
      </c>
      <c r="O142" s="93" t="str">
        <f t="shared" ca="1" si="38"/>
        <v/>
      </c>
      <c r="P142" s="312" t="str">
        <f t="shared" ca="1" si="39"/>
        <v/>
      </c>
      <c r="Q142" s="93" t="str">
        <f t="shared" ca="1" si="39"/>
        <v/>
      </c>
      <c r="R142" s="93" t="str">
        <f t="shared" ca="1" si="39"/>
        <v/>
      </c>
      <c r="S142" s="201" t="str">
        <f t="shared" ca="1" si="42"/>
        <v/>
      </c>
      <c r="T142" s="201"/>
      <c r="Z142" s="40" t="e">
        <f t="shared" ca="1" si="43"/>
        <v>#N/A</v>
      </c>
      <c r="AA142" s="310">
        <f t="shared" ca="1" si="44"/>
        <v>999</v>
      </c>
      <c r="AB142" s="40" t="e">
        <f ca="1">IF(ISNUMBER($A142),VLOOKUP('Berechnungen 2'!AI145,Matrix_Empfehlung.Stromkosten.ID.BOText,3,1),"")</f>
        <v>#VALUE!</v>
      </c>
      <c r="AC142" s="40">
        <f t="shared" ca="1" si="40"/>
        <v>999</v>
      </c>
      <c r="AD142" s="40">
        <f t="shared" ca="1" si="40"/>
        <v>130</v>
      </c>
      <c r="AE142" s="311">
        <f t="shared" ca="1" si="29"/>
        <v>0</v>
      </c>
    </row>
    <row r="143" spans="1:31" x14ac:dyDescent="0.2">
      <c r="A143" s="201">
        <f t="shared" ca="1" si="41"/>
        <v>131</v>
      </c>
      <c r="B143" s="193">
        <f t="shared" ref="B143:B206" si="45">B142+1</f>
        <v>131</v>
      </c>
      <c r="C143" s="192">
        <f ca="1">IF(ISERROR(LARGE('Berechnungen 2'!$E$16:$E$315,B143)),"",LARGE('Berechnungen 2'!$E$16:$E$315,B143))</f>
        <v>170</v>
      </c>
      <c r="D143" s="201" t="str">
        <f t="shared" ref="D143:O152" ca="1" si="46">IF($AC143&gt;0,VLOOKUP($C143,Matrix_Berechnungen2.Rang.Pumpendaten.Endresultate,D$9,0),"")</f>
        <v/>
      </c>
      <c r="E143" s="201" t="str">
        <f t="shared" ca="1" si="46"/>
        <v/>
      </c>
      <c r="F143" s="201" t="str">
        <f t="shared" ca="1" si="46"/>
        <v/>
      </c>
      <c r="G143" s="205" t="str">
        <f t="shared" ca="1" si="46"/>
        <v/>
      </c>
      <c r="H143" s="202" t="str">
        <f t="shared" ca="1" si="46"/>
        <v/>
      </c>
      <c r="I143" s="201" t="str">
        <f t="shared" ca="1" si="46"/>
        <v/>
      </c>
      <c r="J143" s="93" t="str">
        <f t="shared" ca="1" si="46"/>
        <v/>
      </c>
      <c r="K143" s="93" t="str">
        <f t="shared" ca="1" si="46"/>
        <v/>
      </c>
      <c r="L143" s="93" t="str">
        <f t="shared" ca="1" si="46"/>
        <v/>
      </c>
      <c r="M143" s="93" t="str">
        <f t="shared" ca="1" si="46"/>
        <v/>
      </c>
      <c r="N143" s="93" t="str">
        <f t="shared" ca="1" si="46"/>
        <v/>
      </c>
      <c r="O143" s="93" t="str">
        <f t="shared" ca="1" si="46"/>
        <v/>
      </c>
      <c r="P143" s="312" t="str">
        <f t="shared" ca="1" si="39"/>
        <v/>
      </c>
      <c r="Q143" s="93" t="str">
        <f t="shared" ca="1" si="39"/>
        <v/>
      </c>
      <c r="R143" s="93" t="str">
        <f t="shared" ca="1" si="39"/>
        <v/>
      </c>
      <c r="S143" s="201" t="str">
        <f t="shared" ca="1" si="42"/>
        <v/>
      </c>
      <c r="T143" s="201"/>
      <c r="Z143" s="40" t="e">
        <f t="shared" ca="1" si="43"/>
        <v>#N/A</v>
      </c>
      <c r="AA143" s="310">
        <f t="shared" ca="1" si="44"/>
        <v>999</v>
      </c>
      <c r="AB143" s="40" t="e">
        <f ca="1">IF(ISNUMBER($A143),VLOOKUP('Berechnungen 2'!AI146,Matrix_Empfehlung.Stromkosten.ID.BOText,3,1),"")</f>
        <v>#VALUE!</v>
      </c>
      <c r="AC143" s="40">
        <f t="shared" ca="1" si="40"/>
        <v>999</v>
      </c>
      <c r="AD143" s="40">
        <f t="shared" ca="1" si="40"/>
        <v>131</v>
      </c>
      <c r="AE143" s="311">
        <f t="shared" ca="1" si="29"/>
        <v>0</v>
      </c>
    </row>
    <row r="144" spans="1:31" x14ac:dyDescent="0.2">
      <c r="A144" s="201">
        <f t="shared" ca="1" si="41"/>
        <v>132</v>
      </c>
      <c r="B144" s="193">
        <f t="shared" si="45"/>
        <v>132</v>
      </c>
      <c r="C144" s="192">
        <f ca="1">IF(ISERROR(LARGE('Berechnungen 2'!$E$16:$E$315,B144)),"",LARGE('Berechnungen 2'!$E$16:$E$315,B144))</f>
        <v>169</v>
      </c>
      <c r="D144" s="201" t="str">
        <f t="shared" ca="1" si="46"/>
        <v/>
      </c>
      <c r="E144" s="201" t="str">
        <f t="shared" ca="1" si="46"/>
        <v/>
      </c>
      <c r="F144" s="201" t="str">
        <f t="shared" ca="1" si="46"/>
        <v/>
      </c>
      <c r="G144" s="205" t="str">
        <f t="shared" ca="1" si="46"/>
        <v/>
      </c>
      <c r="H144" s="202" t="str">
        <f t="shared" ca="1" si="46"/>
        <v/>
      </c>
      <c r="I144" s="201" t="str">
        <f t="shared" ca="1" si="46"/>
        <v/>
      </c>
      <c r="J144" s="93" t="str">
        <f t="shared" ca="1" si="46"/>
        <v/>
      </c>
      <c r="K144" s="93" t="str">
        <f t="shared" ca="1" si="46"/>
        <v/>
      </c>
      <c r="L144" s="93" t="str">
        <f t="shared" ca="1" si="46"/>
        <v/>
      </c>
      <c r="M144" s="93" t="str">
        <f t="shared" ca="1" si="46"/>
        <v/>
      </c>
      <c r="N144" s="93" t="str">
        <f t="shared" ca="1" si="46"/>
        <v/>
      </c>
      <c r="O144" s="93" t="str">
        <f t="shared" ca="1" si="46"/>
        <v/>
      </c>
      <c r="P144" s="312" t="str">
        <f t="shared" ca="1" si="39"/>
        <v/>
      </c>
      <c r="Q144" s="93" t="str">
        <f t="shared" ca="1" si="39"/>
        <v/>
      </c>
      <c r="R144" s="93" t="str">
        <f t="shared" ca="1" si="39"/>
        <v/>
      </c>
      <c r="S144" s="201" t="str">
        <f t="shared" ca="1" si="42"/>
        <v/>
      </c>
      <c r="T144" s="201"/>
      <c r="Z144" s="40" t="e">
        <f t="shared" ca="1" si="43"/>
        <v>#N/A</v>
      </c>
      <c r="AA144" s="310">
        <f t="shared" ca="1" si="44"/>
        <v>999</v>
      </c>
      <c r="AB144" s="40" t="e">
        <f ca="1">IF(ISNUMBER($A144),VLOOKUP('Berechnungen 2'!AI147,Matrix_Empfehlung.Stromkosten.ID.BOText,3,1),"")</f>
        <v>#VALUE!</v>
      </c>
      <c r="AC144" s="40">
        <f t="shared" ca="1" si="40"/>
        <v>999</v>
      </c>
      <c r="AD144" s="40">
        <f t="shared" ca="1" si="40"/>
        <v>132</v>
      </c>
      <c r="AE144" s="311">
        <f t="shared" ca="1" si="29"/>
        <v>0</v>
      </c>
    </row>
    <row r="145" spans="1:31" x14ac:dyDescent="0.2">
      <c r="A145" s="201">
        <f t="shared" ca="1" si="41"/>
        <v>133</v>
      </c>
      <c r="B145" s="193">
        <f t="shared" si="45"/>
        <v>133</v>
      </c>
      <c r="C145" s="192">
        <f ca="1">IF(ISERROR(LARGE('Berechnungen 2'!$E$16:$E$315,B145)),"",LARGE('Berechnungen 2'!$E$16:$E$315,B145))</f>
        <v>168</v>
      </c>
      <c r="D145" s="201" t="str">
        <f t="shared" ca="1" si="46"/>
        <v/>
      </c>
      <c r="E145" s="201" t="str">
        <f t="shared" ca="1" si="46"/>
        <v/>
      </c>
      <c r="F145" s="201" t="str">
        <f t="shared" ca="1" si="46"/>
        <v/>
      </c>
      <c r="G145" s="205" t="str">
        <f t="shared" ca="1" si="46"/>
        <v/>
      </c>
      <c r="H145" s="202" t="str">
        <f t="shared" ca="1" si="46"/>
        <v/>
      </c>
      <c r="I145" s="201" t="str">
        <f t="shared" ca="1" si="46"/>
        <v/>
      </c>
      <c r="J145" s="93" t="str">
        <f t="shared" ca="1" si="46"/>
        <v/>
      </c>
      <c r="K145" s="93" t="str">
        <f t="shared" ca="1" si="46"/>
        <v/>
      </c>
      <c r="L145" s="93" t="str">
        <f t="shared" ca="1" si="46"/>
        <v/>
      </c>
      <c r="M145" s="93" t="str">
        <f t="shared" ca="1" si="46"/>
        <v/>
      </c>
      <c r="N145" s="93" t="str">
        <f t="shared" ca="1" si="46"/>
        <v/>
      </c>
      <c r="O145" s="93" t="str">
        <f t="shared" ca="1" si="46"/>
        <v/>
      </c>
      <c r="P145" s="312" t="str">
        <f t="shared" ca="1" si="39"/>
        <v/>
      </c>
      <c r="Q145" s="93" t="str">
        <f t="shared" ca="1" si="39"/>
        <v/>
      </c>
      <c r="R145" s="93" t="str">
        <f t="shared" ca="1" si="39"/>
        <v/>
      </c>
      <c r="S145" s="201" t="str">
        <f t="shared" ca="1" si="42"/>
        <v/>
      </c>
      <c r="T145" s="201"/>
      <c r="Z145" s="40" t="e">
        <f t="shared" ca="1" si="43"/>
        <v>#N/A</v>
      </c>
      <c r="AA145" s="310">
        <f t="shared" ca="1" si="44"/>
        <v>999</v>
      </c>
      <c r="AB145" s="40" t="e">
        <f ca="1">IF(ISNUMBER($A145),VLOOKUP('Berechnungen 2'!AI148,Matrix_Empfehlung.Stromkosten.ID.BOText,3,1),"")</f>
        <v>#VALUE!</v>
      </c>
      <c r="AC145" s="40">
        <f t="shared" ca="1" si="40"/>
        <v>999</v>
      </c>
      <c r="AD145" s="40">
        <f t="shared" ca="1" si="40"/>
        <v>133</v>
      </c>
      <c r="AE145" s="311">
        <f t="shared" ca="1" si="29"/>
        <v>0</v>
      </c>
    </row>
    <row r="146" spans="1:31" x14ac:dyDescent="0.2">
      <c r="A146" s="201">
        <f t="shared" ca="1" si="41"/>
        <v>134</v>
      </c>
      <c r="B146" s="193">
        <f t="shared" si="45"/>
        <v>134</v>
      </c>
      <c r="C146" s="192">
        <f ca="1">IF(ISERROR(LARGE('Berechnungen 2'!$E$16:$E$315,B146)),"",LARGE('Berechnungen 2'!$E$16:$E$315,B146))</f>
        <v>167</v>
      </c>
      <c r="D146" s="201" t="str">
        <f t="shared" ca="1" si="46"/>
        <v/>
      </c>
      <c r="E146" s="201" t="str">
        <f t="shared" ca="1" si="46"/>
        <v/>
      </c>
      <c r="F146" s="201" t="str">
        <f t="shared" ca="1" si="46"/>
        <v/>
      </c>
      <c r="G146" s="205" t="str">
        <f t="shared" ca="1" si="46"/>
        <v/>
      </c>
      <c r="H146" s="202" t="str">
        <f t="shared" ca="1" si="46"/>
        <v/>
      </c>
      <c r="I146" s="201" t="str">
        <f t="shared" ca="1" si="46"/>
        <v/>
      </c>
      <c r="J146" s="93" t="str">
        <f t="shared" ca="1" si="46"/>
        <v/>
      </c>
      <c r="K146" s="93" t="str">
        <f t="shared" ca="1" si="46"/>
        <v/>
      </c>
      <c r="L146" s="93" t="str">
        <f t="shared" ca="1" si="46"/>
        <v/>
      </c>
      <c r="M146" s="93" t="str">
        <f t="shared" ca="1" si="46"/>
        <v/>
      </c>
      <c r="N146" s="93" t="str">
        <f t="shared" ca="1" si="46"/>
        <v/>
      </c>
      <c r="O146" s="93" t="str">
        <f t="shared" ca="1" si="46"/>
        <v/>
      </c>
      <c r="P146" s="312" t="str">
        <f t="shared" ca="1" si="39"/>
        <v/>
      </c>
      <c r="Q146" s="93" t="str">
        <f t="shared" ca="1" si="39"/>
        <v/>
      </c>
      <c r="R146" s="93" t="str">
        <f t="shared" ca="1" si="39"/>
        <v/>
      </c>
      <c r="S146" s="201" t="str">
        <f t="shared" ca="1" si="42"/>
        <v/>
      </c>
      <c r="T146" s="201"/>
      <c r="Z146" s="40" t="e">
        <f t="shared" ca="1" si="43"/>
        <v>#N/A</v>
      </c>
      <c r="AA146" s="310">
        <f t="shared" ca="1" si="44"/>
        <v>999</v>
      </c>
      <c r="AB146" s="40" t="e">
        <f ca="1">IF(ISNUMBER($A146),VLOOKUP('Berechnungen 2'!AI149,Matrix_Empfehlung.Stromkosten.ID.BOText,3,1),"")</f>
        <v>#VALUE!</v>
      </c>
      <c r="AC146" s="40">
        <f t="shared" ca="1" si="40"/>
        <v>999</v>
      </c>
      <c r="AD146" s="40">
        <f t="shared" ca="1" si="40"/>
        <v>134</v>
      </c>
      <c r="AE146" s="311">
        <f t="shared" ca="1" si="29"/>
        <v>0</v>
      </c>
    </row>
    <row r="147" spans="1:31" x14ac:dyDescent="0.2">
      <c r="A147" s="201">
        <f t="shared" ca="1" si="41"/>
        <v>135</v>
      </c>
      <c r="B147" s="193">
        <f t="shared" si="45"/>
        <v>135</v>
      </c>
      <c r="C147" s="192">
        <f ca="1">IF(ISERROR(LARGE('Berechnungen 2'!$E$16:$E$315,B147)),"",LARGE('Berechnungen 2'!$E$16:$E$315,B147))</f>
        <v>166</v>
      </c>
      <c r="D147" s="201" t="str">
        <f t="shared" ca="1" si="46"/>
        <v/>
      </c>
      <c r="E147" s="201" t="str">
        <f t="shared" ca="1" si="46"/>
        <v/>
      </c>
      <c r="F147" s="201" t="str">
        <f t="shared" ca="1" si="46"/>
        <v/>
      </c>
      <c r="G147" s="205" t="str">
        <f t="shared" ca="1" si="46"/>
        <v/>
      </c>
      <c r="H147" s="202" t="str">
        <f t="shared" ca="1" si="46"/>
        <v/>
      </c>
      <c r="I147" s="201" t="str">
        <f t="shared" ca="1" si="46"/>
        <v/>
      </c>
      <c r="J147" s="93" t="str">
        <f t="shared" ca="1" si="46"/>
        <v/>
      </c>
      <c r="K147" s="93" t="str">
        <f t="shared" ca="1" si="46"/>
        <v/>
      </c>
      <c r="L147" s="93" t="str">
        <f t="shared" ca="1" si="46"/>
        <v/>
      </c>
      <c r="M147" s="93" t="str">
        <f t="shared" ca="1" si="46"/>
        <v/>
      </c>
      <c r="N147" s="93" t="str">
        <f t="shared" ca="1" si="46"/>
        <v/>
      </c>
      <c r="O147" s="93" t="str">
        <f t="shared" ca="1" si="46"/>
        <v/>
      </c>
      <c r="P147" s="312" t="str">
        <f t="shared" ca="1" si="39"/>
        <v/>
      </c>
      <c r="Q147" s="93" t="str">
        <f t="shared" ca="1" si="39"/>
        <v/>
      </c>
      <c r="R147" s="93" t="str">
        <f t="shared" ca="1" si="39"/>
        <v/>
      </c>
      <c r="S147" s="201" t="str">
        <f t="shared" ca="1" si="42"/>
        <v/>
      </c>
      <c r="T147" s="201"/>
      <c r="Z147" s="40" t="e">
        <f t="shared" ca="1" si="43"/>
        <v>#N/A</v>
      </c>
      <c r="AA147" s="310">
        <f t="shared" ca="1" si="44"/>
        <v>999</v>
      </c>
      <c r="AB147" s="40" t="e">
        <f ca="1">IF(ISNUMBER($A147),VLOOKUP('Berechnungen 2'!AI150,Matrix_Empfehlung.Stromkosten.ID.BOText,3,1),"")</f>
        <v>#VALUE!</v>
      </c>
      <c r="AC147" s="40">
        <f t="shared" ca="1" si="40"/>
        <v>999</v>
      </c>
      <c r="AD147" s="40">
        <f t="shared" ca="1" si="40"/>
        <v>135</v>
      </c>
      <c r="AE147" s="311">
        <f t="shared" ca="1" si="29"/>
        <v>0</v>
      </c>
    </row>
    <row r="148" spans="1:31" x14ac:dyDescent="0.2">
      <c r="A148" s="201">
        <f t="shared" ca="1" si="41"/>
        <v>136</v>
      </c>
      <c r="B148" s="193">
        <f t="shared" si="45"/>
        <v>136</v>
      </c>
      <c r="C148" s="192">
        <f ca="1">IF(ISERROR(LARGE('Berechnungen 2'!$E$16:$E$315,B148)),"",LARGE('Berechnungen 2'!$E$16:$E$315,B148))</f>
        <v>165</v>
      </c>
      <c r="D148" s="201" t="str">
        <f t="shared" ca="1" si="46"/>
        <v/>
      </c>
      <c r="E148" s="201" t="str">
        <f t="shared" ca="1" si="46"/>
        <v/>
      </c>
      <c r="F148" s="201" t="str">
        <f t="shared" ca="1" si="46"/>
        <v/>
      </c>
      <c r="G148" s="205" t="str">
        <f t="shared" ca="1" si="46"/>
        <v/>
      </c>
      <c r="H148" s="202" t="str">
        <f t="shared" ca="1" si="46"/>
        <v/>
      </c>
      <c r="I148" s="201" t="str">
        <f t="shared" ca="1" si="46"/>
        <v/>
      </c>
      <c r="J148" s="93" t="str">
        <f t="shared" ca="1" si="46"/>
        <v/>
      </c>
      <c r="K148" s="93" t="str">
        <f t="shared" ca="1" si="46"/>
        <v/>
      </c>
      <c r="L148" s="93" t="str">
        <f t="shared" ca="1" si="46"/>
        <v/>
      </c>
      <c r="M148" s="93" t="str">
        <f t="shared" ca="1" si="46"/>
        <v/>
      </c>
      <c r="N148" s="93" t="str">
        <f t="shared" ca="1" si="46"/>
        <v/>
      </c>
      <c r="O148" s="93" t="str">
        <f t="shared" ca="1" si="46"/>
        <v/>
      </c>
      <c r="P148" s="312" t="str">
        <f t="shared" ca="1" si="39"/>
        <v/>
      </c>
      <c r="Q148" s="93" t="str">
        <f t="shared" ca="1" si="39"/>
        <v/>
      </c>
      <c r="R148" s="93" t="str">
        <f t="shared" ca="1" si="39"/>
        <v/>
      </c>
      <c r="S148" s="201" t="str">
        <f t="shared" ca="1" si="42"/>
        <v/>
      </c>
      <c r="T148" s="201"/>
      <c r="Z148" s="40" t="e">
        <f t="shared" ca="1" si="43"/>
        <v>#N/A</v>
      </c>
      <c r="AA148" s="310">
        <f t="shared" ca="1" si="44"/>
        <v>999</v>
      </c>
      <c r="AB148" s="40" t="e">
        <f ca="1">IF(ISNUMBER($A148),VLOOKUP('Berechnungen 2'!AI151,Matrix_Empfehlung.Stromkosten.ID.BOText,3,1),"")</f>
        <v>#VALUE!</v>
      </c>
      <c r="AC148" s="40">
        <f t="shared" ca="1" si="40"/>
        <v>999</v>
      </c>
      <c r="AD148" s="40">
        <f t="shared" ca="1" si="40"/>
        <v>136</v>
      </c>
      <c r="AE148" s="311">
        <f t="shared" ca="1" si="29"/>
        <v>0</v>
      </c>
    </row>
    <row r="149" spans="1:31" x14ac:dyDescent="0.2">
      <c r="A149" s="201">
        <f t="shared" ca="1" si="41"/>
        <v>137</v>
      </c>
      <c r="B149" s="193">
        <f t="shared" si="45"/>
        <v>137</v>
      </c>
      <c r="C149" s="192">
        <f ca="1">IF(ISERROR(LARGE('Berechnungen 2'!$E$16:$E$315,B149)),"",LARGE('Berechnungen 2'!$E$16:$E$315,B149))</f>
        <v>164</v>
      </c>
      <c r="D149" s="201" t="str">
        <f t="shared" ca="1" si="46"/>
        <v/>
      </c>
      <c r="E149" s="201" t="str">
        <f t="shared" ca="1" si="46"/>
        <v/>
      </c>
      <c r="F149" s="201" t="str">
        <f t="shared" ca="1" si="46"/>
        <v/>
      </c>
      <c r="G149" s="205" t="str">
        <f t="shared" ca="1" si="46"/>
        <v/>
      </c>
      <c r="H149" s="202" t="str">
        <f t="shared" ca="1" si="46"/>
        <v/>
      </c>
      <c r="I149" s="201" t="str">
        <f t="shared" ca="1" si="46"/>
        <v/>
      </c>
      <c r="J149" s="93" t="str">
        <f t="shared" ca="1" si="46"/>
        <v/>
      </c>
      <c r="K149" s="93" t="str">
        <f t="shared" ca="1" si="46"/>
        <v/>
      </c>
      <c r="L149" s="93" t="str">
        <f t="shared" ca="1" si="46"/>
        <v/>
      </c>
      <c r="M149" s="93" t="str">
        <f t="shared" ca="1" si="46"/>
        <v/>
      </c>
      <c r="N149" s="93" t="str">
        <f t="shared" ca="1" si="46"/>
        <v/>
      </c>
      <c r="O149" s="93" t="str">
        <f t="shared" ca="1" si="46"/>
        <v/>
      </c>
      <c r="P149" s="312" t="str">
        <f t="shared" ca="1" si="39"/>
        <v/>
      </c>
      <c r="Q149" s="93" t="str">
        <f t="shared" ca="1" si="39"/>
        <v/>
      </c>
      <c r="R149" s="93" t="str">
        <f t="shared" ca="1" si="39"/>
        <v/>
      </c>
      <c r="S149" s="201" t="str">
        <f t="shared" ca="1" si="42"/>
        <v/>
      </c>
      <c r="T149" s="201"/>
      <c r="Z149" s="40" t="e">
        <f t="shared" ca="1" si="43"/>
        <v>#N/A</v>
      </c>
      <c r="AA149" s="310">
        <f t="shared" ca="1" si="44"/>
        <v>999</v>
      </c>
      <c r="AB149" s="40" t="e">
        <f ca="1">IF(ISNUMBER($A149),VLOOKUP('Berechnungen 2'!AI152,Matrix_Empfehlung.Stromkosten.ID.BOText,3,1),"")</f>
        <v>#VALUE!</v>
      </c>
      <c r="AC149" s="40">
        <f t="shared" ca="1" si="40"/>
        <v>999</v>
      </c>
      <c r="AD149" s="40">
        <f t="shared" ca="1" si="40"/>
        <v>137</v>
      </c>
      <c r="AE149" s="311">
        <f t="shared" ca="1" si="29"/>
        <v>0</v>
      </c>
    </row>
    <row r="150" spans="1:31" x14ac:dyDescent="0.2">
      <c r="A150" s="201">
        <f t="shared" ca="1" si="41"/>
        <v>138</v>
      </c>
      <c r="B150" s="193">
        <f t="shared" si="45"/>
        <v>138</v>
      </c>
      <c r="C150" s="192">
        <f ca="1">IF(ISERROR(LARGE('Berechnungen 2'!$E$16:$E$315,B150)),"",LARGE('Berechnungen 2'!$E$16:$E$315,B150))</f>
        <v>163</v>
      </c>
      <c r="D150" s="201" t="str">
        <f t="shared" ca="1" si="46"/>
        <v/>
      </c>
      <c r="E150" s="201" t="str">
        <f t="shared" ca="1" si="46"/>
        <v/>
      </c>
      <c r="F150" s="201" t="str">
        <f t="shared" ca="1" si="46"/>
        <v/>
      </c>
      <c r="G150" s="205" t="str">
        <f t="shared" ca="1" si="46"/>
        <v/>
      </c>
      <c r="H150" s="202" t="str">
        <f t="shared" ca="1" si="46"/>
        <v/>
      </c>
      <c r="I150" s="201" t="str">
        <f t="shared" ca="1" si="46"/>
        <v/>
      </c>
      <c r="J150" s="93" t="str">
        <f t="shared" ca="1" si="46"/>
        <v/>
      </c>
      <c r="K150" s="93" t="str">
        <f t="shared" ca="1" si="46"/>
        <v/>
      </c>
      <c r="L150" s="93" t="str">
        <f t="shared" ca="1" si="46"/>
        <v/>
      </c>
      <c r="M150" s="93" t="str">
        <f t="shared" ca="1" si="46"/>
        <v/>
      </c>
      <c r="N150" s="93" t="str">
        <f t="shared" ca="1" si="46"/>
        <v/>
      </c>
      <c r="O150" s="93" t="str">
        <f t="shared" ca="1" si="46"/>
        <v/>
      </c>
      <c r="P150" s="312" t="str">
        <f t="shared" ca="1" si="39"/>
        <v/>
      </c>
      <c r="Q150" s="93" t="str">
        <f t="shared" ca="1" si="39"/>
        <v/>
      </c>
      <c r="R150" s="93" t="str">
        <f t="shared" ca="1" si="39"/>
        <v/>
      </c>
      <c r="S150" s="201" t="str">
        <f t="shared" ca="1" si="42"/>
        <v/>
      </c>
      <c r="T150" s="201"/>
      <c r="Z150" s="40" t="e">
        <f t="shared" ca="1" si="43"/>
        <v>#N/A</v>
      </c>
      <c r="AA150" s="310">
        <f t="shared" ca="1" si="44"/>
        <v>999</v>
      </c>
      <c r="AB150" s="40" t="e">
        <f ca="1">IF(ISNUMBER($A150),VLOOKUP('Berechnungen 2'!AI153,Matrix_Empfehlung.Stromkosten.ID.BOText,3,1),"")</f>
        <v>#VALUE!</v>
      </c>
      <c r="AC150" s="40">
        <f t="shared" ca="1" si="40"/>
        <v>999</v>
      </c>
      <c r="AD150" s="40">
        <f t="shared" ca="1" si="40"/>
        <v>138</v>
      </c>
      <c r="AE150" s="311">
        <f t="shared" ca="1" si="29"/>
        <v>0</v>
      </c>
    </row>
    <row r="151" spans="1:31" x14ac:dyDescent="0.2">
      <c r="A151" s="201">
        <f t="shared" ca="1" si="41"/>
        <v>139</v>
      </c>
      <c r="B151" s="193">
        <f t="shared" si="45"/>
        <v>139</v>
      </c>
      <c r="C151" s="192">
        <f ca="1">IF(ISERROR(LARGE('Berechnungen 2'!$E$16:$E$315,B151)),"",LARGE('Berechnungen 2'!$E$16:$E$315,B151))</f>
        <v>162</v>
      </c>
      <c r="D151" s="201" t="str">
        <f t="shared" ca="1" si="46"/>
        <v/>
      </c>
      <c r="E151" s="201" t="str">
        <f t="shared" ca="1" si="46"/>
        <v/>
      </c>
      <c r="F151" s="201" t="str">
        <f t="shared" ca="1" si="46"/>
        <v/>
      </c>
      <c r="G151" s="205" t="str">
        <f t="shared" ca="1" si="46"/>
        <v/>
      </c>
      <c r="H151" s="202" t="str">
        <f t="shared" ca="1" si="46"/>
        <v/>
      </c>
      <c r="I151" s="201" t="str">
        <f t="shared" ca="1" si="46"/>
        <v/>
      </c>
      <c r="J151" s="93" t="str">
        <f t="shared" ca="1" si="46"/>
        <v/>
      </c>
      <c r="K151" s="93" t="str">
        <f t="shared" ca="1" si="46"/>
        <v/>
      </c>
      <c r="L151" s="93" t="str">
        <f t="shared" ca="1" si="46"/>
        <v/>
      </c>
      <c r="M151" s="93" t="str">
        <f t="shared" ca="1" si="46"/>
        <v/>
      </c>
      <c r="N151" s="93" t="str">
        <f t="shared" ca="1" si="46"/>
        <v/>
      </c>
      <c r="O151" s="93" t="str">
        <f t="shared" ca="1" si="46"/>
        <v/>
      </c>
      <c r="P151" s="312" t="str">
        <f t="shared" ca="1" si="39"/>
        <v/>
      </c>
      <c r="Q151" s="93" t="str">
        <f t="shared" ca="1" si="39"/>
        <v/>
      </c>
      <c r="R151" s="93" t="str">
        <f t="shared" ca="1" si="39"/>
        <v/>
      </c>
      <c r="S151" s="201" t="str">
        <f t="shared" ca="1" si="42"/>
        <v/>
      </c>
      <c r="T151" s="201"/>
      <c r="Z151" s="40" t="e">
        <f t="shared" ca="1" si="43"/>
        <v>#N/A</v>
      </c>
      <c r="AA151" s="310">
        <f t="shared" ca="1" si="44"/>
        <v>999</v>
      </c>
      <c r="AB151" s="40" t="e">
        <f ca="1">IF(ISNUMBER($A151),VLOOKUP('Berechnungen 2'!AI154,Matrix_Empfehlung.Stromkosten.ID.BOText,3,1),"")</f>
        <v>#VALUE!</v>
      </c>
      <c r="AC151" s="40">
        <f t="shared" ca="1" si="40"/>
        <v>999</v>
      </c>
      <c r="AD151" s="40">
        <f t="shared" ca="1" si="40"/>
        <v>139</v>
      </c>
      <c r="AE151" s="311">
        <f t="shared" ca="1" si="29"/>
        <v>0</v>
      </c>
    </row>
    <row r="152" spans="1:31" x14ac:dyDescent="0.2">
      <c r="A152" s="201">
        <f t="shared" ca="1" si="41"/>
        <v>140</v>
      </c>
      <c r="B152" s="193">
        <f t="shared" si="45"/>
        <v>140</v>
      </c>
      <c r="C152" s="192">
        <f ca="1">IF(ISERROR(LARGE('Berechnungen 2'!$E$16:$E$315,B152)),"",LARGE('Berechnungen 2'!$E$16:$E$315,B152))</f>
        <v>161</v>
      </c>
      <c r="D152" s="201" t="str">
        <f t="shared" ca="1" si="46"/>
        <v/>
      </c>
      <c r="E152" s="201" t="str">
        <f t="shared" ca="1" si="46"/>
        <v/>
      </c>
      <c r="F152" s="201" t="str">
        <f t="shared" ca="1" si="46"/>
        <v/>
      </c>
      <c r="G152" s="205" t="str">
        <f t="shared" ca="1" si="46"/>
        <v/>
      </c>
      <c r="H152" s="202" t="str">
        <f t="shared" ca="1" si="46"/>
        <v/>
      </c>
      <c r="I152" s="201" t="str">
        <f t="shared" ca="1" si="46"/>
        <v/>
      </c>
      <c r="J152" s="93" t="str">
        <f t="shared" ca="1" si="46"/>
        <v/>
      </c>
      <c r="K152" s="93" t="str">
        <f t="shared" ca="1" si="46"/>
        <v/>
      </c>
      <c r="L152" s="93" t="str">
        <f t="shared" ca="1" si="46"/>
        <v/>
      </c>
      <c r="M152" s="93" t="str">
        <f t="shared" ca="1" si="46"/>
        <v/>
      </c>
      <c r="N152" s="93" t="str">
        <f t="shared" ca="1" si="46"/>
        <v/>
      </c>
      <c r="O152" s="93" t="str">
        <f t="shared" ca="1" si="46"/>
        <v/>
      </c>
      <c r="P152" s="312" t="str">
        <f t="shared" ca="1" si="39"/>
        <v/>
      </c>
      <c r="Q152" s="93" t="str">
        <f t="shared" ca="1" si="39"/>
        <v/>
      </c>
      <c r="R152" s="93" t="str">
        <f t="shared" ca="1" si="39"/>
        <v/>
      </c>
      <c r="S152" s="201" t="str">
        <f t="shared" ca="1" si="42"/>
        <v/>
      </c>
      <c r="T152" s="201"/>
      <c r="Z152" s="40" t="e">
        <f t="shared" ca="1" si="43"/>
        <v>#N/A</v>
      </c>
      <c r="AA152" s="310">
        <f t="shared" ca="1" si="44"/>
        <v>999</v>
      </c>
      <c r="AB152" s="40" t="e">
        <f ca="1">IF(ISNUMBER($A152),VLOOKUP('Berechnungen 2'!AI155,Matrix_Empfehlung.Stromkosten.ID.BOText,3,1),"")</f>
        <v>#VALUE!</v>
      </c>
      <c r="AC152" s="40">
        <f t="shared" ca="1" si="40"/>
        <v>999</v>
      </c>
      <c r="AD152" s="40">
        <f t="shared" ca="1" si="40"/>
        <v>140</v>
      </c>
      <c r="AE152" s="311">
        <f t="shared" ca="1" si="29"/>
        <v>0</v>
      </c>
    </row>
    <row r="153" spans="1:31" x14ac:dyDescent="0.2">
      <c r="A153" s="201">
        <f t="shared" ca="1" si="41"/>
        <v>141</v>
      </c>
      <c r="B153" s="193">
        <f t="shared" si="45"/>
        <v>141</v>
      </c>
      <c r="C153" s="192">
        <f ca="1">IF(ISERROR(LARGE('Berechnungen 2'!$E$16:$E$315,B153)),"",LARGE('Berechnungen 2'!$E$16:$E$315,B153))</f>
        <v>160</v>
      </c>
      <c r="D153" s="201" t="str">
        <f t="shared" ref="D153:O162" ca="1" si="47">IF($AC153&gt;0,VLOOKUP($C153,Matrix_Berechnungen2.Rang.Pumpendaten.Endresultate,D$9,0),"")</f>
        <v/>
      </c>
      <c r="E153" s="201" t="str">
        <f t="shared" ca="1" si="47"/>
        <v/>
      </c>
      <c r="F153" s="201" t="str">
        <f t="shared" ca="1" si="47"/>
        <v/>
      </c>
      <c r="G153" s="205" t="str">
        <f t="shared" ca="1" si="47"/>
        <v/>
      </c>
      <c r="H153" s="202" t="str">
        <f t="shared" ca="1" si="47"/>
        <v/>
      </c>
      <c r="I153" s="201" t="str">
        <f t="shared" ca="1" si="47"/>
        <v/>
      </c>
      <c r="J153" s="93" t="str">
        <f t="shared" ca="1" si="47"/>
        <v/>
      </c>
      <c r="K153" s="93" t="str">
        <f t="shared" ca="1" si="47"/>
        <v/>
      </c>
      <c r="L153" s="93" t="str">
        <f t="shared" ca="1" si="47"/>
        <v/>
      </c>
      <c r="M153" s="93" t="str">
        <f t="shared" ca="1" si="47"/>
        <v/>
      </c>
      <c r="N153" s="93" t="str">
        <f t="shared" ca="1" si="47"/>
        <v/>
      </c>
      <c r="O153" s="93" t="str">
        <f t="shared" ca="1" si="47"/>
        <v/>
      </c>
      <c r="P153" s="312" t="str">
        <f t="shared" ref="P153:R172" ca="1" si="48">IF(AND($AC153&gt;0,$AC153&lt;&gt;999),VLOOKUP($C153,Matrix_Berechnungen2.Rang.Pumpendaten.Endresultate,P$9,0),"")</f>
        <v/>
      </c>
      <c r="Q153" s="93" t="str">
        <f t="shared" ca="1" si="48"/>
        <v/>
      </c>
      <c r="R153" s="93" t="str">
        <f t="shared" ca="1" si="48"/>
        <v/>
      </c>
      <c r="S153" s="201" t="str">
        <f t="shared" ca="1" si="42"/>
        <v/>
      </c>
      <c r="T153" s="201"/>
      <c r="Z153" s="40" t="e">
        <f t="shared" ca="1" si="43"/>
        <v>#N/A</v>
      </c>
      <c r="AA153" s="310">
        <f t="shared" ca="1" si="44"/>
        <v>999</v>
      </c>
      <c r="AB153" s="40" t="e">
        <f ca="1">IF(ISNUMBER($A153),VLOOKUP('Berechnungen 2'!AI156,Matrix_Empfehlung.Stromkosten.ID.BOText,3,1),"")</f>
        <v>#VALUE!</v>
      </c>
      <c r="AC153" s="40">
        <f t="shared" ref="AC153:AD172" ca="1" si="49">IF(VLOOKUP($C153,Matrix_Berechnungen2.Rang.Pumpendaten.Endresultate,$C$9,0)&gt;0,VLOOKUP($C153,Matrix_Berechnungen2.Rang.Pumpendaten.Endresultate,AC$9,0),"")</f>
        <v>999</v>
      </c>
      <c r="AD153" s="40">
        <f t="shared" ca="1" si="49"/>
        <v>141</v>
      </c>
      <c r="AE153" s="311">
        <f t="shared" ref="AE153:AE216" ca="1" si="50">IF($AC153&gt;0,VLOOKUP($C153,Matrix_Berechnungen2.Rang.Pumpendaten.Endresultate,AE$9,0),"")</f>
        <v>0</v>
      </c>
    </row>
    <row r="154" spans="1:31" x14ac:dyDescent="0.2">
      <c r="A154" s="201">
        <f t="shared" ca="1" si="41"/>
        <v>142</v>
      </c>
      <c r="B154" s="193">
        <f t="shared" si="45"/>
        <v>142</v>
      </c>
      <c r="C154" s="192">
        <f ca="1">IF(ISERROR(LARGE('Berechnungen 2'!$E$16:$E$315,B154)),"",LARGE('Berechnungen 2'!$E$16:$E$315,B154))</f>
        <v>159</v>
      </c>
      <c r="D154" s="201" t="str">
        <f t="shared" ca="1" si="47"/>
        <v/>
      </c>
      <c r="E154" s="201" t="str">
        <f t="shared" ca="1" si="47"/>
        <v/>
      </c>
      <c r="F154" s="201" t="str">
        <f t="shared" ca="1" si="47"/>
        <v/>
      </c>
      <c r="G154" s="205" t="str">
        <f t="shared" ca="1" si="47"/>
        <v/>
      </c>
      <c r="H154" s="202" t="str">
        <f t="shared" ca="1" si="47"/>
        <v/>
      </c>
      <c r="I154" s="201" t="str">
        <f t="shared" ca="1" si="47"/>
        <v/>
      </c>
      <c r="J154" s="93" t="str">
        <f t="shared" ca="1" si="47"/>
        <v/>
      </c>
      <c r="K154" s="93" t="str">
        <f t="shared" ca="1" si="47"/>
        <v/>
      </c>
      <c r="L154" s="93" t="str">
        <f t="shared" ca="1" si="47"/>
        <v/>
      </c>
      <c r="M154" s="93" t="str">
        <f t="shared" ca="1" si="47"/>
        <v/>
      </c>
      <c r="N154" s="93" t="str">
        <f t="shared" ca="1" si="47"/>
        <v/>
      </c>
      <c r="O154" s="93" t="str">
        <f t="shared" ca="1" si="47"/>
        <v/>
      </c>
      <c r="P154" s="312" t="str">
        <f t="shared" ca="1" si="48"/>
        <v/>
      </c>
      <c r="Q154" s="93" t="str">
        <f t="shared" ca="1" si="48"/>
        <v/>
      </c>
      <c r="R154" s="93" t="str">
        <f t="shared" ca="1" si="48"/>
        <v/>
      </c>
      <c r="S154" s="201" t="str">
        <f t="shared" ca="1" si="42"/>
        <v/>
      </c>
      <c r="T154" s="201"/>
      <c r="Z154" s="40" t="e">
        <f t="shared" ca="1" si="43"/>
        <v>#N/A</v>
      </c>
      <c r="AA154" s="310">
        <f t="shared" ca="1" si="44"/>
        <v>999</v>
      </c>
      <c r="AB154" s="40" t="e">
        <f ca="1">IF(ISNUMBER($A154),VLOOKUP('Berechnungen 2'!AI157,Matrix_Empfehlung.Stromkosten.ID.BOText,3,1),"")</f>
        <v>#VALUE!</v>
      </c>
      <c r="AC154" s="40">
        <f t="shared" ca="1" si="49"/>
        <v>999</v>
      </c>
      <c r="AD154" s="40">
        <f t="shared" ca="1" si="49"/>
        <v>142</v>
      </c>
      <c r="AE154" s="311">
        <f t="shared" ca="1" si="50"/>
        <v>0</v>
      </c>
    </row>
    <row r="155" spans="1:31" x14ac:dyDescent="0.2">
      <c r="A155" s="201">
        <f t="shared" ca="1" si="41"/>
        <v>143</v>
      </c>
      <c r="B155" s="193">
        <f t="shared" si="45"/>
        <v>143</v>
      </c>
      <c r="C155" s="192">
        <f ca="1">IF(ISERROR(LARGE('Berechnungen 2'!$E$16:$E$315,B155)),"",LARGE('Berechnungen 2'!$E$16:$E$315,B155))</f>
        <v>158</v>
      </c>
      <c r="D155" s="201" t="str">
        <f t="shared" ca="1" si="47"/>
        <v/>
      </c>
      <c r="E155" s="201" t="str">
        <f t="shared" ca="1" si="47"/>
        <v/>
      </c>
      <c r="F155" s="201" t="str">
        <f t="shared" ca="1" si="47"/>
        <v/>
      </c>
      <c r="G155" s="205" t="str">
        <f t="shared" ca="1" si="47"/>
        <v/>
      </c>
      <c r="H155" s="202" t="str">
        <f t="shared" ca="1" si="47"/>
        <v/>
      </c>
      <c r="I155" s="201" t="str">
        <f t="shared" ca="1" si="47"/>
        <v/>
      </c>
      <c r="J155" s="93" t="str">
        <f t="shared" ca="1" si="47"/>
        <v/>
      </c>
      <c r="K155" s="93" t="str">
        <f t="shared" ca="1" si="47"/>
        <v/>
      </c>
      <c r="L155" s="93" t="str">
        <f t="shared" ca="1" si="47"/>
        <v/>
      </c>
      <c r="M155" s="93" t="str">
        <f t="shared" ca="1" si="47"/>
        <v/>
      </c>
      <c r="N155" s="93" t="str">
        <f t="shared" ca="1" si="47"/>
        <v/>
      </c>
      <c r="O155" s="93" t="str">
        <f t="shared" ca="1" si="47"/>
        <v/>
      </c>
      <c r="P155" s="312" t="str">
        <f t="shared" ca="1" si="48"/>
        <v/>
      </c>
      <c r="Q155" s="93" t="str">
        <f t="shared" ca="1" si="48"/>
        <v/>
      </c>
      <c r="R155" s="93" t="str">
        <f t="shared" ca="1" si="48"/>
        <v/>
      </c>
      <c r="S155" s="201" t="str">
        <f t="shared" ca="1" si="42"/>
        <v/>
      </c>
      <c r="T155" s="201"/>
      <c r="Z155" s="40" t="e">
        <f t="shared" ca="1" si="43"/>
        <v>#N/A</v>
      </c>
      <c r="AA155" s="310">
        <f t="shared" ca="1" si="44"/>
        <v>999</v>
      </c>
      <c r="AB155" s="40" t="e">
        <f ca="1">IF(ISNUMBER($A155),VLOOKUP('Berechnungen 2'!AI158,Matrix_Empfehlung.Stromkosten.ID.BOText,3,1),"")</f>
        <v>#VALUE!</v>
      </c>
      <c r="AC155" s="40">
        <f t="shared" ca="1" si="49"/>
        <v>999</v>
      </c>
      <c r="AD155" s="40">
        <f t="shared" ca="1" si="49"/>
        <v>143</v>
      </c>
      <c r="AE155" s="311">
        <f t="shared" ca="1" si="50"/>
        <v>0</v>
      </c>
    </row>
    <row r="156" spans="1:31" x14ac:dyDescent="0.2">
      <c r="A156" s="201">
        <f t="shared" ca="1" si="41"/>
        <v>144</v>
      </c>
      <c r="B156" s="193">
        <f t="shared" si="45"/>
        <v>144</v>
      </c>
      <c r="C156" s="192">
        <f ca="1">IF(ISERROR(LARGE('Berechnungen 2'!$E$16:$E$315,B156)),"",LARGE('Berechnungen 2'!$E$16:$E$315,B156))</f>
        <v>157</v>
      </c>
      <c r="D156" s="201" t="str">
        <f t="shared" ca="1" si="47"/>
        <v/>
      </c>
      <c r="E156" s="201" t="str">
        <f t="shared" ca="1" si="47"/>
        <v/>
      </c>
      <c r="F156" s="201" t="str">
        <f t="shared" ca="1" si="47"/>
        <v/>
      </c>
      <c r="G156" s="205" t="str">
        <f t="shared" ca="1" si="47"/>
        <v/>
      </c>
      <c r="H156" s="202" t="str">
        <f t="shared" ca="1" si="47"/>
        <v/>
      </c>
      <c r="I156" s="201" t="str">
        <f t="shared" ca="1" si="47"/>
        <v/>
      </c>
      <c r="J156" s="93" t="str">
        <f t="shared" ca="1" si="47"/>
        <v/>
      </c>
      <c r="K156" s="93" t="str">
        <f t="shared" ca="1" si="47"/>
        <v/>
      </c>
      <c r="L156" s="93" t="str">
        <f t="shared" ca="1" si="47"/>
        <v/>
      </c>
      <c r="M156" s="93" t="str">
        <f t="shared" ca="1" si="47"/>
        <v/>
      </c>
      <c r="N156" s="93" t="str">
        <f t="shared" ca="1" si="47"/>
        <v/>
      </c>
      <c r="O156" s="93" t="str">
        <f t="shared" ca="1" si="47"/>
        <v/>
      </c>
      <c r="P156" s="312" t="str">
        <f t="shared" ca="1" si="48"/>
        <v/>
      </c>
      <c r="Q156" s="93" t="str">
        <f t="shared" ca="1" si="48"/>
        <v/>
      </c>
      <c r="R156" s="93" t="str">
        <f t="shared" ca="1" si="48"/>
        <v/>
      </c>
      <c r="S156" s="201" t="str">
        <f t="shared" ca="1" si="42"/>
        <v/>
      </c>
      <c r="T156" s="201"/>
      <c r="Z156" s="40" t="e">
        <f t="shared" ca="1" si="43"/>
        <v>#N/A</v>
      </c>
      <c r="AA156" s="310">
        <f t="shared" ca="1" si="44"/>
        <v>999</v>
      </c>
      <c r="AB156" s="40" t="e">
        <f ca="1">IF(ISNUMBER($A156),VLOOKUP('Berechnungen 2'!AI159,Matrix_Empfehlung.Stromkosten.ID.BOText,3,1),"")</f>
        <v>#VALUE!</v>
      </c>
      <c r="AC156" s="40">
        <f t="shared" ca="1" si="49"/>
        <v>999</v>
      </c>
      <c r="AD156" s="40">
        <f t="shared" ca="1" si="49"/>
        <v>144</v>
      </c>
      <c r="AE156" s="311">
        <f t="shared" ca="1" si="50"/>
        <v>0</v>
      </c>
    </row>
    <row r="157" spans="1:31" x14ac:dyDescent="0.2">
      <c r="A157" s="201">
        <f t="shared" ca="1" si="41"/>
        <v>145</v>
      </c>
      <c r="B157" s="193">
        <f t="shared" si="45"/>
        <v>145</v>
      </c>
      <c r="C157" s="192">
        <f ca="1">IF(ISERROR(LARGE('Berechnungen 2'!$E$16:$E$315,B157)),"",LARGE('Berechnungen 2'!$E$16:$E$315,B157))</f>
        <v>156</v>
      </c>
      <c r="D157" s="201" t="str">
        <f t="shared" ca="1" si="47"/>
        <v/>
      </c>
      <c r="E157" s="201" t="str">
        <f t="shared" ca="1" si="47"/>
        <v/>
      </c>
      <c r="F157" s="201" t="str">
        <f t="shared" ca="1" si="47"/>
        <v/>
      </c>
      <c r="G157" s="205" t="str">
        <f t="shared" ca="1" si="47"/>
        <v/>
      </c>
      <c r="H157" s="202" t="str">
        <f t="shared" ca="1" si="47"/>
        <v/>
      </c>
      <c r="I157" s="201" t="str">
        <f t="shared" ca="1" si="47"/>
        <v/>
      </c>
      <c r="J157" s="93" t="str">
        <f t="shared" ca="1" si="47"/>
        <v/>
      </c>
      <c r="K157" s="93" t="str">
        <f t="shared" ca="1" si="47"/>
        <v/>
      </c>
      <c r="L157" s="93" t="str">
        <f t="shared" ca="1" si="47"/>
        <v/>
      </c>
      <c r="M157" s="93" t="str">
        <f t="shared" ca="1" si="47"/>
        <v/>
      </c>
      <c r="N157" s="93" t="str">
        <f t="shared" ca="1" si="47"/>
        <v/>
      </c>
      <c r="O157" s="93" t="str">
        <f t="shared" ca="1" si="47"/>
        <v/>
      </c>
      <c r="P157" s="312" t="str">
        <f t="shared" ca="1" si="48"/>
        <v/>
      </c>
      <c r="Q157" s="93" t="str">
        <f t="shared" ca="1" si="48"/>
        <v/>
      </c>
      <c r="R157" s="93" t="str">
        <f t="shared" ca="1" si="48"/>
        <v/>
      </c>
      <c r="S157" s="201" t="str">
        <f t="shared" ca="1" si="42"/>
        <v/>
      </c>
      <c r="T157" s="201"/>
      <c r="Z157" s="40" t="e">
        <f t="shared" ca="1" si="43"/>
        <v>#N/A</v>
      </c>
      <c r="AA157" s="310">
        <f t="shared" ca="1" si="44"/>
        <v>999</v>
      </c>
      <c r="AB157" s="40" t="e">
        <f ca="1">IF(ISNUMBER($A157),VLOOKUP('Berechnungen 2'!AI160,Matrix_Empfehlung.Stromkosten.ID.BOText,3,1),"")</f>
        <v>#VALUE!</v>
      </c>
      <c r="AC157" s="40">
        <f t="shared" ca="1" si="49"/>
        <v>999</v>
      </c>
      <c r="AD157" s="40">
        <f t="shared" ca="1" si="49"/>
        <v>145</v>
      </c>
      <c r="AE157" s="311">
        <f t="shared" ca="1" si="50"/>
        <v>0</v>
      </c>
    </row>
    <row r="158" spans="1:31" x14ac:dyDescent="0.2">
      <c r="A158" s="201">
        <f t="shared" ca="1" si="41"/>
        <v>146</v>
      </c>
      <c r="B158" s="193">
        <f t="shared" si="45"/>
        <v>146</v>
      </c>
      <c r="C158" s="192">
        <f ca="1">IF(ISERROR(LARGE('Berechnungen 2'!$E$16:$E$315,B158)),"",LARGE('Berechnungen 2'!$E$16:$E$315,B158))</f>
        <v>155</v>
      </c>
      <c r="D158" s="201" t="str">
        <f t="shared" ca="1" si="47"/>
        <v/>
      </c>
      <c r="E158" s="201" t="str">
        <f t="shared" ca="1" si="47"/>
        <v/>
      </c>
      <c r="F158" s="201" t="str">
        <f t="shared" ca="1" si="47"/>
        <v/>
      </c>
      <c r="G158" s="205" t="str">
        <f t="shared" ca="1" si="47"/>
        <v/>
      </c>
      <c r="H158" s="202" t="str">
        <f t="shared" ca="1" si="47"/>
        <v/>
      </c>
      <c r="I158" s="201" t="str">
        <f t="shared" ca="1" si="47"/>
        <v/>
      </c>
      <c r="J158" s="93" t="str">
        <f t="shared" ca="1" si="47"/>
        <v/>
      </c>
      <c r="K158" s="93" t="str">
        <f t="shared" ca="1" si="47"/>
        <v/>
      </c>
      <c r="L158" s="93" t="str">
        <f t="shared" ca="1" si="47"/>
        <v/>
      </c>
      <c r="M158" s="93" t="str">
        <f t="shared" ca="1" si="47"/>
        <v/>
      </c>
      <c r="N158" s="93" t="str">
        <f t="shared" ca="1" si="47"/>
        <v/>
      </c>
      <c r="O158" s="93" t="str">
        <f t="shared" ca="1" si="47"/>
        <v/>
      </c>
      <c r="P158" s="312" t="str">
        <f t="shared" ca="1" si="48"/>
        <v/>
      </c>
      <c r="Q158" s="93" t="str">
        <f t="shared" ca="1" si="48"/>
        <v/>
      </c>
      <c r="R158" s="93" t="str">
        <f t="shared" ca="1" si="48"/>
        <v/>
      </c>
      <c r="S158" s="201" t="str">
        <f t="shared" ca="1" si="42"/>
        <v/>
      </c>
      <c r="T158" s="201"/>
      <c r="Z158" s="40" t="e">
        <f t="shared" ca="1" si="43"/>
        <v>#N/A</v>
      </c>
      <c r="AA158" s="310">
        <f t="shared" ca="1" si="44"/>
        <v>999</v>
      </c>
      <c r="AB158" s="40" t="e">
        <f ca="1">IF(ISNUMBER($A158),VLOOKUP('Berechnungen 2'!AI161,Matrix_Empfehlung.Stromkosten.ID.BOText,3,1),"")</f>
        <v>#VALUE!</v>
      </c>
      <c r="AC158" s="40">
        <f t="shared" ca="1" si="49"/>
        <v>999</v>
      </c>
      <c r="AD158" s="40">
        <f t="shared" ca="1" si="49"/>
        <v>146</v>
      </c>
      <c r="AE158" s="311">
        <f t="shared" ca="1" si="50"/>
        <v>0</v>
      </c>
    </row>
    <row r="159" spans="1:31" x14ac:dyDescent="0.2">
      <c r="A159" s="201">
        <f t="shared" ca="1" si="41"/>
        <v>147</v>
      </c>
      <c r="B159" s="193">
        <f t="shared" si="45"/>
        <v>147</v>
      </c>
      <c r="C159" s="192">
        <f ca="1">IF(ISERROR(LARGE('Berechnungen 2'!$E$16:$E$315,B159)),"",LARGE('Berechnungen 2'!$E$16:$E$315,B159))</f>
        <v>154</v>
      </c>
      <c r="D159" s="201" t="str">
        <f t="shared" ca="1" si="47"/>
        <v/>
      </c>
      <c r="E159" s="201" t="str">
        <f t="shared" ca="1" si="47"/>
        <v/>
      </c>
      <c r="F159" s="201" t="str">
        <f t="shared" ca="1" si="47"/>
        <v/>
      </c>
      <c r="G159" s="205" t="str">
        <f t="shared" ca="1" si="47"/>
        <v/>
      </c>
      <c r="H159" s="202" t="str">
        <f t="shared" ca="1" si="47"/>
        <v/>
      </c>
      <c r="I159" s="201" t="str">
        <f t="shared" ca="1" si="47"/>
        <v/>
      </c>
      <c r="J159" s="93" t="str">
        <f t="shared" ca="1" si="47"/>
        <v/>
      </c>
      <c r="K159" s="93" t="str">
        <f t="shared" ca="1" si="47"/>
        <v/>
      </c>
      <c r="L159" s="93" t="str">
        <f t="shared" ca="1" si="47"/>
        <v/>
      </c>
      <c r="M159" s="93" t="str">
        <f t="shared" ca="1" si="47"/>
        <v/>
      </c>
      <c r="N159" s="93" t="str">
        <f t="shared" ca="1" si="47"/>
        <v/>
      </c>
      <c r="O159" s="93" t="str">
        <f t="shared" ca="1" si="47"/>
        <v/>
      </c>
      <c r="P159" s="312" t="str">
        <f t="shared" ca="1" si="48"/>
        <v/>
      </c>
      <c r="Q159" s="93" t="str">
        <f t="shared" ca="1" si="48"/>
        <v/>
      </c>
      <c r="R159" s="93" t="str">
        <f t="shared" ca="1" si="48"/>
        <v/>
      </c>
      <c r="S159" s="201" t="str">
        <f t="shared" ca="1" si="42"/>
        <v/>
      </c>
      <c r="T159" s="201"/>
      <c r="Z159" s="40" t="e">
        <f t="shared" ca="1" si="43"/>
        <v>#N/A</v>
      </c>
      <c r="AA159" s="310">
        <f t="shared" ca="1" si="44"/>
        <v>999</v>
      </c>
      <c r="AB159" s="40" t="e">
        <f ca="1">IF(ISNUMBER($A159),VLOOKUP('Berechnungen 2'!AI162,Matrix_Empfehlung.Stromkosten.ID.BOText,3,1),"")</f>
        <v>#VALUE!</v>
      </c>
      <c r="AC159" s="40">
        <f t="shared" ca="1" si="49"/>
        <v>999</v>
      </c>
      <c r="AD159" s="40">
        <f t="shared" ca="1" si="49"/>
        <v>147</v>
      </c>
      <c r="AE159" s="311">
        <f t="shared" ca="1" si="50"/>
        <v>0</v>
      </c>
    </row>
    <row r="160" spans="1:31" x14ac:dyDescent="0.2">
      <c r="A160" s="201">
        <f t="shared" ca="1" si="41"/>
        <v>148</v>
      </c>
      <c r="B160" s="193">
        <f t="shared" si="45"/>
        <v>148</v>
      </c>
      <c r="C160" s="192">
        <f ca="1">IF(ISERROR(LARGE('Berechnungen 2'!$E$16:$E$315,B160)),"",LARGE('Berechnungen 2'!$E$16:$E$315,B160))</f>
        <v>153</v>
      </c>
      <c r="D160" s="201" t="str">
        <f t="shared" ca="1" si="47"/>
        <v/>
      </c>
      <c r="E160" s="201" t="str">
        <f t="shared" ca="1" si="47"/>
        <v/>
      </c>
      <c r="F160" s="201" t="str">
        <f t="shared" ca="1" si="47"/>
        <v/>
      </c>
      <c r="G160" s="205" t="str">
        <f t="shared" ca="1" si="47"/>
        <v/>
      </c>
      <c r="H160" s="202" t="str">
        <f t="shared" ca="1" si="47"/>
        <v/>
      </c>
      <c r="I160" s="201" t="str">
        <f t="shared" ca="1" si="47"/>
        <v/>
      </c>
      <c r="J160" s="93" t="str">
        <f t="shared" ca="1" si="47"/>
        <v/>
      </c>
      <c r="K160" s="93" t="str">
        <f t="shared" ca="1" si="47"/>
        <v/>
      </c>
      <c r="L160" s="93" t="str">
        <f t="shared" ca="1" si="47"/>
        <v/>
      </c>
      <c r="M160" s="93" t="str">
        <f t="shared" ca="1" si="47"/>
        <v/>
      </c>
      <c r="N160" s="93" t="str">
        <f t="shared" ca="1" si="47"/>
        <v/>
      </c>
      <c r="O160" s="93" t="str">
        <f t="shared" ca="1" si="47"/>
        <v/>
      </c>
      <c r="P160" s="312" t="str">
        <f t="shared" ca="1" si="48"/>
        <v/>
      </c>
      <c r="Q160" s="93" t="str">
        <f t="shared" ca="1" si="48"/>
        <v/>
      </c>
      <c r="R160" s="93" t="str">
        <f t="shared" ca="1" si="48"/>
        <v/>
      </c>
      <c r="S160" s="201" t="str">
        <f t="shared" ca="1" si="42"/>
        <v/>
      </c>
      <c r="T160" s="201"/>
      <c r="Z160" s="40" t="e">
        <f t="shared" ca="1" si="43"/>
        <v>#N/A</v>
      </c>
      <c r="AA160" s="310">
        <f t="shared" ca="1" si="44"/>
        <v>999</v>
      </c>
      <c r="AB160" s="40" t="e">
        <f ca="1">IF(ISNUMBER($A160),VLOOKUP('Berechnungen 2'!AI163,Matrix_Empfehlung.Stromkosten.ID.BOText,3,1),"")</f>
        <v>#VALUE!</v>
      </c>
      <c r="AC160" s="40">
        <f t="shared" ca="1" si="49"/>
        <v>999</v>
      </c>
      <c r="AD160" s="40">
        <f t="shared" ca="1" si="49"/>
        <v>148</v>
      </c>
      <c r="AE160" s="311">
        <f t="shared" ca="1" si="50"/>
        <v>0</v>
      </c>
    </row>
    <row r="161" spans="1:31" x14ac:dyDescent="0.2">
      <c r="A161" s="201">
        <f t="shared" ca="1" si="41"/>
        <v>149</v>
      </c>
      <c r="B161" s="193">
        <f t="shared" si="45"/>
        <v>149</v>
      </c>
      <c r="C161" s="192">
        <f ca="1">IF(ISERROR(LARGE('Berechnungen 2'!$E$16:$E$315,B161)),"",LARGE('Berechnungen 2'!$E$16:$E$315,B161))</f>
        <v>152</v>
      </c>
      <c r="D161" s="201" t="str">
        <f t="shared" ca="1" si="47"/>
        <v/>
      </c>
      <c r="E161" s="201" t="str">
        <f t="shared" ca="1" si="47"/>
        <v/>
      </c>
      <c r="F161" s="201" t="str">
        <f t="shared" ca="1" si="47"/>
        <v/>
      </c>
      <c r="G161" s="205" t="str">
        <f t="shared" ca="1" si="47"/>
        <v/>
      </c>
      <c r="H161" s="202" t="str">
        <f t="shared" ca="1" si="47"/>
        <v/>
      </c>
      <c r="I161" s="201" t="str">
        <f t="shared" ca="1" si="47"/>
        <v/>
      </c>
      <c r="J161" s="93" t="str">
        <f t="shared" ca="1" si="47"/>
        <v/>
      </c>
      <c r="K161" s="93" t="str">
        <f t="shared" ca="1" si="47"/>
        <v/>
      </c>
      <c r="L161" s="93" t="str">
        <f t="shared" ca="1" si="47"/>
        <v/>
      </c>
      <c r="M161" s="93" t="str">
        <f t="shared" ca="1" si="47"/>
        <v/>
      </c>
      <c r="N161" s="93" t="str">
        <f t="shared" ca="1" si="47"/>
        <v/>
      </c>
      <c r="O161" s="93" t="str">
        <f t="shared" ca="1" si="47"/>
        <v/>
      </c>
      <c r="P161" s="312" t="str">
        <f t="shared" ca="1" si="48"/>
        <v/>
      </c>
      <c r="Q161" s="93" t="str">
        <f t="shared" ca="1" si="48"/>
        <v/>
      </c>
      <c r="R161" s="93" t="str">
        <f t="shared" ca="1" si="48"/>
        <v/>
      </c>
      <c r="S161" s="201" t="str">
        <f t="shared" ca="1" si="42"/>
        <v/>
      </c>
      <c r="T161" s="201"/>
      <c r="Z161" s="40" t="e">
        <f t="shared" ca="1" si="43"/>
        <v>#N/A</v>
      </c>
      <c r="AA161" s="310">
        <f t="shared" ca="1" si="44"/>
        <v>999</v>
      </c>
      <c r="AB161" s="40" t="e">
        <f ca="1">IF(ISNUMBER($A161),VLOOKUP('Berechnungen 2'!AI164,Matrix_Empfehlung.Stromkosten.ID.BOText,3,1),"")</f>
        <v>#VALUE!</v>
      </c>
      <c r="AC161" s="40">
        <f t="shared" ca="1" si="49"/>
        <v>999</v>
      </c>
      <c r="AD161" s="40">
        <f t="shared" ca="1" si="49"/>
        <v>149</v>
      </c>
      <c r="AE161" s="311">
        <f t="shared" ca="1" si="50"/>
        <v>0</v>
      </c>
    </row>
    <row r="162" spans="1:31" x14ac:dyDescent="0.2">
      <c r="A162" s="201">
        <f t="shared" ca="1" si="41"/>
        <v>150</v>
      </c>
      <c r="B162" s="193">
        <f t="shared" si="45"/>
        <v>150</v>
      </c>
      <c r="C162" s="192">
        <f ca="1">IF(ISERROR(LARGE('Berechnungen 2'!$E$16:$E$315,B162)),"",LARGE('Berechnungen 2'!$E$16:$E$315,B162))</f>
        <v>151</v>
      </c>
      <c r="D162" s="201" t="str">
        <f t="shared" ca="1" si="47"/>
        <v/>
      </c>
      <c r="E162" s="201" t="str">
        <f t="shared" ca="1" si="47"/>
        <v/>
      </c>
      <c r="F162" s="201" t="str">
        <f t="shared" ca="1" si="47"/>
        <v/>
      </c>
      <c r="G162" s="205" t="str">
        <f t="shared" ca="1" si="47"/>
        <v/>
      </c>
      <c r="H162" s="202" t="str">
        <f t="shared" ca="1" si="47"/>
        <v/>
      </c>
      <c r="I162" s="201" t="str">
        <f t="shared" ca="1" si="47"/>
        <v/>
      </c>
      <c r="J162" s="93" t="str">
        <f t="shared" ca="1" si="47"/>
        <v/>
      </c>
      <c r="K162" s="93" t="str">
        <f t="shared" ca="1" si="47"/>
        <v/>
      </c>
      <c r="L162" s="93" t="str">
        <f t="shared" ca="1" si="47"/>
        <v/>
      </c>
      <c r="M162" s="93" t="str">
        <f t="shared" ca="1" si="47"/>
        <v/>
      </c>
      <c r="N162" s="93" t="str">
        <f t="shared" ca="1" si="47"/>
        <v/>
      </c>
      <c r="O162" s="93" t="str">
        <f t="shared" ca="1" si="47"/>
        <v/>
      </c>
      <c r="P162" s="312" t="str">
        <f t="shared" ca="1" si="48"/>
        <v/>
      </c>
      <c r="Q162" s="93" t="str">
        <f t="shared" ca="1" si="48"/>
        <v/>
      </c>
      <c r="R162" s="93" t="str">
        <f t="shared" ca="1" si="48"/>
        <v/>
      </c>
      <c r="S162" s="201" t="str">
        <f t="shared" ca="1" si="42"/>
        <v/>
      </c>
      <c r="T162" s="201"/>
      <c r="Z162" s="40" t="e">
        <f t="shared" ca="1" si="43"/>
        <v>#N/A</v>
      </c>
      <c r="AA162" s="310">
        <f t="shared" ca="1" si="44"/>
        <v>999</v>
      </c>
      <c r="AB162" s="40" t="e">
        <f ca="1">IF(ISNUMBER($A162),VLOOKUP('Berechnungen 2'!AI165,Matrix_Empfehlung.Stromkosten.ID.BOText,3,1),"")</f>
        <v>#VALUE!</v>
      </c>
      <c r="AC162" s="40">
        <f t="shared" ca="1" si="49"/>
        <v>999</v>
      </c>
      <c r="AD162" s="40">
        <f t="shared" ca="1" si="49"/>
        <v>150</v>
      </c>
      <c r="AE162" s="311">
        <f t="shared" ca="1" si="50"/>
        <v>0</v>
      </c>
    </row>
    <row r="163" spans="1:31" x14ac:dyDescent="0.2">
      <c r="A163" s="201">
        <f t="shared" ca="1" si="41"/>
        <v>151</v>
      </c>
      <c r="B163" s="193">
        <f t="shared" si="45"/>
        <v>151</v>
      </c>
      <c r="C163" s="192">
        <f ca="1">IF(ISERROR(LARGE('Berechnungen 2'!$E$16:$E$315,B163)),"",LARGE('Berechnungen 2'!$E$16:$E$315,B163))</f>
        <v>150</v>
      </c>
      <c r="D163" s="201" t="str">
        <f t="shared" ref="D163:O172" ca="1" si="51">IF($AC163&gt;0,VLOOKUP($C163,Matrix_Berechnungen2.Rang.Pumpendaten.Endresultate,D$9,0),"")</f>
        <v/>
      </c>
      <c r="E163" s="201" t="str">
        <f t="shared" ca="1" si="51"/>
        <v/>
      </c>
      <c r="F163" s="201" t="str">
        <f t="shared" ca="1" si="51"/>
        <v/>
      </c>
      <c r="G163" s="205" t="str">
        <f t="shared" ca="1" si="51"/>
        <v/>
      </c>
      <c r="H163" s="202" t="str">
        <f t="shared" ca="1" si="51"/>
        <v/>
      </c>
      <c r="I163" s="201" t="str">
        <f t="shared" ca="1" si="51"/>
        <v/>
      </c>
      <c r="J163" s="93" t="str">
        <f t="shared" ca="1" si="51"/>
        <v/>
      </c>
      <c r="K163" s="93" t="str">
        <f t="shared" ca="1" si="51"/>
        <v/>
      </c>
      <c r="L163" s="93" t="str">
        <f t="shared" ca="1" si="51"/>
        <v/>
      </c>
      <c r="M163" s="93" t="str">
        <f t="shared" ca="1" si="51"/>
        <v/>
      </c>
      <c r="N163" s="93" t="str">
        <f t="shared" ca="1" si="51"/>
        <v/>
      </c>
      <c r="O163" s="93" t="str">
        <f t="shared" ca="1" si="51"/>
        <v/>
      </c>
      <c r="P163" s="312" t="str">
        <f t="shared" ca="1" si="48"/>
        <v/>
      </c>
      <c r="Q163" s="93" t="str">
        <f t="shared" ca="1" si="48"/>
        <v/>
      </c>
      <c r="R163" s="93" t="str">
        <f t="shared" ca="1" si="48"/>
        <v/>
      </c>
      <c r="S163" s="201" t="str">
        <f t="shared" ca="1" si="42"/>
        <v/>
      </c>
      <c r="T163" s="201"/>
      <c r="Z163" s="40" t="e">
        <f t="shared" ca="1" si="43"/>
        <v>#N/A</v>
      </c>
      <c r="AA163" s="310">
        <f t="shared" ca="1" si="44"/>
        <v>999</v>
      </c>
      <c r="AB163" s="40" t="e">
        <f ca="1">IF(ISNUMBER($A163),VLOOKUP('Berechnungen 2'!AI166,Matrix_Empfehlung.Stromkosten.ID.BOText,3,1),"")</f>
        <v>#VALUE!</v>
      </c>
      <c r="AC163" s="40">
        <f t="shared" ca="1" si="49"/>
        <v>999</v>
      </c>
      <c r="AD163" s="40">
        <f t="shared" ca="1" si="49"/>
        <v>151</v>
      </c>
      <c r="AE163" s="311">
        <f t="shared" ca="1" si="50"/>
        <v>0</v>
      </c>
    </row>
    <row r="164" spans="1:31" x14ac:dyDescent="0.2">
      <c r="A164" s="201">
        <f t="shared" ca="1" si="41"/>
        <v>152</v>
      </c>
      <c r="B164" s="193">
        <f t="shared" si="45"/>
        <v>152</v>
      </c>
      <c r="C164" s="192">
        <f ca="1">IF(ISERROR(LARGE('Berechnungen 2'!$E$16:$E$315,B164)),"",LARGE('Berechnungen 2'!$E$16:$E$315,B164))</f>
        <v>149</v>
      </c>
      <c r="D164" s="201" t="str">
        <f t="shared" ca="1" si="51"/>
        <v/>
      </c>
      <c r="E164" s="201" t="str">
        <f t="shared" ca="1" si="51"/>
        <v/>
      </c>
      <c r="F164" s="201" t="str">
        <f t="shared" ca="1" si="51"/>
        <v/>
      </c>
      <c r="G164" s="205" t="str">
        <f t="shared" ca="1" si="51"/>
        <v/>
      </c>
      <c r="H164" s="202" t="str">
        <f t="shared" ca="1" si="51"/>
        <v/>
      </c>
      <c r="I164" s="201" t="str">
        <f t="shared" ca="1" si="51"/>
        <v/>
      </c>
      <c r="J164" s="93" t="str">
        <f t="shared" ca="1" si="51"/>
        <v/>
      </c>
      <c r="K164" s="93" t="str">
        <f t="shared" ca="1" si="51"/>
        <v/>
      </c>
      <c r="L164" s="93" t="str">
        <f t="shared" ca="1" si="51"/>
        <v/>
      </c>
      <c r="M164" s="93" t="str">
        <f t="shared" ca="1" si="51"/>
        <v/>
      </c>
      <c r="N164" s="93" t="str">
        <f t="shared" ca="1" si="51"/>
        <v/>
      </c>
      <c r="O164" s="93" t="str">
        <f t="shared" ca="1" si="51"/>
        <v/>
      </c>
      <c r="P164" s="312" t="str">
        <f t="shared" ca="1" si="48"/>
        <v/>
      </c>
      <c r="Q164" s="93" t="str">
        <f t="shared" ca="1" si="48"/>
        <v/>
      </c>
      <c r="R164" s="93" t="str">
        <f t="shared" ca="1" si="48"/>
        <v/>
      </c>
      <c r="S164" s="201" t="str">
        <f t="shared" ca="1" si="42"/>
        <v/>
      </c>
      <c r="T164" s="201"/>
      <c r="Z164" s="40" t="e">
        <f t="shared" ca="1" si="43"/>
        <v>#N/A</v>
      </c>
      <c r="AA164" s="310">
        <f t="shared" ca="1" si="44"/>
        <v>999</v>
      </c>
      <c r="AB164" s="40" t="e">
        <f ca="1">IF(ISNUMBER($A164),VLOOKUP('Berechnungen 2'!AI167,Matrix_Empfehlung.Stromkosten.ID.BOText,3,1),"")</f>
        <v>#VALUE!</v>
      </c>
      <c r="AC164" s="40">
        <f t="shared" ca="1" si="49"/>
        <v>999</v>
      </c>
      <c r="AD164" s="40">
        <f t="shared" ca="1" si="49"/>
        <v>152</v>
      </c>
      <c r="AE164" s="311">
        <f t="shared" ca="1" si="50"/>
        <v>0</v>
      </c>
    </row>
    <row r="165" spans="1:31" x14ac:dyDescent="0.2">
      <c r="A165" s="201">
        <f t="shared" ca="1" si="41"/>
        <v>153</v>
      </c>
      <c r="B165" s="193">
        <f t="shared" si="45"/>
        <v>153</v>
      </c>
      <c r="C165" s="192">
        <f ca="1">IF(ISERROR(LARGE('Berechnungen 2'!$E$16:$E$315,B165)),"",LARGE('Berechnungen 2'!$E$16:$E$315,B165))</f>
        <v>148</v>
      </c>
      <c r="D165" s="201" t="str">
        <f t="shared" ca="1" si="51"/>
        <v/>
      </c>
      <c r="E165" s="201" t="str">
        <f t="shared" ca="1" si="51"/>
        <v/>
      </c>
      <c r="F165" s="201" t="str">
        <f t="shared" ca="1" si="51"/>
        <v/>
      </c>
      <c r="G165" s="205" t="str">
        <f t="shared" ca="1" si="51"/>
        <v/>
      </c>
      <c r="H165" s="202" t="str">
        <f t="shared" ca="1" si="51"/>
        <v/>
      </c>
      <c r="I165" s="201" t="str">
        <f t="shared" ca="1" si="51"/>
        <v/>
      </c>
      <c r="J165" s="93" t="str">
        <f t="shared" ca="1" si="51"/>
        <v/>
      </c>
      <c r="K165" s="93" t="str">
        <f t="shared" ca="1" si="51"/>
        <v/>
      </c>
      <c r="L165" s="93" t="str">
        <f t="shared" ca="1" si="51"/>
        <v/>
      </c>
      <c r="M165" s="93" t="str">
        <f t="shared" ca="1" si="51"/>
        <v/>
      </c>
      <c r="N165" s="93" t="str">
        <f t="shared" ca="1" si="51"/>
        <v/>
      </c>
      <c r="O165" s="93" t="str">
        <f t="shared" ca="1" si="51"/>
        <v/>
      </c>
      <c r="P165" s="312" t="str">
        <f t="shared" ca="1" si="48"/>
        <v/>
      </c>
      <c r="Q165" s="93" t="str">
        <f t="shared" ca="1" si="48"/>
        <v/>
      </c>
      <c r="R165" s="93" t="str">
        <f t="shared" ca="1" si="48"/>
        <v/>
      </c>
      <c r="S165" s="201" t="str">
        <f t="shared" ca="1" si="42"/>
        <v/>
      </c>
      <c r="T165" s="201"/>
      <c r="Z165" s="40" t="e">
        <f t="shared" ca="1" si="43"/>
        <v>#N/A</v>
      </c>
      <c r="AA165" s="310">
        <f t="shared" ca="1" si="44"/>
        <v>999</v>
      </c>
      <c r="AB165" s="40" t="e">
        <f ca="1">IF(ISNUMBER($A165),VLOOKUP('Berechnungen 2'!AI168,Matrix_Empfehlung.Stromkosten.ID.BOText,3,1),"")</f>
        <v>#VALUE!</v>
      </c>
      <c r="AC165" s="40">
        <f t="shared" ca="1" si="49"/>
        <v>999</v>
      </c>
      <c r="AD165" s="40">
        <f t="shared" ca="1" si="49"/>
        <v>153</v>
      </c>
      <c r="AE165" s="311">
        <f t="shared" ca="1" si="50"/>
        <v>0</v>
      </c>
    </row>
    <row r="166" spans="1:31" x14ac:dyDescent="0.2">
      <c r="A166" s="201">
        <f t="shared" ca="1" si="41"/>
        <v>154</v>
      </c>
      <c r="B166" s="193">
        <f t="shared" si="45"/>
        <v>154</v>
      </c>
      <c r="C166" s="192">
        <f ca="1">IF(ISERROR(LARGE('Berechnungen 2'!$E$16:$E$315,B166)),"",LARGE('Berechnungen 2'!$E$16:$E$315,B166))</f>
        <v>147</v>
      </c>
      <c r="D166" s="201" t="str">
        <f t="shared" ca="1" si="51"/>
        <v/>
      </c>
      <c r="E166" s="201" t="str">
        <f t="shared" ca="1" si="51"/>
        <v/>
      </c>
      <c r="F166" s="201" t="str">
        <f t="shared" ca="1" si="51"/>
        <v/>
      </c>
      <c r="G166" s="205" t="str">
        <f t="shared" ca="1" si="51"/>
        <v/>
      </c>
      <c r="H166" s="202" t="str">
        <f t="shared" ca="1" si="51"/>
        <v/>
      </c>
      <c r="I166" s="201" t="str">
        <f t="shared" ca="1" si="51"/>
        <v/>
      </c>
      <c r="J166" s="93" t="str">
        <f t="shared" ca="1" si="51"/>
        <v/>
      </c>
      <c r="K166" s="93" t="str">
        <f t="shared" ca="1" si="51"/>
        <v/>
      </c>
      <c r="L166" s="93" t="str">
        <f t="shared" ca="1" si="51"/>
        <v/>
      </c>
      <c r="M166" s="93" t="str">
        <f t="shared" ca="1" si="51"/>
        <v/>
      </c>
      <c r="N166" s="93" t="str">
        <f t="shared" ca="1" si="51"/>
        <v/>
      </c>
      <c r="O166" s="93" t="str">
        <f t="shared" ca="1" si="51"/>
        <v/>
      </c>
      <c r="P166" s="312" t="str">
        <f t="shared" ca="1" si="48"/>
        <v/>
      </c>
      <c r="Q166" s="93" t="str">
        <f t="shared" ca="1" si="48"/>
        <v/>
      </c>
      <c r="R166" s="93" t="str">
        <f t="shared" ca="1" si="48"/>
        <v/>
      </c>
      <c r="S166" s="201" t="str">
        <f t="shared" ca="1" si="42"/>
        <v/>
      </c>
      <c r="T166" s="201"/>
      <c r="Z166" s="40" t="e">
        <f t="shared" ca="1" si="43"/>
        <v>#N/A</v>
      </c>
      <c r="AA166" s="310">
        <f t="shared" ca="1" si="44"/>
        <v>999</v>
      </c>
      <c r="AB166" s="40" t="e">
        <f ca="1">IF(ISNUMBER($A166),VLOOKUP('Berechnungen 2'!AI169,Matrix_Empfehlung.Stromkosten.ID.BOText,3,1),"")</f>
        <v>#VALUE!</v>
      </c>
      <c r="AC166" s="40">
        <f t="shared" ca="1" si="49"/>
        <v>999</v>
      </c>
      <c r="AD166" s="40">
        <f t="shared" ca="1" si="49"/>
        <v>154</v>
      </c>
      <c r="AE166" s="311">
        <f t="shared" ca="1" si="50"/>
        <v>0</v>
      </c>
    </row>
    <row r="167" spans="1:31" x14ac:dyDescent="0.2">
      <c r="A167" s="201">
        <f t="shared" ca="1" si="41"/>
        <v>155</v>
      </c>
      <c r="B167" s="193">
        <f t="shared" si="45"/>
        <v>155</v>
      </c>
      <c r="C167" s="192">
        <f ca="1">IF(ISERROR(LARGE('Berechnungen 2'!$E$16:$E$315,B167)),"",LARGE('Berechnungen 2'!$E$16:$E$315,B167))</f>
        <v>146</v>
      </c>
      <c r="D167" s="201" t="str">
        <f t="shared" ca="1" si="51"/>
        <v/>
      </c>
      <c r="E167" s="201" t="str">
        <f t="shared" ca="1" si="51"/>
        <v/>
      </c>
      <c r="F167" s="201" t="str">
        <f t="shared" ca="1" si="51"/>
        <v/>
      </c>
      <c r="G167" s="205" t="str">
        <f t="shared" ca="1" si="51"/>
        <v/>
      </c>
      <c r="H167" s="202" t="str">
        <f t="shared" ca="1" si="51"/>
        <v/>
      </c>
      <c r="I167" s="201" t="str">
        <f t="shared" ca="1" si="51"/>
        <v/>
      </c>
      <c r="J167" s="93" t="str">
        <f t="shared" ca="1" si="51"/>
        <v/>
      </c>
      <c r="K167" s="93" t="str">
        <f t="shared" ca="1" si="51"/>
        <v/>
      </c>
      <c r="L167" s="93" t="str">
        <f t="shared" ca="1" si="51"/>
        <v/>
      </c>
      <c r="M167" s="93" t="str">
        <f t="shared" ca="1" si="51"/>
        <v/>
      </c>
      <c r="N167" s="93" t="str">
        <f t="shared" ca="1" si="51"/>
        <v/>
      </c>
      <c r="O167" s="93" t="str">
        <f t="shared" ca="1" si="51"/>
        <v/>
      </c>
      <c r="P167" s="312" t="str">
        <f t="shared" ca="1" si="48"/>
        <v/>
      </c>
      <c r="Q167" s="93" t="str">
        <f t="shared" ca="1" si="48"/>
        <v/>
      </c>
      <c r="R167" s="93" t="str">
        <f t="shared" ca="1" si="48"/>
        <v/>
      </c>
      <c r="S167" s="201" t="str">
        <f t="shared" ca="1" si="42"/>
        <v/>
      </c>
      <c r="T167" s="201"/>
      <c r="Z167" s="40" t="e">
        <f t="shared" ca="1" si="43"/>
        <v>#N/A</v>
      </c>
      <c r="AA167" s="310">
        <f t="shared" ca="1" si="44"/>
        <v>999</v>
      </c>
      <c r="AB167" s="40" t="e">
        <f ca="1">IF(ISNUMBER($A167),VLOOKUP('Berechnungen 2'!AI170,Matrix_Empfehlung.Stromkosten.ID.BOText,3,1),"")</f>
        <v>#VALUE!</v>
      </c>
      <c r="AC167" s="40">
        <f t="shared" ca="1" si="49"/>
        <v>999</v>
      </c>
      <c r="AD167" s="40">
        <f t="shared" ca="1" si="49"/>
        <v>155</v>
      </c>
      <c r="AE167" s="311">
        <f t="shared" ca="1" si="50"/>
        <v>0</v>
      </c>
    </row>
    <row r="168" spans="1:31" x14ac:dyDescent="0.2">
      <c r="A168" s="201">
        <f t="shared" ca="1" si="41"/>
        <v>156</v>
      </c>
      <c r="B168" s="193">
        <f t="shared" si="45"/>
        <v>156</v>
      </c>
      <c r="C168" s="192">
        <f ca="1">IF(ISERROR(LARGE('Berechnungen 2'!$E$16:$E$315,B168)),"",LARGE('Berechnungen 2'!$E$16:$E$315,B168))</f>
        <v>145</v>
      </c>
      <c r="D168" s="201" t="str">
        <f t="shared" ca="1" si="51"/>
        <v/>
      </c>
      <c r="E168" s="201" t="str">
        <f t="shared" ca="1" si="51"/>
        <v/>
      </c>
      <c r="F168" s="201" t="str">
        <f t="shared" ca="1" si="51"/>
        <v/>
      </c>
      <c r="G168" s="205" t="str">
        <f t="shared" ca="1" si="51"/>
        <v/>
      </c>
      <c r="H168" s="202" t="str">
        <f t="shared" ca="1" si="51"/>
        <v/>
      </c>
      <c r="I168" s="201" t="str">
        <f t="shared" ca="1" si="51"/>
        <v/>
      </c>
      <c r="J168" s="93" t="str">
        <f t="shared" ca="1" si="51"/>
        <v/>
      </c>
      <c r="K168" s="93" t="str">
        <f t="shared" ca="1" si="51"/>
        <v/>
      </c>
      <c r="L168" s="93" t="str">
        <f t="shared" ca="1" si="51"/>
        <v/>
      </c>
      <c r="M168" s="93" t="str">
        <f t="shared" ca="1" si="51"/>
        <v/>
      </c>
      <c r="N168" s="93" t="str">
        <f t="shared" ca="1" si="51"/>
        <v/>
      </c>
      <c r="O168" s="93" t="str">
        <f t="shared" ca="1" si="51"/>
        <v/>
      </c>
      <c r="P168" s="312" t="str">
        <f t="shared" ca="1" si="48"/>
        <v/>
      </c>
      <c r="Q168" s="93" t="str">
        <f t="shared" ca="1" si="48"/>
        <v/>
      </c>
      <c r="R168" s="93" t="str">
        <f t="shared" ca="1" si="48"/>
        <v/>
      </c>
      <c r="S168" s="201" t="str">
        <f t="shared" ca="1" si="42"/>
        <v/>
      </c>
      <c r="T168" s="201"/>
      <c r="Z168" s="40" t="e">
        <f t="shared" ca="1" si="43"/>
        <v>#N/A</v>
      </c>
      <c r="AA168" s="310">
        <f t="shared" ca="1" si="44"/>
        <v>999</v>
      </c>
      <c r="AB168" s="40" t="e">
        <f ca="1">IF(ISNUMBER($A168),VLOOKUP('Berechnungen 2'!AI171,Matrix_Empfehlung.Stromkosten.ID.BOText,3,1),"")</f>
        <v>#VALUE!</v>
      </c>
      <c r="AC168" s="40">
        <f t="shared" ca="1" si="49"/>
        <v>999</v>
      </c>
      <c r="AD168" s="40">
        <f t="shared" ca="1" si="49"/>
        <v>156</v>
      </c>
      <c r="AE168" s="311">
        <f t="shared" ca="1" si="50"/>
        <v>0</v>
      </c>
    </row>
    <row r="169" spans="1:31" x14ac:dyDescent="0.2">
      <c r="A169" s="201">
        <f t="shared" ca="1" si="41"/>
        <v>157</v>
      </c>
      <c r="B169" s="193">
        <f t="shared" si="45"/>
        <v>157</v>
      </c>
      <c r="C169" s="192">
        <f ca="1">IF(ISERROR(LARGE('Berechnungen 2'!$E$16:$E$315,B169)),"",LARGE('Berechnungen 2'!$E$16:$E$315,B169))</f>
        <v>144</v>
      </c>
      <c r="D169" s="201" t="str">
        <f t="shared" ca="1" si="51"/>
        <v/>
      </c>
      <c r="E169" s="201" t="str">
        <f t="shared" ca="1" si="51"/>
        <v/>
      </c>
      <c r="F169" s="201" t="str">
        <f t="shared" ca="1" si="51"/>
        <v/>
      </c>
      <c r="G169" s="205" t="str">
        <f t="shared" ca="1" si="51"/>
        <v/>
      </c>
      <c r="H169" s="202" t="str">
        <f t="shared" ca="1" si="51"/>
        <v/>
      </c>
      <c r="I169" s="201" t="str">
        <f t="shared" ca="1" si="51"/>
        <v/>
      </c>
      <c r="J169" s="93" t="str">
        <f t="shared" ca="1" si="51"/>
        <v/>
      </c>
      <c r="K169" s="93" t="str">
        <f t="shared" ca="1" si="51"/>
        <v/>
      </c>
      <c r="L169" s="93" t="str">
        <f t="shared" ca="1" si="51"/>
        <v/>
      </c>
      <c r="M169" s="93" t="str">
        <f t="shared" ca="1" si="51"/>
        <v/>
      </c>
      <c r="N169" s="93" t="str">
        <f t="shared" ca="1" si="51"/>
        <v/>
      </c>
      <c r="O169" s="93" t="str">
        <f t="shared" ca="1" si="51"/>
        <v/>
      </c>
      <c r="P169" s="312" t="str">
        <f t="shared" ca="1" si="48"/>
        <v/>
      </c>
      <c r="Q169" s="93" t="str">
        <f t="shared" ca="1" si="48"/>
        <v/>
      </c>
      <c r="R169" s="93" t="str">
        <f t="shared" ca="1" si="48"/>
        <v/>
      </c>
      <c r="S169" s="201" t="str">
        <f t="shared" ca="1" si="42"/>
        <v/>
      </c>
      <c r="T169" s="201"/>
      <c r="Z169" s="40" t="e">
        <f t="shared" ca="1" si="43"/>
        <v>#N/A</v>
      </c>
      <c r="AA169" s="310">
        <f t="shared" ca="1" si="44"/>
        <v>999</v>
      </c>
      <c r="AB169" s="40" t="e">
        <f ca="1">IF(ISNUMBER($A169),VLOOKUP('Berechnungen 2'!AI172,Matrix_Empfehlung.Stromkosten.ID.BOText,3,1),"")</f>
        <v>#VALUE!</v>
      </c>
      <c r="AC169" s="40">
        <f t="shared" ca="1" si="49"/>
        <v>999</v>
      </c>
      <c r="AD169" s="40">
        <f t="shared" ca="1" si="49"/>
        <v>157</v>
      </c>
      <c r="AE169" s="311">
        <f t="shared" ca="1" si="50"/>
        <v>0</v>
      </c>
    </row>
    <row r="170" spans="1:31" x14ac:dyDescent="0.2">
      <c r="A170" s="201">
        <f t="shared" ca="1" si="41"/>
        <v>158</v>
      </c>
      <c r="B170" s="193">
        <f t="shared" si="45"/>
        <v>158</v>
      </c>
      <c r="C170" s="192">
        <f ca="1">IF(ISERROR(LARGE('Berechnungen 2'!$E$16:$E$315,B170)),"",LARGE('Berechnungen 2'!$E$16:$E$315,B170))</f>
        <v>143</v>
      </c>
      <c r="D170" s="201" t="str">
        <f t="shared" ca="1" si="51"/>
        <v/>
      </c>
      <c r="E170" s="201" t="str">
        <f t="shared" ca="1" si="51"/>
        <v/>
      </c>
      <c r="F170" s="201" t="str">
        <f t="shared" ca="1" si="51"/>
        <v/>
      </c>
      <c r="G170" s="205" t="str">
        <f t="shared" ca="1" si="51"/>
        <v/>
      </c>
      <c r="H170" s="202" t="str">
        <f t="shared" ca="1" si="51"/>
        <v/>
      </c>
      <c r="I170" s="201" t="str">
        <f t="shared" ca="1" si="51"/>
        <v/>
      </c>
      <c r="J170" s="93" t="str">
        <f t="shared" ca="1" si="51"/>
        <v/>
      </c>
      <c r="K170" s="93" t="str">
        <f t="shared" ca="1" si="51"/>
        <v/>
      </c>
      <c r="L170" s="93" t="str">
        <f t="shared" ca="1" si="51"/>
        <v/>
      </c>
      <c r="M170" s="93" t="str">
        <f t="shared" ca="1" si="51"/>
        <v/>
      </c>
      <c r="N170" s="93" t="str">
        <f t="shared" ca="1" si="51"/>
        <v/>
      </c>
      <c r="O170" s="93" t="str">
        <f t="shared" ca="1" si="51"/>
        <v/>
      </c>
      <c r="P170" s="312" t="str">
        <f t="shared" ca="1" si="48"/>
        <v/>
      </c>
      <c r="Q170" s="93" t="str">
        <f t="shared" ca="1" si="48"/>
        <v/>
      </c>
      <c r="R170" s="93" t="str">
        <f t="shared" ca="1" si="48"/>
        <v/>
      </c>
      <c r="S170" s="201" t="str">
        <f t="shared" ca="1" si="42"/>
        <v/>
      </c>
      <c r="T170" s="201"/>
      <c r="Z170" s="40" t="e">
        <f t="shared" ca="1" si="43"/>
        <v>#N/A</v>
      </c>
      <c r="AA170" s="310">
        <f t="shared" ca="1" si="44"/>
        <v>999</v>
      </c>
      <c r="AB170" s="40" t="e">
        <f ca="1">IF(ISNUMBER($A170),VLOOKUP('Berechnungen 2'!AI173,Matrix_Empfehlung.Stromkosten.ID.BOText,3,1),"")</f>
        <v>#VALUE!</v>
      </c>
      <c r="AC170" s="40">
        <f t="shared" ca="1" si="49"/>
        <v>999</v>
      </c>
      <c r="AD170" s="40">
        <f t="shared" ca="1" si="49"/>
        <v>158</v>
      </c>
      <c r="AE170" s="311">
        <f t="shared" ca="1" si="50"/>
        <v>0</v>
      </c>
    </row>
    <row r="171" spans="1:31" x14ac:dyDescent="0.2">
      <c r="A171" s="201">
        <f t="shared" ca="1" si="41"/>
        <v>159</v>
      </c>
      <c r="B171" s="193">
        <f t="shared" si="45"/>
        <v>159</v>
      </c>
      <c r="C171" s="192">
        <f ca="1">IF(ISERROR(LARGE('Berechnungen 2'!$E$16:$E$315,B171)),"",LARGE('Berechnungen 2'!$E$16:$E$315,B171))</f>
        <v>142</v>
      </c>
      <c r="D171" s="201" t="str">
        <f t="shared" ca="1" si="51"/>
        <v/>
      </c>
      <c r="E171" s="201" t="str">
        <f t="shared" ca="1" si="51"/>
        <v/>
      </c>
      <c r="F171" s="201" t="str">
        <f t="shared" ca="1" si="51"/>
        <v/>
      </c>
      <c r="G171" s="205" t="str">
        <f t="shared" ca="1" si="51"/>
        <v/>
      </c>
      <c r="H171" s="202" t="str">
        <f t="shared" ca="1" si="51"/>
        <v/>
      </c>
      <c r="I171" s="201" t="str">
        <f t="shared" ca="1" si="51"/>
        <v/>
      </c>
      <c r="J171" s="93" t="str">
        <f t="shared" ca="1" si="51"/>
        <v/>
      </c>
      <c r="K171" s="93" t="str">
        <f t="shared" ca="1" si="51"/>
        <v/>
      </c>
      <c r="L171" s="93" t="str">
        <f t="shared" ca="1" si="51"/>
        <v/>
      </c>
      <c r="M171" s="93" t="str">
        <f t="shared" ca="1" si="51"/>
        <v/>
      </c>
      <c r="N171" s="93" t="str">
        <f t="shared" ca="1" si="51"/>
        <v/>
      </c>
      <c r="O171" s="93" t="str">
        <f t="shared" ca="1" si="51"/>
        <v/>
      </c>
      <c r="P171" s="312" t="str">
        <f t="shared" ca="1" si="48"/>
        <v/>
      </c>
      <c r="Q171" s="93" t="str">
        <f t="shared" ca="1" si="48"/>
        <v/>
      </c>
      <c r="R171" s="93" t="str">
        <f t="shared" ca="1" si="48"/>
        <v/>
      </c>
      <c r="S171" s="201" t="str">
        <f t="shared" ca="1" si="42"/>
        <v/>
      </c>
      <c r="T171" s="201"/>
      <c r="Z171" s="40" t="e">
        <f t="shared" ca="1" si="43"/>
        <v>#N/A</v>
      </c>
      <c r="AA171" s="310">
        <f t="shared" ca="1" si="44"/>
        <v>999</v>
      </c>
      <c r="AB171" s="40" t="e">
        <f ca="1">IF(ISNUMBER($A171),VLOOKUP('Berechnungen 2'!AI174,Matrix_Empfehlung.Stromkosten.ID.BOText,3,1),"")</f>
        <v>#VALUE!</v>
      </c>
      <c r="AC171" s="40">
        <f t="shared" ca="1" si="49"/>
        <v>999</v>
      </c>
      <c r="AD171" s="40">
        <f t="shared" ca="1" si="49"/>
        <v>159</v>
      </c>
      <c r="AE171" s="311">
        <f t="shared" ca="1" si="50"/>
        <v>0</v>
      </c>
    </row>
    <row r="172" spans="1:31" x14ac:dyDescent="0.2">
      <c r="A172" s="201">
        <f t="shared" ca="1" si="41"/>
        <v>160</v>
      </c>
      <c r="B172" s="193">
        <f t="shared" si="45"/>
        <v>160</v>
      </c>
      <c r="C172" s="192">
        <f ca="1">IF(ISERROR(LARGE('Berechnungen 2'!$E$16:$E$315,B172)),"",LARGE('Berechnungen 2'!$E$16:$E$315,B172))</f>
        <v>141</v>
      </c>
      <c r="D172" s="201" t="str">
        <f t="shared" ca="1" si="51"/>
        <v/>
      </c>
      <c r="E172" s="201" t="str">
        <f t="shared" ca="1" si="51"/>
        <v/>
      </c>
      <c r="F172" s="201" t="str">
        <f t="shared" ca="1" si="51"/>
        <v/>
      </c>
      <c r="G172" s="205" t="str">
        <f t="shared" ca="1" si="51"/>
        <v/>
      </c>
      <c r="H172" s="202" t="str">
        <f t="shared" ca="1" si="51"/>
        <v/>
      </c>
      <c r="I172" s="201" t="str">
        <f t="shared" ca="1" si="51"/>
        <v/>
      </c>
      <c r="J172" s="93" t="str">
        <f t="shared" ca="1" si="51"/>
        <v/>
      </c>
      <c r="K172" s="93" t="str">
        <f t="shared" ca="1" si="51"/>
        <v/>
      </c>
      <c r="L172" s="93" t="str">
        <f t="shared" ca="1" si="51"/>
        <v/>
      </c>
      <c r="M172" s="93" t="str">
        <f t="shared" ca="1" si="51"/>
        <v/>
      </c>
      <c r="N172" s="93" t="str">
        <f t="shared" ca="1" si="51"/>
        <v/>
      </c>
      <c r="O172" s="93" t="str">
        <f t="shared" ca="1" si="51"/>
        <v/>
      </c>
      <c r="P172" s="312" t="str">
        <f t="shared" ca="1" si="48"/>
        <v/>
      </c>
      <c r="Q172" s="93" t="str">
        <f t="shared" ca="1" si="48"/>
        <v/>
      </c>
      <c r="R172" s="93" t="str">
        <f t="shared" ca="1" si="48"/>
        <v/>
      </c>
      <c r="S172" s="201" t="str">
        <f t="shared" ca="1" si="42"/>
        <v/>
      </c>
      <c r="T172" s="201"/>
      <c r="Z172" s="40" t="e">
        <f t="shared" ca="1" si="43"/>
        <v>#N/A</v>
      </c>
      <c r="AA172" s="310">
        <f t="shared" ca="1" si="44"/>
        <v>999</v>
      </c>
      <c r="AB172" s="40" t="e">
        <f ca="1">IF(ISNUMBER($A172),VLOOKUP('Berechnungen 2'!AI175,Matrix_Empfehlung.Stromkosten.ID.BOText,3,1),"")</f>
        <v>#VALUE!</v>
      </c>
      <c r="AC172" s="40">
        <f t="shared" ca="1" si="49"/>
        <v>999</v>
      </c>
      <c r="AD172" s="40">
        <f t="shared" ca="1" si="49"/>
        <v>160</v>
      </c>
      <c r="AE172" s="311">
        <f t="shared" ca="1" si="50"/>
        <v>0</v>
      </c>
    </row>
    <row r="173" spans="1:31" x14ac:dyDescent="0.2">
      <c r="A173" s="201">
        <f t="shared" ca="1" si="41"/>
        <v>161</v>
      </c>
      <c r="B173" s="193">
        <f t="shared" si="45"/>
        <v>161</v>
      </c>
      <c r="C173" s="192">
        <f ca="1">IF(ISERROR(LARGE('Berechnungen 2'!$E$16:$E$315,B173)),"",LARGE('Berechnungen 2'!$E$16:$E$315,B173))</f>
        <v>140</v>
      </c>
      <c r="D173" s="201" t="str">
        <f t="shared" ref="D173:O182" ca="1" si="52">IF($AC173&gt;0,VLOOKUP($C173,Matrix_Berechnungen2.Rang.Pumpendaten.Endresultate,D$9,0),"")</f>
        <v/>
      </c>
      <c r="E173" s="201" t="str">
        <f t="shared" ca="1" si="52"/>
        <v/>
      </c>
      <c r="F173" s="201" t="str">
        <f t="shared" ca="1" si="52"/>
        <v/>
      </c>
      <c r="G173" s="205" t="str">
        <f t="shared" ca="1" si="52"/>
        <v/>
      </c>
      <c r="H173" s="202" t="str">
        <f t="shared" ca="1" si="52"/>
        <v/>
      </c>
      <c r="I173" s="201" t="str">
        <f t="shared" ca="1" si="52"/>
        <v/>
      </c>
      <c r="J173" s="93" t="str">
        <f t="shared" ca="1" si="52"/>
        <v/>
      </c>
      <c r="K173" s="93" t="str">
        <f t="shared" ca="1" si="52"/>
        <v/>
      </c>
      <c r="L173" s="93" t="str">
        <f t="shared" ca="1" si="52"/>
        <v/>
      </c>
      <c r="M173" s="93" t="str">
        <f t="shared" ca="1" si="52"/>
        <v/>
      </c>
      <c r="N173" s="93" t="str">
        <f t="shared" ca="1" si="52"/>
        <v/>
      </c>
      <c r="O173" s="93" t="str">
        <f t="shared" ca="1" si="52"/>
        <v/>
      </c>
      <c r="P173" s="312" t="str">
        <f t="shared" ref="P173:R192" ca="1" si="53">IF(AND($AC173&gt;0,$AC173&lt;&gt;999),VLOOKUP($C173,Matrix_Berechnungen2.Rang.Pumpendaten.Endresultate,P$9,0),"")</f>
        <v/>
      </c>
      <c r="Q173" s="93" t="str">
        <f t="shared" ca="1" si="53"/>
        <v/>
      </c>
      <c r="R173" s="93" t="str">
        <f t="shared" ca="1" si="53"/>
        <v/>
      </c>
      <c r="S173" s="201" t="str">
        <f t="shared" ca="1" si="42"/>
        <v/>
      </c>
      <c r="T173" s="201"/>
      <c r="Z173" s="40" t="e">
        <f t="shared" ca="1" si="43"/>
        <v>#N/A</v>
      </c>
      <c r="AA173" s="310">
        <f t="shared" ca="1" si="44"/>
        <v>999</v>
      </c>
      <c r="AB173" s="40" t="e">
        <f ca="1">IF(ISNUMBER($A173),VLOOKUP('Berechnungen 2'!AI176,Matrix_Empfehlung.Stromkosten.ID.BOText,3,1),"")</f>
        <v>#VALUE!</v>
      </c>
      <c r="AC173" s="40">
        <f t="shared" ref="AC173:AD192" ca="1" si="54">IF(VLOOKUP($C173,Matrix_Berechnungen2.Rang.Pumpendaten.Endresultate,$C$9,0)&gt;0,VLOOKUP($C173,Matrix_Berechnungen2.Rang.Pumpendaten.Endresultate,AC$9,0),"")</f>
        <v>999</v>
      </c>
      <c r="AD173" s="40">
        <f t="shared" ca="1" si="54"/>
        <v>161</v>
      </c>
      <c r="AE173" s="311">
        <f t="shared" ca="1" si="50"/>
        <v>0</v>
      </c>
    </row>
    <row r="174" spans="1:31" x14ac:dyDescent="0.2">
      <c r="A174" s="201">
        <f t="shared" ca="1" si="41"/>
        <v>162</v>
      </c>
      <c r="B174" s="193">
        <f t="shared" si="45"/>
        <v>162</v>
      </c>
      <c r="C174" s="192">
        <f ca="1">IF(ISERROR(LARGE('Berechnungen 2'!$E$16:$E$315,B174)),"",LARGE('Berechnungen 2'!$E$16:$E$315,B174))</f>
        <v>139</v>
      </c>
      <c r="D174" s="201" t="str">
        <f t="shared" ca="1" si="52"/>
        <v/>
      </c>
      <c r="E174" s="201" t="str">
        <f t="shared" ca="1" si="52"/>
        <v/>
      </c>
      <c r="F174" s="201" t="str">
        <f t="shared" ca="1" si="52"/>
        <v/>
      </c>
      <c r="G174" s="205" t="str">
        <f t="shared" ca="1" si="52"/>
        <v/>
      </c>
      <c r="H174" s="202" t="str">
        <f t="shared" ca="1" si="52"/>
        <v/>
      </c>
      <c r="I174" s="201" t="str">
        <f t="shared" ca="1" si="52"/>
        <v/>
      </c>
      <c r="J174" s="93" t="str">
        <f t="shared" ca="1" si="52"/>
        <v/>
      </c>
      <c r="K174" s="93" t="str">
        <f t="shared" ca="1" si="52"/>
        <v/>
      </c>
      <c r="L174" s="93" t="str">
        <f t="shared" ca="1" si="52"/>
        <v/>
      </c>
      <c r="M174" s="93" t="str">
        <f t="shared" ca="1" si="52"/>
        <v/>
      </c>
      <c r="N174" s="93" t="str">
        <f t="shared" ca="1" si="52"/>
        <v/>
      </c>
      <c r="O174" s="93" t="str">
        <f t="shared" ca="1" si="52"/>
        <v/>
      </c>
      <c r="P174" s="312" t="str">
        <f t="shared" ca="1" si="53"/>
        <v/>
      </c>
      <c r="Q174" s="93" t="str">
        <f t="shared" ca="1" si="53"/>
        <v/>
      </c>
      <c r="R174" s="93" t="str">
        <f t="shared" ca="1" si="53"/>
        <v/>
      </c>
      <c r="S174" s="201" t="str">
        <f t="shared" ca="1" si="42"/>
        <v/>
      </c>
      <c r="T174" s="201"/>
      <c r="Z174" s="40" t="e">
        <f t="shared" ca="1" si="43"/>
        <v>#N/A</v>
      </c>
      <c r="AA174" s="310">
        <f t="shared" ca="1" si="44"/>
        <v>999</v>
      </c>
      <c r="AB174" s="40" t="e">
        <f ca="1">IF(ISNUMBER($A174),VLOOKUP('Berechnungen 2'!AI177,Matrix_Empfehlung.Stromkosten.ID.BOText,3,1),"")</f>
        <v>#VALUE!</v>
      </c>
      <c r="AC174" s="40">
        <f t="shared" ca="1" si="54"/>
        <v>999</v>
      </c>
      <c r="AD174" s="40">
        <f t="shared" ca="1" si="54"/>
        <v>162</v>
      </c>
      <c r="AE174" s="311">
        <f t="shared" ca="1" si="50"/>
        <v>0</v>
      </c>
    </row>
    <row r="175" spans="1:31" x14ac:dyDescent="0.2">
      <c r="A175" s="201">
        <f t="shared" ca="1" si="41"/>
        <v>163</v>
      </c>
      <c r="B175" s="193">
        <f t="shared" si="45"/>
        <v>163</v>
      </c>
      <c r="C175" s="192">
        <f ca="1">IF(ISERROR(LARGE('Berechnungen 2'!$E$16:$E$315,B175)),"",LARGE('Berechnungen 2'!$E$16:$E$315,B175))</f>
        <v>138</v>
      </c>
      <c r="D175" s="201" t="str">
        <f t="shared" ca="1" si="52"/>
        <v/>
      </c>
      <c r="E175" s="201" t="str">
        <f t="shared" ca="1" si="52"/>
        <v/>
      </c>
      <c r="F175" s="201" t="str">
        <f t="shared" ca="1" si="52"/>
        <v/>
      </c>
      <c r="G175" s="205" t="str">
        <f t="shared" ca="1" si="52"/>
        <v/>
      </c>
      <c r="H175" s="202" t="str">
        <f t="shared" ca="1" si="52"/>
        <v/>
      </c>
      <c r="I175" s="201" t="str">
        <f t="shared" ca="1" si="52"/>
        <v/>
      </c>
      <c r="J175" s="93" t="str">
        <f t="shared" ca="1" si="52"/>
        <v/>
      </c>
      <c r="K175" s="93" t="str">
        <f t="shared" ca="1" si="52"/>
        <v/>
      </c>
      <c r="L175" s="93" t="str">
        <f t="shared" ca="1" si="52"/>
        <v/>
      </c>
      <c r="M175" s="93" t="str">
        <f t="shared" ca="1" si="52"/>
        <v/>
      </c>
      <c r="N175" s="93" t="str">
        <f t="shared" ca="1" si="52"/>
        <v/>
      </c>
      <c r="O175" s="93" t="str">
        <f t="shared" ca="1" si="52"/>
        <v/>
      </c>
      <c r="P175" s="312" t="str">
        <f t="shared" ca="1" si="53"/>
        <v/>
      </c>
      <c r="Q175" s="93" t="str">
        <f t="shared" ca="1" si="53"/>
        <v/>
      </c>
      <c r="R175" s="93" t="str">
        <f t="shared" ca="1" si="53"/>
        <v/>
      </c>
      <c r="S175" s="201" t="str">
        <f t="shared" ca="1" si="42"/>
        <v/>
      </c>
      <c r="T175" s="201"/>
      <c r="Z175" s="40" t="e">
        <f t="shared" ca="1" si="43"/>
        <v>#N/A</v>
      </c>
      <c r="AA175" s="310">
        <f t="shared" ca="1" si="44"/>
        <v>999</v>
      </c>
      <c r="AB175" s="40" t="e">
        <f ca="1">IF(ISNUMBER($A175),VLOOKUP('Berechnungen 2'!AI178,Matrix_Empfehlung.Stromkosten.ID.BOText,3,1),"")</f>
        <v>#VALUE!</v>
      </c>
      <c r="AC175" s="40">
        <f t="shared" ca="1" si="54"/>
        <v>999</v>
      </c>
      <c r="AD175" s="40">
        <f t="shared" ca="1" si="54"/>
        <v>163</v>
      </c>
      <c r="AE175" s="311">
        <f t="shared" ca="1" si="50"/>
        <v>0</v>
      </c>
    </row>
    <row r="176" spans="1:31" x14ac:dyDescent="0.2">
      <c r="A176" s="201">
        <f t="shared" ca="1" si="41"/>
        <v>164</v>
      </c>
      <c r="B176" s="193">
        <f t="shared" si="45"/>
        <v>164</v>
      </c>
      <c r="C176" s="192">
        <f ca="1">IF(ISERROR(LARGE('Berechnungen 2'!$E$16:$E$315,B176)),"",LARGE('Berechnungen 2'!$E$16:$E$315,B176))</f>
        <v>137</v>
      </c>
      <c r="D176" s="201" t="str">
        <f t="shared" ca="1" si="52"/>
        <v/>
      </c>
      <c r="E176" s="201" t="str">
        <f t="shared" ca="1" si="52"/>
        <v/>
      </c>
      <c r="F176" s="201" t="str">
        <f t="shared" ca="1" si="52"/>
        <v/>
      </c>
      <c r="G176" s="205" t="str">
        <f t="shared" ca="1" si="52"/>
        <v/>
      </c>
      <c r="H176" s="202" t="str">
        <f t="shared" ca="1" si="52"/>
        <v/>
      </c>
      <c r="I176" s="201" t="str">
        <f t="shared" ca="1" si="52"/>
        <v/>
      </c>
      <c r="J176" s="93" t="str">
        <f t="shared" ca="1" si="52"/>
        <v/>
      </c>
      <c r="K176" s="93" t="str">
        <f t="shared" ca="1" si="52"/>
        <v/>
      </c>
      <c r="L176" s="93" t="str">
        <f t="shared" ca="1" si="52"/>
        <v/>
      </c>
      <c r="M176" s="93" t="str">
        <f t="shared" ca="1" si="52"/>
        <v/>
      </c>
      <c r="N176" s="93" t="str">
        <f t="shared" ca="1" si="52"/>
        <v/>
      </c>
      <c r="O176" s="93" t="str">
        <f t="shared" ca="1" si="52"/>
        <v/>
      </c>
      <c r="P176" s="312" t="str">
        <f t="shared" ca="1" si="53"/>
        <v/>
      </c>
      <c r="Q176" s="93" t="str">
        <f t="shared" ca="1" si="53"/>
        <v/>
      </c>
      <c r="R176" s="93" t="str">
        <f t="shared" ca="1" si="53"/>
        <v/>
      </c>
      <c r="S176" s="201" t="str">
        <f t="shared" ca="1" si="42"/>
        <v/>
      </c>
      <c r="T176" s="201"/>
      <c r="Z176" s="40" t="e">
        <f t="shared" ca="1" si="43"/>
        <v>#N/A</v>
      </c>
      <c r="AA176" s="310">
        <f t="shared" ca="1" si="44"/>
        <v>999</v>
      </c>
      <c r="AB176" s="40" t="e">
        <f ca="1">IF(ISNUMBER($A176),VLOOKUP('Berechnungen 2'!AI179,Matrix_Empfehlung.Stromkosten.ID.BOText,3,1),"")</f>
        <v>#VALUE!</v>
      </c>
      <c r="AC176" s="40">
        <f t="shared" ca="1" si="54"/>
        <v>999</v>
      </c>
      <c r="AD176" s="40">
        <f t="shared" ca="1" si="54"/>
        <v>164</v>
      </c>
      <c r="AE176" s="311">
        <f t="shared" ca="1" si="50"/>
        <v>0</v>
      </c>
    </row>
    <row r="177" spans="1:31" x14ac:dyDescent="0.2">
      <c r="A177" s="201">
        <f t="shared" ca="1" si="41"/>
        <v>165</v>
      </c>
      <c r="B177" s="193">
        <f t="shared" si="45"/>
        <v>165</v>
      </c>
      <c r="C177" s="192">
        <f ca="1">IF(ISERROR(LARGE('Berechnungen 2'!$E$16:$E$315,B177)),"",LARGE('Berechnungen 2'!$E$16:$E$315,B177))</f>
        <v>136</v>
      </c>
      <c r="D177" s="201" t="str">
        <f t="shared" ca="1" si="52"/>
        <v/>
      </c>
      <c r="E177" s="201" t="str">
        <f t="shared" ca="1" si="52"/>
        <v/>
      </c>
      <c r="F177" s="201" t="str">
        <f t="shared" ca="1" si="52"/>
        <v/>
      </c>
      <c r="G177" s="205" t="str">
        <f t="shared" ca="1" si="52"/>
        <v/>
      </c>
      <c r="H177" s="202" t="str">
        <f t="shared" ca="1" si="52"/>
        <v/>
      </c>
      <c r="I177" s="201" t="str">
        <f t="shared" ca="1" si="52"/>
        <v/>
      </c>
      <c r="J177" s="93" t="str">
        <f t="shared" ca="1" si="52"/>
        <v/>
      </c>
      <c r="K177" s="93" t="str">
        <f t="shared" ca="1" si="52"/>
        <v/>
      </c>
      <c r="L177" s="93" t="str">
        <f t="shared" ca="1" si="52"/>
        <v/>
      </c>
      <c r="M177" s="93" t="str">
        <f t="shared" ca="1" si="52"/>
        <v/>
      </c>
      <c r="N177" s="93" t="str">
        <f t="shared" ca="1" si="52"/>
        <v/>
      </c>
      <c r="O177" s="93" t="str">
        <f t="shared" ca="1" si="52"/>
        <v/>
      </c>
      <c r="P177" s="312" t="str">
        <f t="shared" ca="1" si="53"/>
        <v/>
      </c>
      <c r="Q177" s="93" t="str">
        <f t="shared" ca="1" si="53"/>
        <v/>
      </c>
      <c r="R177" s="93" t="str">
        <f t="shared" ca="1" si="53"/>
        <v/>
      </c>
      <c r="S177" s="201" t="str">
        <f t="shared" ca="1" si="42"/>
        <v/>
      </c>
      <c r="T177" s="201"/>
      <c r="Z177" s="40" t="e">
        <f t="shared" ca="1" si="43"/>
        <v>#N/A</v>
      </c>
      <c r="AA177" s="310">
        <f t="shared" ca="1" si="44"/>
        <v>999</v>
      </c>
      <c r="AB177" s="40" t="e">
        <f ca="1">IF(ISNUMBER($A177),VLOOKUP('Berechnungen 2'!AI180,Matrix_Empfehlung.Stromkosten.ID.BOText,3,1),"")</f>
        <v>#VALUE!</v>
      </c>
      <c r="AC177" s="40">
        <f t="shared" ca="1" si="54"/>
        <v>999</v>
      </c>
      <c r="AD177" s="40">
        <f t="shared" ca="1" si="54"/>
        <v>165</v>
      </c>
      <c r="AE177" s="311">
        <f t="shared" ca="1" si="50"/>
        <v>0</v>
      </c>
    </row>
    <row r="178" spans="1:31" x14ac:dyDescent="0.2">
      <c r="A178" s="201">
        <f t="shared" ca="1" si="41"/>
        <v>166</v>
      </c>
      <c r="B178" s="193">
        <f t="shared" si="45"/>
        <v>166</v>
      </c>
      <c r="C178" s="192">
        <f ca="1">IF(ISERROR(LARGE('Berechnungen 2'!$E$16:$E$315,B178)),"",LARGE('Berechnungen 2'!$E$16:$E$315,B178))</f>
        <v>135</v>
      </c>
      <c r="D178" s="201" t="str">
        <f t="shared" ca="1" si="52"/>
        <v/>
      </c>
      <c r="E178" s="201" t="str">
        <f t="shared" ca="1" si="52"/>
        <v/>
      </c>
      <c r="F178" s="201" t="str">
        <f t="shared" ca="1" si="52"/>
        <v/>
      </c>
      <c r="G178" s="205" t="str">
        <f t="shared" ca="1" si="52"/>
        <v/>
      </c>
      <c r="H178" s="202" t="str">
        <f t="shared" ca="1" si="52"/>
        <v/>
      </c>
      <c r="I178" s="201" t="str">
        <f t="shared" ca="1" si="52"/>
        <v/>
      </c>
      <c r="J178" s="93" t="str">
        <f t="shared" ca="1" si="52"/>
        <v/>
      </c>
      <c r="K178" s="93" t="str">
        <f t="shared" ca="1" si="52"/>
        <v/>
      </c>
      <c r="L178" s="93" t="str">
        <f t="shared" ca="1" si="52"/>
        <v/>
      </c>
      <c r="M178" s="93" t="str">
        <f t="shared" ca="1" si="52"/>
        <v/>
      </c>
      <c r="N178" s="93" t="str">
        <f t="shared" ca="1" si="52"/>
        <v/>
      </c>
      <c r="O178" s="93" t="str">
        <f t="shared" ca="1" si="52"/>
        <v/>
      </c>
      <c r="P178" s="312" t="str">
        <f t="shared" ca="1" si="53"/>
        <v/>
      </c>
      <c r="Q178" s="93" t="str">
        <f t="shared" ca="1" si="53"/>
        <v/>
      </c>
      <c r="R178" s="93" t="str">
        <f t="shared" ca="1" si="53"/>
        <v/>
      </c>
      <c r="S178" s="201" t="str">
        <f t="shared" ca="1" si="42"/>
        <v/>
      </c>
      <c r="T178" s="201"/>
      <c r="Z178" s="40" t="e">
        <f t="shared" ca="1" si="43"/>
        <v>#N/A</v>
      </c>
      <c r="AA178" s="310">
        <f t="shared" ca="1" si="44"/>
        <v>999</v>
      </c>
      <c r="AB178" s="40" t="e">
        <f ca="1">IF(ISNUMBER($A178),VLOOKUP('Berechnungen 2'!AI181,Matrix_Empfehlung.Stromkosten.ID.BOText,3,1),"")</f>
        <v>#VALUE!</v>
      </c>
      <c r="AC178" s="40">
        <f t="shared" ca="1" si="54"/>
        <v>999</v>
      </c>
      <c r="AD178" s="40">
        <f t="shared" ca="1" si="54"/>
        <v>166</v>
      </c>
      <c r="AE178" s="311">
        <f t="shared" ca="1" si="50"/>
        <v>0</v>
      </c>
    </row>
    <row r="179" spans="1:31" x14ac:dyDescent="0.2">
      <c r="A179" s="201">
        <f t="shared" ca="1" si="41"/>
        <v>167</v>
      </c>
      <c r="B179" s="193">
        <f t="shared" si="45"/>
        <v>167</v>
      </c>
      <c r="C179" s="192">
        <f ca="1">IF(ISERROR(LARGE('Berechnungen 2'!$E$16:$E$315,B179)),"",LARGE('Berechnungen 2'!$E$16:$E$315,B179))</f>
        <v>134</v>
      </c>
      <c r="D179" s="201" t="str">
        <f t="shared" ca="1" si="52"/>
        <v/>
      </c>
      <c r="E179" s="201" t="str">
        <f t="shared" ca="1" si="52"/>
        <v/>
      </c>
      <c r="F179" s="201" t="str">
        <f t="shared" ca="1" si="52"/>
        <v/>
      </c>
      <c r="G179" s="205" t="str">
        <f t="shared" ca="1" si="52"/>
        <v/>
      </c>
      <c r="H179" s="202" t="str">
        <f t="shared" ca="1" si="52"/>
        <v/>
      </c>
      <c r="I179" s="201" t="str">
        <f t="shared" ca="1" si="52"/>
        <v/>
      </c>
      <c r="J179" s="93" t="str">
        <f t="shared" ca="1" si="52"/>
        <v/>
      </c>
      <c r="K179" s="93" t="str">
        <f t="shared" ca="1" si="52"/>
        <v/>
      </c>
      <c r="L179" s="93" t="str">
        <f t="shared" ca="1" si="52"/>
        <v/>
      </c>
      <c r="M179" s="93" t="str">
        <f t="shared" ca="1" si="52"/>
        <v/>
      </c>
      <c r="N179" s="93" t="str">
        <f t="shared" ca="1" si="52"/>
        <v/>
      </c>
      <c r="O179" s="93" t="str">
        <f t="shared" ca="1" si="52"/>
        <v/>
      </c>
      <c r="P179" s="312" t="str">
        <f t="shared" ca="1" si="53"/>
        <v/>
      </c>
      <c r="Q179" s="93" t="str">
        <f t="shared" ca="1" si="53"/>
        <v/>
      </c>
      <c r="R179" s="93" t="str">
        <f t="shared" ca="1" si="53"/>
        <v/>
      </c>
      <c r="S179" s="201" t="str">
        <f t="shared" ca="1" si="42"/>
        <v/>
      </c>
      <c r="T179" s="201"/>
      <c r="Z179" s="40" t="e">
        <f t="shared" ca="1" si="43"/>
        <v>#N/A</v>
      </c>
      <c r="AA179" s="310">
        <f t="shared" ca="1" si="44"/>
        <v>999</v>
      </c>
      <c r="AB179" s="40" t="e">
        <f ca="1">IF(ISNUMBER($A179),VLOOKUP('Berechnungen 2'!AI182,Matrix_Empfehlung.Stromkosten.ID.BOText,3,1),"")</f>
        <v>#VALUE!</v>
      </c>
      <c r="AC179" s="40">
        <f t="shared" ca="1" si="54"/>
        <v>999</v>
      </c>
      <c r="AD179" s="40">
        <f t="shared" ca="1" si="54"/>
        <v>167</v>
      </c>
      <c r="AE179" s="311">
        <f t="shared" ca="1" si="50"/>
        <v>0</v>
      </c>
    </row>
    <row r="180" spans="1:31" x14ac:dyDescent="0.2">
      <c r="A180" s="201">
        <f t="shared" ca="1" si="41"/>
        <v>168</v>
      </c>
      <c r="B180" s="193">
        <f t="shared" si="45"/>
        <v>168</v>
      </c>
      <c r="C180" s="192">
        <f ca="1">IF(ISERROR(LARGE('Berechnungen 2'!$E$16:$E$315,B180)),"",LARGE('Berechnungen 2'!$E$16:$E$315,B180))</f>
        <v>133</v>
      </c>
      <c r="D180" s="201" t="str">
        <f t="shared" ca="1" si="52"/>
        <v/>
      </c>
      <c r="E180" s="201" t="str">
        <f t="shared" ca="1" si="52"/>
        <v/>
      </c>
      <c r="F180" s="201" t="str">
        <f t="shared" ca="1" si="52"/>
        <v/>
      </c>
      <c r="G180" s="205" t="str">
        <f t="shared" ca="1" si="52"/>
        <v/>
      </c>
      <c r="H180" s="202" t="str">
        <f t="shared" ca="1" si="52"/>
        <v/>
      </c>
      <c r="I180" s="201" t="str">
        <f t="shared" ca="1" si="52"/>
        <v/>
      </c>
      <c r="J180" s="93" t="str">
        <f t="shared" ca="1" si="52"/>
        <v/>
      </c>
      <c r="K180" s="93" t="str">
        <f t="shared" ca="1" si="52"/>
        <v/>
      </c>
      <c r="L180" s="93" t="str">
        <f t="shared" ca="1" si="52"/>
        <v/>
      </c>
      <c r="M180" s="93" t="str">
        <f t="shared" ca="1" si="52"/>
        <v/>
      </c>
      <c r="N180" s="93" t="str">
        <f t="shared" ca="1" si="52"/>
        <v/>
      </c>
      <c r="O180" s="93" t="str">
        <f t="shared" ca="1" si="52"/>
        <v/>
      </c>
      <c r="P180" s="312" t="str">
        <f t="shared" ca="1" si="53"/>
        <v/>
      </c>
      <c r="Q180" s="93" t="str">
        <f t="shared" ca="1" si="53"/>
        <v/>
      </c>
      <c r="R180" s="93" t="str">
        <f t="shared" ca="1" si="53"/>
        <v/>
      </c>
      <c r="S180" s="201" t="str">
        <f t="shared" ca="1" si="42"/>
        <v/>
      </c>
      <c r="T180" s="201"/>
      <c r="Z180" s="40" t="e">
        <f t="shared" ca="1" si="43"/>
        <v>#N/A</v>
      </c>
      <c r="AA180" s="310">
        <f t="shared" ca="1" si="44"/>
        <v>999</v>
      </c>
      <c r="AB180" s="40" t="e">
        <f ca="1">IF(ISNUMBER($A180),VLOOKUP('Berechnungen 2'!AI183,Matrix_Empfehlung.Stromkosten.ID.BOText,3,1),"")</f>
        <v>#VALUE!</v>
      </c>
      <c r="AC180" s="40">
        <f t="shared" ca="1" si="54"/>
        <v>999</v>
      </c>
      <c r="AD180" s="40">
        <f t="shared" ca="1" si="54"/>
        <v>168</v>
      </c>
      <c r="AE180" s="311">
        <f t="shared" ca="1" si="50"/>
        <v>0</v>
      </c>
    </row>
    <row r="181" spans="1:31" x14ac:dyDescent="0.2">
      <c r="A181" s="201">
        <f t="shared" ca="1" si="41"/>
        <v>169</v>
      </c>
      <c r="B181" s="193">
        <f t="shared" si="45"/>
        <v>169</v>
      </c>
      <c r="C181" s="192">
        <f ca="1">IF(ISERROR(LARGE('Berechnungen 2'!$E$16:$E$315,B181)),"",LARGE('Berechnungen 2'!$E$16:$E$315,B181))</f>
        <v>132</v>
      </c>
      <c r="D181" s="201" t="str">
        <f t="shared" ca="1" si="52"/>
        <v/>
      </c>
      <c r="E181" s="201" t="str">
        <f t="shared" ca="1" si="52"/>
        <v/>
      </c>
      <c r="F181" s="201" t="str">
        <f t="shared" ca="1" si="52"/>
        <v/>
      </c>
      <c r="G181" s="205" t="str">
        <f t="shared" ca="1" si="52"/>
        <v/>
      </c>
      <c r="H181" s="202" t="str">
        <f t="shared" ca="1" si="52"/>
        <v/>
      </c>
      <c r="I181" s="201" t="str">
        <f t="shared" ca="1" si="52"/>
        <v/>
      </c>
      <c r="J181" s="93" t="str">
        <f t="shared" ca="1" si="52"/>
        <v/>
      </c>
      <c r="K181" s="93" t="str">
        <f t="shared" ca="1" si="52"/>
        <v/>
      </c>
      <c r="L181" s="93" t="str">
        <f t="shared" ca="1" si="52"/>
        <v/>
      </c>
      <c r="M181" s="93" t="str">
        <f t="shared" ca="1" si="52"/>
        <v/>
      </c>
      <c r="N181" s="93" t="str">
        <f t="shared" ca="1" si="52"/>
        <v/>
      </c>
      <c r="O181" s="93" t="str">
        <f t="shared" ca="1" si="52"/>
        <v/>
      </c>
      <c r="P181" s="312" t="str">
        <f t="shared" ca="1" si="53"/>
        <v/>
      </c>
      <c r="Q181" s="93" t="str">
        <f t="shared" ca="1" si="53"/>
        <v/>
      </c>
      <c r="R181" s="93" t="str">
        <f t="shared" ca="1" si="53"/>
        <v/>
      </c>
      <c r="S181" s="201" t="str">
        <f t="shared" ca="1" si="42"/>
        <v/>
      </c>
      <c r="T181" s="201"/>
      <c r="Z181" s="40" t="e">
        <f t="shared" ca="1" si="43"/>
        <v>#N/A</v>
      </c>
      <c r="AA181" s="310">
        <f t="shared" ca="1" si="44"/>
        <v>999</v>
      </c>
      <c r="AB181" s="40" t="e">
        <f ca="1">IF(ISNUMBER($A181),VLOOKUP('Berechnungen 2'!AI184,Matrix_Empfehlung.Stromkosten.ID.BOText,3,1),"")</f>
        <v>#VALUE!</v>
      </c>
      <c r="AC181" s="40">
        <f t="shared" ca="1" si="54"/>
        <v>999</v>
      </c>
      <c r="AD181" s="40">
        <f t="shared" ca="1" si="54"/>
        <v>169</v>
      </c>
      <c r="AE181" s="311">
        <f t="shared" ca="1" si="50"/>
        <v>0</v>
      </c>
    </row>
    <row r="182" spans="1:31" x14ac:dyDescent="0.2">
      <c r="A182" s="201">
        <f t="shared" ca="1" si="41"/>
        <v>170</v>
      </c>
      <c r="B182" s="193">
        <f t="shared" si="45"/>
        <v>170</v>
      </c>
      <c r="C182" s="192">
        <f ca="1">IF(ISERROR(LARGE('Berechnungen 2'!$E$16:$E$315,B182)),"",LARGE('Berechnungen 2'!$E$16:$E$315,B182))</f>
        <v>131</v>
      </c>
      <c r="D182" s="201" t="str">
        <f t="shared" ca="1" si="52"/>
        <v/>
      </c>
      <c r="E182" s="201" t="str">
        <f t="shared" ca="1" si="52"/>
        <v/>
      </c>
      <c r="F182" s="201" t="str">
        <f t="shared" ca="1" si="52"/>
        <v/>
      </c>
      <c r="G182" s="205" t="str">
        <f t="shared" ca="1" si="52"/>
        <v/>
      </c>
      <c r="H182" s="202" t="str">
        <f t="shared" ca="1" si="52"/>
        <v/>
      </c>
      <c r="I182" s="201" t="str">
        <f t="shared" ca="1" si="52"/>
        <v/>
      </c>
      <c r="J182" s="93" t="str">
        <f t="shared" ca="1" si="52"/>
        <v/>
      </c>
      <c r="K182" s="93" t="str">
        <f t="shared" ca="1" si="52"/>
        <v/>
      </c>
      <c r="L182" s="93" t="str">
        <f t="shared" ca="1" si="52"/>
        <v/>
      </c>
      <c r="M182" s="93" t="str">
        <f t="shared" ca="1" si="52"/>
        <v/>
      </c>
      <c r="N182" s="93" t="str">
        <f t="shared" ca="1" si="52"/>
        <v/>
      </c>
      <c r="O182" s="93" t="str">
        <f t="shared" ca="1" si="52"/>
        <v/>
      </c>
      <c r="P182" s="312" t="str">
        <f t="shared" ca="1" si="53"/>
        <v/>
      </c>
      <c r="Q182" s="93" t="str">
        <f t="shared" ca="1" si="53"/>
        <v/>
      </c>
      <c r="R182" s="93" t="str">
        <f t="shared" ca="1" si="53"/>
        <v/>
      </c>
      <c r="S182" s="201" t="str">
        <f t="shared" ca="1" si="42"/>
        <v/>
      </c>
      <c r="T182" s="201"/>
      <c r="Z182" s="40" t="e">
        <f t="shared" ca="1" si="43"/>
        <v>#N/A</v>
      </c>
      <c r="AA182" s="310">
        <f t="shared" ca="1" si="44"/>
        <v>999</v>
      </c>
      <c r="AB182" s="40" t="e">
        <f ca="1">IF(ISNUMBER($A182),VLOOKUP('Berechnungen 2'!AI185,Matrix_Empfehlung.Stromkosten.ID.BOText,3,1),"")</f>
        <v>#VALUE!</v>
      </c>
      <c r="AC182" s="40">
        <f t="shared" ca="1" si="54"/>
        <v>999</v>
      </c>
      <c r="AD182" s="40">
        <f t="shared" ca="1" si="54"/>
        <v>170</v>
      </c>
      <c r="AE182" s="311">
        <f t="shared" ca="1" si="50"/>
        <v>0</v>
      </c>
    </row>
    <row r="183" spans="1:31" x14ac:dyDescent="0.2">
      <c r="A183" s="201">
        <f t="shared" ca="1" si="41"/>
        <v>171</v>
      </c>
      <c r="B183" s="193">
        <f t="shared" si="45"/>
        <v>171</v>
      </c>
      <c r="C183" s="192">
        <f ca="1">IF(ISERROR(LARGE('Berechnungen 2'!$E$16:$E$315,B183)),"",LARGE('Berechnungen 2'!$E$16:$E$315,B183))</f>
        <v>130</v>
      </c>
      <c r="D183" s="201" t="str">
        <f t="shared" ref="D183:O192" ca="1" si="55">IF($AC183&gt;0,VLOOKUP($C183,Matrix_Berechnungen2.Rang.Pumpendaten.Endresultate,D$9,0),"")</f>
        <v/>
      </c>
      <c r="E183" s="201" t="str">
        <f t="shared" ca="1" si="55"/>
        <v/>
      </c>
      <c r="F183" s="201" t="str">
        <f t="shared" ca="1" si="55"/>
        <v/>
      </c>
      <c r="G183" s="205" t="str">
        <f t="shared" ca="1" si="55"/>
        <v/>
      </c>
      <c r="H183" s="202" t="str">
        <f t="shared" ca="1" si="55"/>
        <v/>
      </c>
      <c r="I183" s="201" t="str">
        <f t="shared" ca="1" si="55"/>
        <v/>
      </c>
      <c r="J183" s="93" t="str">
        <f t="shared" ca="1" si="55"/>
        <v/>
      </c>
      <c r="K183" s="93" t="str">
        <f t="shared" ca="1" si="55"/>
        <v/>
      </c>
      <c r="L183" s="93" t="str">
        <f t="shared" ca="1" si="55"/>
        <v/>
      </c>
      <c r="M183" s="93" t="str">
        <f t="shared" ca="1" si="55"/>
        <v/>
      </c>
      <c r="N183" s="93" t="str">
        <f t="shared" ca="1" si="55"/>
        <v/>
      </c>
      <c r="O183" s="93" t="str">
        <f t="shared" ca="1" si="55"/>
        <v/>
      </c>
      <c r="P183" s="312" t="str">
        <f t="shared" ca="1" si="53"/>
        <v/>
      </c>
      <c r="Q183" s="93" t="str">
        <f t="shared" ca="1" si="53"/>
        <v/>
      </c>
      <c r="R183" s="93" t="str">
        <f t="shared" ca="1" si="53"/>
        <v/>
      </c>
      <c r="S183" s="201" t="str">
        <f t="shared" ca="1" si="42"/>
        <v/>
      </c>
      <c r="T183" s="201"/>
      <c r="Z183" s="40" t="e">
        <f t="shared" ca="1" si="43"/>
        <v>#N/A</v>
      </c>
      <c r="AA183" s="310">
        <f t="shared" ca="1" si="44"/>
        <v>999</v>
      </c>
      <c r="AB183" s="40" t="e">
        <f ca="1">IF(ISNUMBER($A183),VLOOKUP('Berechnungen 2'!AI186,Matrix_Empfehlung.Stromkosten.ID.BOText,3,1),"")</f>
        <v>#VALUE!</v>
      </c>
      <c r="AC183" s="40">
        <f t="shared" ca="1" si="54"/>
        <v>999</v>
      </c>
      <c r="AD183" s="40">
        <f t="shared" ca="1" si="54"/>
        <v>171</v>
      </c>
      <c r="AE183" s="311">
        <f t="shared" ca="1" si="50"/>
        <v>0</v>
      </c>
    </row>
    <row r="184" spans="1:31" x14ac:dyDescent="0.2">
      <c r="A184" s="201">
        <f t="shared" ca="1" si="41"/>
        <v>172</v>
      </c>
      <c r="B184" s="193">
        <f t="shared" si="45"/>
        <v>172</v>
      </c>
      <c r="C184" s="192">
        <f ca="1">IF(ISERROR(LARGE('Berechnungen 2'!$E$16:$E$315,B184)),"",LARGE('Berechnungen 2'!$E$16:$E$315,B184))</f>
        <v>129</v>
      </c>
      <c r="D184" s="201" t="str">
        <f t="shared" ca="1" si="55"/>
        <v/>
      </c>
      <c r="E184" s="201" t="str">
        <f t="shared" ca="1" si="55"/>
        <v/>
      </c>
      <c r="F184" s="201" t="str">
        <f t="shared" ca="1" si="55"/>
        <v/>
      </c>
      <c r="G184" s="205" t="str">
        <f t="shared" ca="1" si="55"/>
        <v/>
      </c>
      <c r="H184" s="202" t="str">
        <f t="shared" ca="1" si="55"/>
        <v/>
      </c>
      <c r="I184" s="201" t="str">
        <f t="shared" ca="1" si="55"/>
        <v/>
      </c>
      <c r="J184" s="93" t="str">
        <f t="shared" ca="1" si="55"/>
        <v/>
      </c>
      <c r="K184" s="93" t="str">
        <f t="shared" ca="1" si="55"/>
        <v/>
      </c>
      <c r="L184" s="93" t="str">
        <f t="shared" ca="1" si="55"/>
        <v/>
      </c>
      <c r="M184" s="93" t="str">
        <f t="shared" ca="1" si="55"/>
        <v/>
      </c>
      <c r="N184" s="93" t="str">
        <f t="shared" ca="1" si="55"/>
        <v/>
      </c>
      <c r="O184" s="93" t="str">
        <f t="shared" ca="1" si="55"/>
        <v/>
      </c>
      <c r="P184" s="312" t="str">
        <f t="shared" ca="1" si="53"/>
        <v/>
      </c>
      <c r="Q184" s="93" t="str">
        <f t="shared" ca="1" si="53"/>
        <v/>
      </c>
      <c r="R184" s="93" t="str">
        <f t="shared" ca="1" si="53"/>
        <v/>
      </c>
      <c r="S184" s="201" t="str">
        <f t="shared" ca="1" si="42"/>
        <v/>
      </c>
      <c r="T184" s="201"/>
      <c r="Z184" s="40" t="e">
        <f t="shared" ca="1" si="43"/>
        <v>#N/A</v>
      </c>
      <c r="AA184" s="310">
        <f t="shared" ca="1" si="44"/>
        <v>999</v>
      </c>
      <c r="AB184" s="40" t="e">
        <f ca="1">IF(ISNUMBER($A184),VLOOKUP('Berechnungen 2'!AI187,Matrix_Empfehlung.Stromkosten.ID.BOText,3,1),"")</f>
        <v>#VALUE!</v>
      </c>
      <c r="AC184" s="40">
        <f t="shared" ca="1" si="54"/>
        <v>999</v>
      </c>
      <c r="AD184" s="40">
        <f t="shared" ca="1" si="54"/>
        <v>172</v>
      </c>
      <c r="AE184" s="311">
        <f t="shared" ca="1" si="50"/>
        <v>0</v>
      </c>
    </row>
    <row r="185" spans="1:31" x14ac:dyDescent="0.2">
      <c r="A185" s="201">
        <f t="shared" ca="1" si="41"/>
        <v>173</v>
      </c>
      <c r="B185" s="193">
        <f t="shared" si="45"/>
        <v>173</v>
      </c>
      <c r="C185" s="192">
        <f ca="1">IF(ISERROR(LARGE('Berechnungen 2'!$E$16:$E$315,B185)),"",LARGE('Berechnungen 2'!$E$16:$E$315,B185))</f>
        <v>128</v>
      </c>
      <c r="D185" s="201" t="str">
        <f t="shared" ca="1" si="55"/>
        <v/>
      </c>
      <c r="E185" s="201" t="str">
        <f t="shared" ca="1" si="55"/>
        <v/>
      </c>
      <c r="F185" s="201" t="str">
        <f t="shared" ca="1" si="55"/>
        <v/>
      </c>
      <c r="G185" s="205" t="str">
        <f t="shared" ca="1" si="55"/>
        <v/>
      </c>
      <c r="H185" s="202" t="str">
        <f t="shared" ca="1" si="55"/>
        <v/>
      </c>
      <c r="I185" s="201" t="str">
        <f t="shared" ca="1" si="55"/>
        <v/>
      </c>
      <c r="J185" s="93" t="str">
        <f t="shared" ca="1" si="55"/>
        <v/>
      </c>
      <c r="K185" s="93" t="str">
        <f t="shared" ca="1" si="55"/>
        <v/>
      </c>
      <c r="L185" s="93" t="str">
        <f t="shared" ca="1" si="55"/>
        <v/>
      </c>
      <c r="M185" s="93" t="str">
        <f t="shared" ca="1" si="55"/>
        <v/>
      </c>
      <c r="N185" s="93" t="str">
        <f t="shared" ca="1" si="55"/>
        <v/>
      </c>
      <c r="O185" s="93" t="str">
        <f t="shared" ca="1" si="55"/>
        <v/>
      </c>
      <c r="P185" s="312" t="str">
        <f t="shared" ca="1" si="53"/>
        <v/>
      </c>
      <c r="Q185" s="93" t="str">
        <f t="shared" ca="1" si="53"/>
        <v/>
      </c>
      <c r="R185" s="93" t="str">
        <f t="shared" ca="1" si="53"/>
        <v/>
      </c>
      <c r="S185" s="201" t="str">
        <f t="shared" ca="1" si="42"/>
        <v/>
      </c>
      <c r="T185" s="201"/>
      <c r="Z185" s="40" t="e">
        <f t="shared" ca="1" si="43"/>
        <v>#N/A</v>
      </c>
      <c r="AA185" s="310">
        <f t="shared" ca="1" si="44"/>
        <v>999</v>
      </c>
      <c r="AB185" s="40" t="e">
        <f ca="1">IF(ISNUMBER($A185),VLOOKUP('Berechnungen 2'!AI188,Matrix_Empfehlung.Stromkosten.ID.BOText,3,1),"")</f>
        <v>#VALUE!</v>
      </c>
      <c r="AC185" s="40">
        <f t="shared" ca="1" si="54"/>
        <v>999</v>
      </c>
      <c r="AD185" s="40">
        <f t="shared" ca="1" si="54"/>
        <v>173</v>
      </c>
      <c r="AE185" s="311">
        <f t="shared" ca="1" si="50"/>
        <v>0</v>
      </c>
    </row>
    <row r="186" spans="1:31" x14ac:dyDescent="0.2">
      <c r="A186" s="201">
        <f t="shared" ca="1" si="41"/>
        <v>174</v>
      </c>
      <c r="B186" s="193">
        <f t="shared" si="45"/>
        <v>174</v>
      </c>
      <c r="C186" s="192">
        <f ca="1">IF(ISERROR(LARGE('Berechnungen 2'!$E$16:$E$315,B186)),"",LARGE('Berechnungen 2'!$E$16:$E$315,B186))</f>
        <v>127</v>
      </c>
      <c r="D186" s="201" t="str">
        <f t="shared" ca="1" si="55"/>
        <v/>
      </c>
      <c r="E186" s="201" t="str">
        <f t="shared" ca="1" si="55"/>
        <v/>
      </c>
      <c r="F186" s="201" t="str">
        <f t="shared" ca="1" si="55"/>
        <v/>
      </c>
      <c r="G186" s="205" t="str">
        <f t="shared" ca="1" si="55"/>
        <v/>
      </c>
      <c r="H186" s="202" t="str">
        <f t="shared" ca="1" si="55"/>
        <v/>
      </c>
      <c r="I186" s="201" t="str">
        <f t="shared" ca="1" si="55"/>
        <v/>
      </c>
      <c r="J186" s="93" t="str">
        <f t="shared" ca="1" si="55"/>
        <v/>
      </c>
      <c r="K186" s="93" t="str">
        <f t="shared" ca="1" si="55"/>
        <v/>
      </c>
      <c r="L186" s="93" t="str">
        <f t="shared" ca="1" si="55"/>
        <v/>
      </c>
      <c r="M186" s="93" t="str">
        <f t="shared" ca="1" si="55"/>
        <v/>
      </c>
      <c r="N186" s="93" t="str">
        <f t="shared" ca="1" si="55"/>
        <v/>
      </c>
      <c r="O186" s="93" t="str">
        <f t="shared" ca="1" si="55"/>
        <v/>
      </c>
      <c r="P186" s="312" t="str">
        <f t="shared" ca="1" si="53"/>
        <v/>
      </c>
      <c r="Q186" s="93" t="str">
        <f t="shared" ca="1" si="53"/>
        <v/>
      </c>
      <c r="R186" s="93" t="str">
        <f t="shared" ca="1" si="53"/>
        <v/>
      </c>
      <c r="S186" s="201" t="str">
        <f t="shared" ca="1" si="42"/>
        <v/>
      </c>
      <c r="T186" s="201"/>
      <c r="Z186" s="40" t="e">
        <f t="shared" ca="1" si="43"/>
        <v>#N/A</v>
      </c>
      <c r="AA186" s="310">
        <f t="shared" ca="1" si="44"/>
        <v>999</v>
      </c>
      <c r="AB186" s="40" t="e">
        <f ca="1">IF(ISNUMBER($A186),VLOOKUP('Berechnungen 2'!AI189,Matrix_Empfehlung.Stromkosten.ID.BOText,3,1),"")</f>
        <v>#VALUE!</v>
      </c>
      <c r="AC186" s="40">
        <f t="shared" ca="1" si="54"/>
        <v>999</v>
      </c>
      <c r="AD186" s="40">
        <f t="shared" ca="1" si="54"/>
        <v>174</v>
      </c>
      <c r="AE186" s="311">
        <f t="shared" ca="1" si="50"/>
        <v>0</v>
      </c>
    </row>
    <row r="187" spans="1:31" x14ac:dyDescent="0.2">
      <c r="A187" s="201">
        <f t="shared" ca="1" si="41"/>
        <v>175</v>
      </c>
      <c r="B187" s="193">
        <f t="shared" si="45"/>
        <v>175</v>
      </c>
      <c r="C187" s="192">
        <f ca="1">IF(ISERROR(LARGE('Berechnungen 2'!$E$16:$E$315,B187)),"",LARGE('Berechnungen 2'!$E$16:$E$315,B187))</f>
        <v>126</v>
      </c>
      <c r="D187" s="201" t="str">
        <f t="shared" ca="1" si="55"/>
        <v/>
      </c>
      <c r="E187" s="201" t="str">
        <f t="shared" ca="1" si="55"/>
        <v/>
      </c>
      <c r="F187" s="201" t="str">
        <f t="shared" ca="1" si="55"/>
        <v/>
      </c>
      <c r="G187" s="205" t="str">
        <f t="shared" ca="1" si="55"/>
        <v/>
      </c>
      <c r="H187" s="202" t="str">
        <f t="shared" ca="1" si="55"/>
        <v/>
      </c>
      <c r="I187" s="201" t="str">
        <f t="shared" ca="1" si="55"/>
        <v/>
      </c>
      <c r="J187" s="93" t="str">
        <f t="shared" ca="1" si="55"/>
        <v/>
      </c>
      <c r="K187" s="93" t="str">
        <f t="shared" ca="1" si="55"/>
        <v/>
      </c>
      <c r="L187" s="93" t="str">
        <f t="shared" ca="1" si="55"/>
        <v/>
      </c>
      <c r="M187" s="93" t="str">
        <f t="shared" ca="1" si="55"/>
        <v/>
      </c>
      <c r="N187" s="93" t="str">
        <f t="shared" ca="1" si="55"/>
        <v/>
      </c>
      <c r="O187" s="93" t="str">
        <f t="shared" ca="1" si="55"/>
        <v/>
      </c>
      <c r="P187" s="312" t="str">
        <f t="shared" ca="1" si="53"/>
        <v/>
      </c>
      <c r="Q187" s="93" t="str">
        <f t="shared" ca="1" si="53"/>
        <v/>
      </c>
      <c r="R187" s="93" t="str">
        <f t="shared" ca="1" si="53"/>
        <v/>
      </c>
      <c r="S187" s="201" t="str">
        <f t="shared" ca="1" si="42"/>
        <v/>
      </c>
      <c r="T187" s="201"/>
      <c r="Z187" s="40" t="e">
        <f t="shared" ca="1" si="43"/>
        <v>#N/A</v>
      </c>
      <c r="AA187" s="310">
        <f t="shared" ca="1" si="44"/>
        <v>999</v>
      </c>
      <c r="AB187" s="40" t="e">
        <f ca="1">IF(ISNUMBER($A187),VLOOKUP('Berechnungen 2'!AI190,Matrix_Empfehlung.Stromkosten.ID.BOText,3,1),"")</f>
        <v>#VALUE!</v>
      </c>
      <c r="AC187" s="40">
        <f t="shared" ca="1" si="54"/>
        <v>999</v>
      </c>
      <c r="AD187" s="40">
        <f t="shared" ca="1" si="54"/>
        <v>175</v>
      </c>
      <c r="AE187" s="311">
        <f t="shared" ca="1" si="50"/>
        <v>0</v>
      </c>
    </row>
    <row r="188" spans="1:31" x14ac:dyDescent="0.2">
      <c r="A188" s="201">
        <f t="shared" ca="1" si="41"/>
        <v>176</v>
      </c>
      <c r="B188" s="193">
        <f t="shared" si="45"/>
        <v>176</v>
      </c>
      <c r="C188" s="192">
        <f ca="1">IF(ISERROR(LARGE('Berechnungen 2'!$E$16:$E$315,B188)),"",LARGE('Berechnungen 2'!$E$16:$E$315,B188))</f>
        <v>125</v>
      </c>
      <c r="D188" s="201" t="str">
        <f t="shared" ca="1" si="55"/>
        <v/>
      </c>
      <c r="E188" s="201" t="str">
        <f t="shared" ca="1" si="55"/>
        <v/>
      </c>
      <c r="F188" s="201" t="str">
        <f t="shared" ca="1" si="55"/>
        <v/>
      </c>
      <c r="G188" s="205" t="str">
        <f t="shared" ca="1" si="55"/>
        <v/>
      </c>
      <c r="H188" s="202" t="str">
        <f t="shared" ca="1" si="55"/>
        <v/>
      </c>
      <c r="I188" s="201" t="str">
        <f t="shared" ca="1" si="55"/>
        <v/>
      </c>
      <c r="J188" s="93" t="str">
        <f t="shared" ca="1" si="55"/>
        <v/>
      </c>
      <c r="K188" s="93" t="str">
        <f t="shared" ca="1" si="55"/>
        <v/>
      </c>
      <c r="L188" s="93" t="str">
        <f t="shared" ca="1" si="55"/>
        <v/>
      </c>
      <c r="M188" s="93" t="str">
        <f t="shared" ca="1" si="55"/>
        <v/>
      </c>
      <c r="N188" s="93" t="str">
        <f t="shared" ca="1" si="55"/>
        <v/>
      </c>
      <c r="O188" s="93" t="str">
        <f t="shared" ca="1" si="55"/>
        <v/>
      </c>
      <c r="P188" s="312" t="str">
        <f t="shared" ca="1" si="53"/>
        <v/>
      </c>
      <c r="Q188" s="93" t="str">
        <f t="shared" ca="1" si="53"/>
        <v/>
      </c>
      <c r="R188" s="93" t="str">
        <f t="shared" ca="1" si="53"/>
        <v/>
      </c>
      <c r="S188" s="201" t="str">
        <f t="shared" ca="1" si="42"/>
        <v/>
      </c>
      <c r="T188" s="201"/>
      <c r="Z188" s="40" t="e">
        <f t="shared" ca="1" si="43"/>
        <v>#N/A</v>
      </c>
      <c r="AA188" s="310">
        <f t="shared" ca="1" si="44"/>
        <v>999</v>
      </c>
      <c r="AB188" s="40" t="e">
        <f ca="1">IF(ISNUMBER($A188),VLOOKUP('Berechnungen 2'!AI191,Matrix_Empfehlung.Stromkosten.ID.BOText,3,1),"")</f>
        <v>#VALUE!</v>
      </c>
      <c r="AC188" s="40">
        <f t="shared" ca="1" si="54"/>
        <v>999</v>
      </c>
      <c r="AD188" s="40">
        <f t="shared" ca="1" si="54"/>
        <v>176</v>
      </c>
      <c r="AE188" s="311">
        <f t="shared" ca="1" si="50"/>
        <v>0</v>
      </c>
    </row>
    <row r="189" spans="1:31" x14ac:dyDescent="0.2">
      <c r="A189" s="201">
        <f t="shared" ca="1" si="41"/>
        <v>177</v>
      </c>
      <c r="B189" s="193">
        <f t="shared" si="45"/>
        <v>177</v>
      </c>
      <c r="C189" s="192">
        <f ca="1">IF(ISERROR(LARGE('Berechnungen 2'!$E$16:$E$315,B189)),"",LARGE('Berechnungen 2'!$E$16:$E$315,B189))</f>
        <v>124</v>
      </c>
      <c r="D189" s="201" t="str">
        <f t="shared" ca="1" si="55"/>
        <v/>
      </c>
      <c r="E189" s="201" t="str">
        <f t="shared" ca="1" si="55"/>
        <v/>
      </c>
      <c r="F189" s="201" t="str">
        <f t="shared" ca="1" si="55"/>
        <v/>
      </c>
      <c r="G189" s="205" t="str">
        <f t="shared" ca="1" si="55"/>
        <v/>
      </c>
      <c r="H189" s="202" t="str">
        <f t="shared" ca="1" si="55"/>
        <v/>
      </c>
      <c r="I189" s="201" t="str">
        <f t="shared" ca="1" si="55"/>
        <v/>
      </c>
      <c r="J189" s="93" t="str">
        <f t="shared" ca="1" si="55"/>
        <v/>
      </c>
      <c r="K189" s="93" t="str">
        <f t="shared" ca="1" si="55"/>
        <v/>
      </c>
      <c r="L189" s="93" t="str">
        <f t="shared" ca="1" si="55"/>
        <v/>
      </c>
      <c r="M189" s="93" t="str">
        <f t="shared" ca="1" si="55"/>
        <v/>
      </c>
      <c r="N189" s="93" t="str">
        <f t="shared" ca="1" si="55"/>
        <v/>
      </c>
      <c r="O189" s="93" t="str">
        <f t="shared" ca="1" si="55"/>
        <v/>
      </c>
      <c r="P189" s="312" t="str">
        <f t="shared" ca="1" si="53"/>
        <v/>
      </c>
      <c r="Q189" s="93" t="str">
        <f t="shared" ca="1" si="53"/>
        <v/>
      </c>
      <c r="R189" s="93" t="str">
        <f t="shared" ca="1" si="53"/>
        <v/>
      </c>
      <c r="S189" s="201" t="str">
        <f t="shared" ca="1" si="42"/>
        <v/>
      </c>
      <c r="T189" s="201"/>
      <c r="Z189" s="40" t="e">
        <f t="shared" ca="1" si="43"/>
        <v>#N/A</v>
      </c>
      <c r="AA189" s="310">
        <f t="shared" ca="1" si="44"/>
        <v>999</v>
      </c>
      <c r="AB189" s="40" t="e">
        <f ca="1">IF(ISNUMBER($A189),VLOOKUP('Berechnungen 2'!AI192,Matrix_Empfehlung.Stromkosten.ID.BOText,3,1),"")</f>
        <v>#VALUE!</v>
      </c>
      <c r="AC189" s="40">
        <f t="shared" ca="1" si="54"/>
        <v>999</v>
      </c>
      <c r="AD189" s="40">
        <f t="shared" ca="1" si="54"/>
        <v>177</v>
      </c>
      <c r="AE189" s="311">
        <f t="shared" ca="1" si="50"/>
        <v>0</v>
      </c>
    </row>
    <row r="190" spans="1:31" x14ac:dyDescent="0.2">
      <c r="A190" s="201">
        <f t="shared" ca="1" si="41"/>
        <v>178</v>
      </c>
      <c r="B190" s="193">
        <f t="shared" si="45"/>
        <v>178</v>
      </c>
      <c r="C190" s="192">
        <f ca="1">IF(ISERROR(LARGE('Berechnungen 2'!$E$16:$E$315,B190)),"",LARGE('Berechnungen 2'!$E$16:$E$315,B190))</f>
        <v>123</v>
      </c>
      <c r="D190" s="201" t="str">
        <f t="shared" ca="1" si="55"/>
        <v/>
      </c>
      <c r="E190" s="201" t="str">
        <f t="shared" ca="1" si="55"/>
        <v/>
      </c>
      <c r="F190" s="201" t="str">
        <f t="shared" ca="1" si="55"/>
        <v/>
      </c>
      <c r="G190" s="205" t="str">
        <f t="shared" ca="1" si="55"/>
        <v/>
      </c>
      <c r="H190" s="202" t="str">
        <f t="shared" ca="1" si="55"/>
        <v/>
      </c>
      <c r="I190" s="201" t="str">
        <f t="shared" ca="1" si="55"/>
        <v/>
      </c>
      <c r="J190" s="93" t="str">
        <f t="shared" ca="1" si="55"/>
        <v/>
      </c>
      <c r="K190" s="93" t="str">
        <f t="shared" ca="1" si="55"/>
        <v/>
      </c>
      <c r="L190" s="93" t="str">
        <f t="shared" ca="1" si="55"/>
        <v/>
      </c>
      <c r="M190" s="93" t="str">
        <f t="shared" ca="1" si="55"/>
        <v/>
      </c>
      <c r="N190" s="93" t="str">
        <f t="shared" ca="1" si="55"/>
        <v/>
      </c>
      <c r="O190" s="93" t="str">
        <f t="shared" ca="1" si="55"/>
        <v/>
      </c>
      <c r="P190" s="312" t="str">
        <f t="shared" ca="1" si="53"/>
        <v/>
      </c>
      <c r="Q190" s="93" t="str">
        <f t="shared" ca="1" si="53"/>
        <v/>
      </c>
      <c r="R190" s="93" t="str">
        <f t="shared" ca="1" si="53"/>
        <v/>
      </c>
      <c r="S190" s="201" t="str">
        <f t="shared" ca="1" si="42"/>
        <v/>
      </c>
      <c r="T190" s="201"/>
      <c r="Z190" s="40" t="e">
        <f t="shared" ca="1" si="43"/>
        <v>#N/A</v>
      </c>
      <c r="AA190" s="310">
        <f t="shared" ca="1" si="44"/>
        <v>999</v>
      </c>
      <c r="AB190" s="40" t="e">
        <f ca="1">IF(ISNUMBER($A190),VLOOKUP('Berechnungen 2'!AI193,Matrix_Empfehlung.Stromkosten.ID.BOText,3,1),"")</f>
        <v>#VALUE!</v>
      </c>
      <c r="AC190" s="40">
        <f t="shared" ca="1" si="54"/>
        <v>999</v>
      </c>
      <c r="AD190" s="40">
        <f t="shared" ca="1" si="54"/>
        <v>178</v>
      </c>
      <c r="AE190" s="311">
        <f t="shared" ca="1" si="50"/>
        <v>0</v>
      </c>
    </row>
    <row r="191" spans="1:31" x14ac:dyDescent="0.2">
      <c r="A191" s="201">
        <f t="shared" ca="1" si="41"/>
        <v>179</v>
      </c>
      <c r="B191" s="193">
        <f t="shared" si="45"/>
        <v>179</v>
      </c>
      <c r="C191" s="192">
        <f ca="1">IF(ISERROR(LARGE('Berechnungen 2'!$E$16:$E$315,B191)),"",LARGE('Berechnungen 2'!$E$16:$E$315,B191))</f>
        <v>122</v>
      </c>
      <c r="D191" s="201" t="str">
        <f t="shared" ca="1" si="55"/>
        <v/>
      </c>
      <c r="E191" s="201" t="str">
        <f t="shared" ca="1" si="55"/>
        <v/>
      </c>
      <c r="F191" s="201" t="str">
        <f t="shared" ca="1" si="55"/>
        <v/>
      </c>
      <c r="G191" s="205" t="str">
        <f t="shared" ca="1" si="55"/>
        <v/>
      </c>
      <c r="H191" s="202" t="str">
        <f t="shared" ca="1" si="55"/>
        <v/>
      </c>
      <c r="I191" s="201" t="str">
        <f t="shared" ca="1" si="55"/>
        <v/>
      </c>
      <c r="J191" s="93" t="str">
        <f t="shared" ca="1" si="55"/>
        <v/>
      </c>
      <c r="K191" s="93" t="str">
        <f t="shared" ca="1" si="55"/>
        <v/>
      </c>
      <c r="L191" s="93" t="str">
        <f t="shared" ca="1" si="55"/>
        <v/>
      </c>
      <c r="M191" s="93" t="str">
        <f t="shared" ca="1" si="55"/>
        <v/>
      </c>
      <c r="N191" s="93" t="str">
        <f t="shared" ca="1" si="55"/>
        <v/>
      </c>
      <c r="O191" s="93" t="str">
        <f t="shared" ca="1" si="55"/>
        <v/>
      </c>
      <c r="P191" s="312" t="str">
        <f t="shared" ca="1" si="53"/>
        <v/>
      </c>
      <c r="Q191" s="93" t="str">
        <f t="shared" ca="1" si="53"/>
        <v/>
      </c>
      <c r="R191" s="93" t="str">
        <f t="shared" ca="1" si="53"/>
        <v/>
      </c>
      <c r="S191" s="201" t="str">
        <f t="shared" ca="1" si="42"/>
        <v/>
      </c>
      <c r="T191" s="201"/>
      <c r="Z191" s="40" t="e">
        <f t="shared" ca="1" si="43"/>
        <v>#N/A</v>
      </c>
      <c r="AA191" s="310">
        <f t="shared" ca="1" si="44"/>
        <v>999</v>
      </c>
      <c r="AB191" s="40" t="e">
        <f ca="1">IF(ISNUMBER($A191),VLOOKUP('Berechnungen 2'!AI194,Matrix_Empfehlung.Stromkosten.ID.BOText,3,1),"")</f>
        <v>#VALUE!</v>
      </c>
      <c r="AC191" s="40">
        <f t="shared" ca="1" si="54"/>
        <v>999</v>
      </c>
      <c r="AD191" s="40">
        <f t="shared" ca="1" si="54"/>
        <v>179</v>
      </c>
      <c r="AE191" s="311">
        <f t="shared" ca="1" si="50"/>
        <v>0</v>
      </c>
    </row>
    <row r="192" spans="1:31" x14ac:dyDescent="0.2">
      <c r="A192" s="201">
        <f t="shared" ca="1" si="41"/>
        <v>180</v>
      </c>
      <c r="B192" s="193">
        <f t="shared" si="45"/>
        <v>180</v>
      </c>
      <c r="C192" s="192">
        <f ca="1">IF(ISERROR(LARGE('Berechnungen 2'!$E$16:$E$315,B192)),"",LARGE('Berechnungen 2'!$E$16:$E$315,B192))</f>
        <v>121</v>
      </c>
      <c r="D192" s="201" t="str">
        <f t="shared" ca="1" si="55"/>
        <v/>
      </c>
      <c r="E192" s="201" t="str">
        <f t="shared" ca="1" si="55"/>
        <v/>
      </c>
      <c r="F192" s="201" t="str">
        <f t="shared" ca="1" si="55"/>
        <v/>
      </c>
      <c r="G192" s="205" t="str">
        <f t="shared" ca="1" si="55"/>
        <v/>
      </c>
      <c r="H192" s="202" t="str">
        <f t="shared" ca="1" si="55"/>
        <v/>
      </c>
      <c r="I192" s="201" t="str">
        <f t="shared" ca="1" si="55"/>
        <v/>
      </c>
      <c r="J192" s="93" t="str">
        <f t="shared" ca="1" si="55"/>
        <v/>
      </c>
      <c r="K192" s="93" t="str">
        <f t="shared" ca="1" si="55"/>
        <v/>
      </c>
      <c r="L192" s="93" t="str">
        <f t="shared" ca="1" si="55"/>
        <v/>
      </c>
      <c r="M192" s="93" t="str">
        <f t="shared" ca="1" si="55"/>
        <v/>
      </c>
      <c r="N192" s="93" t="str">
        <f t="shared" ca="1" si="55"/>
        <v/>
      </c>
      <c r="O192" s="93" t="str">
        <f t="shared" ca="1" si="55"/>
        <v/>
      </c>
      <c r="P192" s="312" t="str">
        <f t="shared" ca="1" si="53"/>
        <v/>
      </c>
      <c r="Q192" s="93" t="str">
        <f t="shared" ca="1" si="53"/>
        <v/>
      </c>
      <c r="R192" s="93" t="str">
        <f t="shared" ca="1" si="53"/>
        <v/>
      </c>
      <c r="S192" s="201" t="str">
        <f t="shared" ca="1" si="42"/>
        <v/>
      </c>
      <c r="T192" s="201"/>
      <c r="Z192" s="40" t="e">
        <f t="shared" ca="1" si="43"/>
        <v>#N/A</v>
      </c>
      <c r="AA192" s="310">
        <f t="shared" ca="1" si="44"/>
        <v>999</v>
      </c>
      <c r="AB192" s="40" t="e">
        <f ca="1">IF(ISNUMBER($A192),VLOOKUP('Berechnungen 2'!AI195,Matrix_Empfehlung.Stromkosten.ID.BOText,3,1),"")</f>
        <v>#VALUE!</v>
      </c>
      <c r="AC192" s="40">
        <f t="shared" ca="1" si="54"/>
        <v>999</v>
      </c>
      <c r="AD192" s="40">
        <f t="shared" ca="1" si="54"/>
        <v>180</v>
      </c>
      <c r="AE192" s="311">
        <f t="shared" ca="1" si="50"/>
        <v>0</v>
      </c>
    </row>
    <row r="193" spans="1:31" x14ac:dyDescent="0.2">
      <c r="A193" s="201">
        <f t="shared" ca="1" si="41"/>
        <v>181</v>
      </c>
      <c r="B193" s="193">
        <f t="shared" si="45"/>
        <v>181</v>
      </c>
      <c r="C193" s="192">
        <f ca="1">IF(ISERROR(LARGE('Berechnungen 2'!$E$16:$E$315,B193)),"",LARGE('Berechnungen 2'!$E$16:$E$315,B193))</f>
        <v>120</v>
      </c>
      <c r="D193" s="201" t="str">
        <f t="shared" ref="D193:O202" ca="1" si="56">IF($AC193&gt;0,VLOOKUP($C193,Matrix_Berechnungen2.Rang.Pumpendaten.Endresultate,D$9,0),"")</f>
        <v/>
      </c>
      <c r="E193" s="201" t="str">
        <f t="shared" ca="1" si="56"/>
        <v/>
      </c>
      <c r="F193" s="201" t="str">
        <f t="shared" ca="1" si="56"/>
        <v/>
      </c>
      <c r="G193" s="205" t="str">
        <f t="shared" ca="1" si="56"/>
        <v/>
      </c>
      <c r="H193" s="202" t="str">
        <f t="shared" ca="1" si="56"/>
        <v/>
      </c>
      <c r="I193" s="201" t="str">
        <f t="shared" ca="1" si="56"/>
        <v/>
      </c>
      <c r="J193" s="93" t="str">
        <f t="shared" ca="1" si="56"/>
        <v/>
      </c>
      <c r="K193" s="93" t="str">
        <f t="shared" ca="1" si="56"/>
        <v/>
      </c>
      <c r="L193" s="93" t="str">
        <f t="shared" ca="1" si="56"/>
        <v/>
      </c>
      <c r="M193" s="93" t="str">
        <f t="shared" ca="1" si="56"/>
        <v/>
      </c>
      <c r="N193" s="93" t="str">
        <f t="shared" ca="1" si="56"/>
        <v/>
      </c>
      <c r="O193" s="93" t="str">
        <f t="shared" ca="1" si="56"/>
        <v/>
      </c>
      <c r="P193" s="312" t="str">
        <f t="shared" ref="P193:R212" ca="1" si="57">IF(AND($AC193&gt;0,$AC193&lt;&gt;999),VLOOKUP($C193,Matrix_Berechnungen2.Rang.Pumpendaten.Endresultate,P$9,0),"")</f>
        <v/>
      </c>
      <c r="Q193" s="93" t="str">
        <f t="shared" ca="1" si="57"/>
        <v/>
      </c>
      <c r="R193" s="93" t="str">
        <f t="shared" ca="1" si="57"/>
        <v/>
      </c>
      <c r="S193" s="201" t="str">
        <f t="shared" ca="1" si="42"/>
        <v/>
      </c>
      <c r="T193" s="201"/>
      <c r="Z193" s="40" t="e">
        <f t="shared" ca="1" si="43"/>
        <v>#N/A</v>
      </c>
      <c r="AA193" s="310">
        <f t="shared" ca="1" si="44"/>
        <v>999</v>
      </c>
      <c r="AB193" s="40" t="e">
        <f ca="1">IF(ISNUMBER($A193),VLOOKUP('Berechnungen 2'!AI196,Matrix_Empfehlung.Stromkosten.ID.BOText,3,1),"")</f>
        <v>#VALUE!</v>
      </c>
      <c r="AC193" s="40">
        <f t="shared" ref="AC193:AD212" ca="1" si="58">IF(VLOOKUP($C193,Matrix_Berechnungen2.Rang.Pumpendaten.Endresultate,$C$9,0)&gt;0,VLOOKUP($C193,Matrix_Berechnungen2.Rang.Pumpendaten.Endresultate,AC$9,0),"")</f>
        <v>999</v>
      </c>
      <c r="AD193" s="40">
        <f t="shared" ca="1" si="58"/>
        <v>181</v>
      </c>
      <c r="AE193" s="311">
        <f t="shared" ca="1" si="50"/>
        <v>0</v>
      </c>
    </row>
    <row r="194" spans="1:31" x14ac:dyDescent="0.2">
      <c r="A194" s="201">
        <f t="shared" ca="1" si="41"/>
        <v>182</v>
      </c>
      <c r="B194" s="193">
        <f t="shared" si="45"/>
        <v>182</v>
      </c>
      <c r="C194" s="192">
        <f ca="1">IF(ISERROR(LARGE('Berechnungen 2'!$E$16:$E$315,B194)),"",LARGE('Berechnungen 2'!$E$16:$E$315,B194))</f>
        <v>119</v>
      </c>
      <c r="D194" s="201" t="str">
        <f t="shared" ca="1" si="56"/>
        <v/>
      </c>
      <c r="E194" s="201" t="str">
        <f t="shared" ca="1" si="56"/>
        <v/>
      </c>
      <c r="F194" s="201" t="str">
        <f t="shared" ca="1" si="56"/>
        <v/>
      </c>
      <c r="G194" s="205" t="str">
        <f t="shared" ca="1" si="56"/>
        <v/>
      </c>
      <c r="H194" s="202" t="str">
        <f t="shared" ca="1" si="56"/>
        <v/>
      </c>
      <c r="I194" s="201" t="str">
        <f t="shared" ca="1" si="56"/>
        <v/>
      </c>
      <c r="J194" s="93" t="str">
        <f t="shared" ca="1" si="56"/>
        <v/>
      </c>
      <c r="K194" s="93" t="str">
        <f t="shared" ca="1" si="56"/>
        <v/>
      </c>
      <c r="L194" s="93" t="str">
        <f t="shared" ca="1" si="56"/>
        <v/>
      </c>
      <c r="M194" s="93" t="str">
        <f t="shared" ca="1" si="56"/>
        <v/>
      </c>
      <c r="N194" s="93" t="str">
        <f t="shared" ca="1" si="56"/>
        <v/>
      </c>
      <c r="O194" s="93" t="str">
        <f t="shared" ca="1" si="56"/>
        <v/>
      </c>
      <c r="P194" s="312" t="str">
        <f t="shared" ca="1" si="57"/>
        <v/>
      </c>
      <c r="Q194" s="93" t="str">
        <f t="shared" ca="1" si="57"/>
        <v/>
      </c>
      <c r="R194" s="93" t="str">
        <f t="shared" ca="1" si="57"/>
        <v/>
      </c>
      <c r="S194" s="201" t="str">
        <f t="shared" ca="1" si="42"/>
        <v/>
      </c>
      <c r="T194" s="201"/>
      <c r="Z194" s="40" t="e">
        <f t="shared" ca="1" si="43"/>
        <v>#N/A</v>
      </c>
      <c r="AA194" s="310">
        <f t="shared" ca="1" si="44"/>
        <v>999</v>
      </c>
      <c r="AB194" s="40" t="e">
        <f ca="1">IF(ISNUMBER($A194),VLOOKUP('Berechnungen 2'!AI197,Matrix_Empfehlung.Stromkosten.ID.BOText,3,1),"")</f>
        <v>#VALUE!</v>
      </c>
      <c r="AC194" s="40">
        <f t="shared" ca="1" si="58"/>
        <v>999</v>
      </c>
      <c r="AD194" s="40">
        <f t="shared" ca="1" si="58"/>
        <v>182</v>
      </c>
      <c r="AE194" s="311">
        <f t="shared" ca="1" si="50"/>
        <v>0</v>
      </c>
    </row>
    <row r="195" spans="1:31" x14ac:dyDescent="0.2">
      <c r="A195" s="201">
        <f t="shared" ca="1" si="41"/>
        <v>183</v>
      </c>
      <c r="B195" s="193">
        <f t="shared" si="45"/>
        <v>183</v>
      </c>
      <c r="C195" s="192">
        <f ca="1">IF(ISERROR(LARGE('Berechnungen 2'!$E$16:$E$315,B195)),"",LARGE('Berechnungen 2'!$E$16:$E$315,B195))</f>
        <v>118</v>
      </c>
      <c r="D195" s="201" t="str">
        <f t="shared" ca="1" si="56"/>
        <v/>
      </c>
      <c r="E195" s="201" t="str">
        <f t="shared" ca="1" si="56"/>
        <v/>
      </c>
      <c r="F195" s="201" t="str">
        <f t="shared" ca="1" si="56"/>
        <v/>
      </c>
      <c r="G195" s="205" t="str">
        <f t="shared" ca="1" si="56"/>
        <v/>
      </c>
      <c r="H195" s="202" t="str">
        <f t="shared" ca="1" si="56"/>
        <v/>
      </c>
      <c r="I195" s="201" t="str">
        <f t="shared" ca="1" si="56"/>
        <v/>
      </c>
      <c r="J195" s="93" t="str">
        <f t="shared" ca="1" si="56"/>
        <v/>
      </c>
      <c r="K195" s="93" t="str">
        <f t="shared" ca="1" si="56"/>
        <v/>
      </c>
      <c r="L195" s="93" t="str">
        <f t="shared" ca="1" si="56"/>
        <v/>
      </c>
      <c r="M195" s="93" t="str">
        <f t="shared" ca="1" si="56"/>
        <v/>
      </c>
      <c r="N195" s="93" t="str">
        <f t="shared" ca="1" si="56"/>
        <v/>
      </c>
      <c r="O195" s="93" t="str">
        <f t="shared" ca="1" si="56"/>
        <v/>
      </c>
      <c r="P195" s="312" t="str">
        <f t="shared" ca="1" si="57"/>
        <v/>
      </c>
      <c r="Q195" s="93" t="str">
        <f t="shared" ca="1" si="57"/>
        <v/>
      </c>
      <c r="R195" s="93" t="str">
        <f t="shared" ca="1" si="57"/>
        <v/>
      </c>
      <c r="S195" s="201" t="str">
        <f t="shared" ca="1" si="42"/>
        <v/>
      </c>
      <c r="T195" s="201"/>
      <c r="Z195" s="40" t="e">
        <f t="shared" ca="1" si="43"/>
        <v>#N/A</v>
      </c>
      <c r="AA195" s="310">
        <f t="shared" ca="1" si="44"/>
        <v>999</v>
      </c>
      <c r="AB195" s="40" t="e">
        <f ca="1">IF(ISNUMBER($A195),VLOOKUP('Berechnungen 2'!AI198,Matrix_Empfehlung.Stromkosten.ID.BOText,3,1),"")</f>
        <v>#VALUE!</v>
      </c>
      <c r="AC195" s="40">
        <f t="shared" ca="1" si="58"/>
        <v>999</v>
      </c>
      <c r="AD195" s="40">
        <f t="shared" ca="1" si="58"/>
        <v>183</v>
      </c>
      <c r="AE195" s="311">
        <f t="shared" ca="1" si="50"/>
        <v>0</v>
      </c>
    </row>
    <row r="196" spans="1:31" x14ac:dyDescent="0.2">
      <c r="A196" s="201">
        <f t="shared" ca="1" si="41"/>
        <v>184</v>
      </c>
      <c r="B196" s="193">
        <f t="shared" si="45"/>
        <v>184</v>
      </c>
      <c r="C196" s="192">
        <f ca="1">IF(ISERROR(LARGE('Berechnungen 2'!$E$16:$E$315,B196)),"",LARGE('Berechnungen 2'!$E$16:$E$315,B196))</f>
        <v>117</v>
      </c>
      <c r="D196" s="201" t="str">
        <f t="shared" ca="1" si="56"/>
        <v/>
      </c>
      <c r="E196" s="201" t="str">
        <f t="shared" ca="1" si="56"/>
        <v/>
      </c>
      <c r="F196" s="201" t="str">
        <f t="shared" ca="1" si="56"/>
        <v/>
      </c>
      <c r="G196" s="205" t="str">
        <f t="shared" ca="1" si="56"/>
        <v/>
      </c>
      <c r="H196" s="202" t="str">
        <f t="shared" ca="1" si="56"/>
        <v/>
      </c>
      <c r="I196" s="201" t="str">
        <f t="shared" ca="1" si="56"/>
        <v/>
      </c>
      <c r="J196" s="93" t="str">
        <f t="shared" ca="1" si="56"/>
        <v/>
      </c>
      <c r="K196" s="93" t="str">
        <f t="shared" ca="1" si="56"/>
        <v/>
      </c>
      <c r="L196" s="93" t="str">
        <f t="shared" ca="1" si="56"/>
        <v/>
      </c>
      <c r="M196" s="93" t="str">
        <f t="shared" ca="1" si="56"/>
        <v/>
      </c>
      <c r="N196" s="93" t="str">
        <f t="shared" ca="1" si="56"/>
        <v/>
      </c>
      <c r="O196" s="93" t="str">
        <f t="shared" ca="1" si="56"/>
        <v/>
      </c>
      <c r="P196" s="312" t="str">
        <f t="shared" ca="1" si="57"/>
        <v/>
      </c>
      <c r="Q196" s="93" t="str">
        <f t="shared" ca="1" si="57"/>
        <v/>
      </c>
      <c r="R196" s="93" t="str">
        <f t="shared" ca="1" si="57"/>
        <v/>
      </c>
      <c r="S196" s="201" t="str">
        <f t="shared" ca="1" si="42"/>
        <v/>
      </c>
      <c r="T196" s="201"/>
      <c r="Z196" s="40" t="e">
        <f t="shared" ca="1" si="43"/>
        <v>#N/A</v>
      </c>
      <c r="AA196" s="310">
        <f t="shared" ca="1" si="44"/>
        <v>999</v>
      </c>
      <c r="AB196" s="40" t="e">
        <f ca="1">IF(ISNUMBER($A196),VLOOKUP('Berechnungen 2'!AI199,Matrix_Empfehlung.Stromkosten.ID.BOText,3,1),"")</f>
        <v>#VALUE!</v>
      </c>
      <c r="AC196" s="40">
        <f t="shared" ca="1" si="58"/>
        <v>999</v>
      </c>
      <c r="AD196" s="40">
        <f t="shared" ca="1" si="58"/>
        <v>184</v>
      </c>
      <c r="AE196" s="311">
        <f t="shared" ca="1" si="50"/>
        <v>0</v>
      </c>
    </row>
    <row r="197" spans="1:31" x14ac:dyDescent="0.2">
      <c r="A197" s="201">
        <f t="shared" ca="1" si="41"/>
        <v>185</v>
      </c>
      <c r="B197" s="193">
        <f t="shared" si="45"/>
        <v>185</v>
      </c>
      <c r="C197" s="192">
        <f ca="1">IF(ISERROR(LARGE('Berechnungen 2'!$E$16:$E$315,B197)),"",LARGE('Berechnungen 2'!$E$16:$E$315,B197))</f>
        <v>116</v>
      </c>
      <c r="D197" s="201" t="str">
        <f t="shared" ca="1" si="56"/>
        <v/>
      </c>
      <c r="E197" s="201" t="str">
        <f t="shared" ca="1" si="56"/>
        <v/>
      </c>
      <c r="F197" s="201" t="str">
        <f t="shared" ca="1" si="56"/>
        <v/>
      </c>
      <c r="G197" s="205" t="str">
        <f t="shared" ca="1" si="56"/>
        <v/>
      </c>
      <c r="H197" s="202" t="str">
        <f t="shared" ca="1" si="56"/>
        <v/>
      </c>
      <c r="I197" s="201" t="str">
        <f t="shared" ca="1" si="56"/>
        <v/>
      </c>
      <c r="J197" s="93" t="str">
        <f t="shared" ca="1" si="56"/>
        <v/>
      </c>
      <c r="K197" s="93" t="str">
        <f t="shared" ca="1" si="56"/>
        <v/>
      </c>
      <c r="L197" s="93" t="str">
        <f t="shared" ca="1" si="56"/>
        <v/>
      </c>
      <c r="M197" s="93" t="str">
        <f t="shared" ca="1" si="56"/>
        <v/>
      </c>
      <c r="N197" s="93" t="str">
        <f t="shared" ca="1" si="56"/>
        <v/>
      </c>
      <c r="O197" s="93" t="str">
        <f t="shared" ca="1" si="56"/>
        <v/>
      </c>
      <c r="P197" s="312" t="str">
        <f t="shared" ca="1" si="57"/>
        <v/>
      </c>
      <c r="Q197" s="93" t="str">
        <f t="shared" ca="1" si="57"/>
        <v/>
      </c>
      <c r="R197" s="93" t="str">
        <f t="shared" ca="1" si="57"/>
        <v/>
      </c>
      <c r="S197" s="201" t="str">
        <f t="shared" ca="1" si="42"/>
        <v/>
      </c>
      <c r="T197" s="201"/>
      <c r="Z197" s="40" t="e">
        <f t="shared" ca="1" si="43"/>
        <v>#N/A</v>
      </c>
      <c r="AA197" s="310">
        <f t="shared" ca="1" si="44"/>
        <v>999</v>
      </c>
      <c r="AB197" s="40" t="e">
        <f ca="1">IF(ISNUMBER($A197),VLOOKUP('Berechnungen 2'!AI200,Matrix_Empfehlung.Stromkosten.ID.BOText,3,1),"")</f>
        <v>#VALUE!</v>
      </c>
      <c r="AC197" s="40">
        <f t="shared" ca="1" si="58"/>
        <v>999</v>
      </c>
      <c r="AD197" s="40">
        <f t="shared" ca="1" si="58"/>
        <v>185</v>
      </c>
      <c r="AE197" s="311">
        <f t="shared" ca="1" si="50"/>
        <v>0</v>
      </c>
    </row>
    <row r="198" spans="1:31" x14ac:dyDescent="0.2">
      <c r="A198" s="201">
        <f t="shared" ca="1" si="41"/>
        <v>186</v>
      </c>
      <c r="B198" s="193">
        <f t="shared" si="45"/>
        <v>186</v>
      </c>
      <c r="C198" s="192">
        <f ca="1">IF(ISERROR(LARGE('Berechnungen 2'!$E$16:$E$315,B198)),"",LARGE('Berechnungen 2'!$E$16:$E$315,B198))</f>
        <v>115</v>
      </c>
      <c r="D198" s="201" t="str">
        <f t="shared" ca="1" si="56"/>
        <v/>
      </c>
      <c r="E198" s="201" t="str">
        <f t="shared" ca="1" si="56"/>
        <v/>
      </c>
      <c r="F198" s="201" t="str">
        <f t="shared" ca="1" si="56"/>
        <v/>
      </c>
      <c r="G198" s="205" t="str">
        <f t="shared" ca="1" si="56"/>
        <v/>
      </c>
      <c r="H198" s="202" t="str">
        <f t="shared" ca="1" si="56"/>
        <v/>
      </c>
      <c r="I198" s="201" t="str">
        <f t="shared" ca="1" si="56"/>
        <v/>
      </c>
      <c r="J198" s="93" t="str">
        <f t="shared" ca="1" si="56"/>
        <v/>
      </c>
      <c r="K198" s="93" t="str">
        <f t="shared" ca="1" si="56"/>
        <v/>
      </c>
      <c r="L198" s="93" t="str">
        <f t="shared" ca="1" si="56"/>
        <v/>
      </c>
      <c r="M198" s="93" t="str">
        <f t="shared" ca="1" si="56"/>
        <v/>
      </c>
      <c r="N198" s="93" t="str">
        <f t="shared" ca="1" si="56"/>
        <v/>
      </c>
      <c r="O198" s="93" t="str">
        <f t="shared" ca="1" si="56"/>
        <v/>
      </c>
      <c r="P198" s="312" t="str">
        <f t="shared" ca="1" si="57"/>
        <v/>
      </c>
      <c r="Q198" s="93" t="str">
        <f t="shared" ca="1" si="57"/>
        <v/>
      </c>
      <c r="R198" s="93" t="str">
        <f t="shared" ca="1" si="57"/>
        <v/>
      </c>
      <c r="S198" s="201" t="str">
        <f t="shared" ca="1" si="42"/>
        <v/>
      </c>
      <c r="T198" s="201"/>
      <c r="Z198" s="40" t="e">
        <f t="shared" ca="1" si="43"/>
        <v>#N/A</v>
      </c>
      <c r="AA198" s="310">
        <f t="shared" ca="1" si="44"/>
        <v>999</v>
      </c>
      <c r="AB198" s="40" t="e">
        <f ca="1">IF(ISNUMBER($A198),VLOOKUP('Berechnungen 2'!AI201,Matrix_Empfehlung.Stromkosten.ID.BOText,3,1),"")</f>
        <v>#VALUE!</v>
      </c>
      <c r="AC198" s="40">
        <f t="shared" ca="1" si="58"/>
        <v>999</v>
      </c>
      <c r="AD198" s="40">
        <f t="shared" ca="1" si="58"/>
        <v>186</v>
      </c>
      <c r="AE198" s="311">
        <f t="shared" ca="1" si="50"/>
        <v>0</v>
      </c>
    </row>
    <row r="199" spans="1:31" x14ac:dyDescent="0.2">
      <c r="A199" s="201">
        <f t="shared" ca="1" si="41"/>
        <v>187</v>
      </c>
      <c r="B199" s="193">
        <f t="shared" si="45"/>
        <v>187</v>
      </c>
      <c r="C199" s="192">
        <f ca="1">IF(ISERROR(LARGE('Berechnungen 2'!$E$16:$E$315,B199)),"",LARGE('Berechnungen 2'!$E$16:$E$315,B199))</f>
        <v>114</v>
      </c>
      <c r="D199" s="201" t="str">
        <f t="shared" ca="1" si="56"/>
        <v/>
      </c>
      <c r="E199" s="201" t="str">
        <f t="shared" ca="1" si="56"/>
        <v/>
      </c>
      <c r="F199" s="201" t="str">
        <f t="shared" ca="1" si="56"/>
        <v/>
      </c>
      <c r="G199" s="205" t="str">
        <f t="shared" ca="1" si="56"/>
        <v/>
      </c>
      <c r="H199" s="202" t="str">
        <f t="shared" ca="1" si="56"/>
        <v/>
      </c>
      <c r="I199" s="201" t="str">
        <f t="shared" ca="1" si="56"/>
        <v/>
      </c>
      <c r="J199" s="93" t="str">
        <f t="shared" ca="1" si="56"/>
        <v/>
      </c>
      <c r="K199" s="93" t="str">
        <f t="shared" ca="1" si="56"/>
        <v/>
      </c>
      <c r="L199" s="93" t="str">
        <f t="shared" ca="1" si="56"/>
        <v/>
      </c>
      <c r="M199" s="93" t="str">
        <f t="shared" ca="1" si="56"/>
        <v/>
      </c>
      <c r="N199" s="93" t="str">
        <f t="shared" ca="1" si="56"/>
        <v/>
      </c>
      <c r="O199" s="93" t="str">
        <f t="shared" ca="1" si="56"/>
        <v/>
      </c>
      <c r="P199" s="312" t="str">
        <f t="shared" ca="1" si="57"/>
        <v/>
      </c>
      <c r="Q199" s="93" t="str">
        <f t="shared" ca="1" si="57"/>
        <v/>
      </c>
      <c r="R199" s="93" t="str">
        <f t="shared" ca="1" si="57"/>
        <v/>
      </c>
      <c r="S199" s="201" t="str">
        <f t="shared" ca="1" si="42"/>
        <v/>
      </c>
      <c r="T199" s="201"/>
      <c r="Z199" s="40" t="e">
        <f t="shared" ca="1" si="43"/>
        <v>#N/A</v>
      </c>
      <c r="AA199" s="310">
        <f t="shared" ca="1" si="44"/>
        <v>999</v>
      </c>
      <c r="AB199" s="40" t="e">
        <f ca="1">IF(ISNUMBER($A199),VLOOKUP('Berechnungen 2'!AI202,Matrix_Empfehlung.Stromkosten.ID.BOText,3,1),"")</f>
        <v>#VALUE!</v>
      </c>
      <c r="AC199" s="40">
        <f t="shared" ca="1" si="58"/>
        <v>999</v>
      </c>
      <c r="AD199" s="40">
        <f t="shared" ca="1" si="58"/>
        <v>187</v>
      </c>
      <c r="AE199" s="311">
        <f t="shared" ca="1" si="50"/>
        <v>0</v>
      </c>
    </row>
    <row r="200" spans="1:31" x14ac:dyDescent="0.2">
      <c r="A200" s="201">
        <f t="shared" ca="1" si="41"/>
        <v>188</v>
      </c>
      <c r="B200" s="193">
        <f t="shared" si="45"/>
        <v>188</v>
      </c>
      <c r="C200" s="192">
        <f ca="1">IF(ISERROR(LARGE('Berechnungen 2'!$E$16:$E$315,B200)),"",LARGE('Berechnungen 2'!$E$16:$E$315,B200))</f>
        <v>113</v>
      </c>
      <c r="D200" s="201" t="str">
        <f t="shared" ca="1" si="56"/>
        <v/>
      </c>
      <c r="E200" s="201" t="str">
        <f t="shared" ca="1" si="56"/>
        <v/>
      </c>
      <c r="F200" s="201" t="str">
        <f t="shared" ca="1" si="56"/>
        <v/>
      </c>
      <c r="G200" s="205" t="str">
        <f t="shared" ca="1" si="56"/>
        <v/>
      </c>
      <c r="H200" s="202" t="str">
        <f t="shared" ca="1" si="56"/>
        <v/>
      </c>
      <c r="I200" s="201" t="str">
        <f t="shared" ca="1" si="56"/>
        <v/>
      </c>
      <c r="J200" s="93" t="str">
        <f t="shared" ca="1" si="56"/>
        <v/>
      </c>
      <c r="K200" s="93" t="str">
        <f t="shared" ca="1" si="56"/>
        <v/>
      </c>
      <c r="L200" s="93" t="str">
        <f t="shared" ca="1" si="56"/>
        <v/>
      </c>
      <c r="M200" s="93" t="str">
        <f t="shared" ca="1" si="56"/>
        <v/>
      </c>
      <c r="N200" s="93" t="str">
        <f t="shared" ca="1" si="56"/>
        <v/>
      </c>
      <c r="O200" s="93" t="str">
        <f t="shared" ca="1" si="56"/>
        <v/>
      </c>
      <c r="P200" s="312" t="str">
        <f t="shared" ca="1" si="57"/>
        <v/>
      </c>
      <c r="Q200" s="93" t="str">
        <f t="shared" ca="1" si="57"/>
        <v/>
      </c>
      <c r="R200" s="93" t="str">
        <f t="shared" ca="1" si="57"/>
        <v/>
      </c>
      <c r="S200" s="201" t="str">
        <f t="shared" ca="1" si="42"/>
        <v/>
      </c>
      <c r="T200" s="201"/>
      <c r="Z200" s="40" t="e">
        <f t="shared" ca="1" si="43"/>
        <v>#N/A</v>
      </c>
      <c r="AA200" s="310">
        <f t="shared" ca="1" si="44"/>
        <v>999</v>
      </c>
      <c r="AB200" s="40" t="e">
        <f ca="1">IF(ISNUMBER($A200),VLOOKUP('Berechnungen 2'!AI203,Matrix_Empfehlung.Stromkosten.ID.BOText,3,1),"")</f>
        <v>#VALUE!</v>
      </c>
      <c r="AC200" s="40">
        <f t="shared" ca="1" si="58"/>
        <v>999</v>
      </c>
      <c r="AD200" s="40">
        <f t="shared" ca="1" si="58"/>
        <v>188</v>
      </c>
      <c r="AE200" s="311">
        <f t="shared" ca="1" si="50"/>
        <v>0</v>
      </c>
    </row>
    <row r="201" spans="1:31" x14ac:dyDescent="0.2">
      <c r="A201" s="201">
        <f t="shared" ca="1" si="41"/>
        <v>189</v>
      </c>
      <c r="B201" s="193">
        <f t="shared" si="45"/>
        <v>189</v>
      </c>
      <c r="C201" s="192">
        <f ca="1">IF(ISERROR(LARGE('Berechnungen 2'!$E$16:$E$315,B201)),"",LARGE('Berechnungen 2'!$E$16:$E$315,B201))</f>
        <v>112</v>
      </c>
      <c r="D201" s="201" t="str">
        <f t="shared" ca="1" si="56"/>
        <v/>
      </c>
      <c r="E201" s="201" t="str">
        <f t="shared" ca="1" si="56"/>
        <v/>
      </c>
      <c r="F201" s="201" t="str">
        <f t="shared" ca="1" si="56"/>
        <v/>
      </c>
      <c r="G201" s="205" t="str">
        <f t="shared" ca="1" si="56"/>
        <v/>
      </c>
      <c r="H201" s="202" t="str">
        <f t="shared" ca="1" si="56"/>
        <v/>
      </c>
      <c r="I201" s="201" t="str">
        <f t="shared" ca="1" si="56"/>
        <v/>
      </c>
      <c r="J201" s="93" t="str">
        <f t="shared" ca="1" si="56"/>
        <v/>
      </c>
      <c r="K201" s="93" t="str">
        <f t="shared" ca="1" si="56"/>
        <v/>
      </c>
      <c r="L201" s="93" t="str">
        <f t="shared" ca="1" si="56"/>
        <v/>
      </c>
      <c r="M201" s="93" t="str">
        <f t="shared" ca="1" si="56"/>
        <v/>
      </c>
      <c r="N201" s="93" t="str">
        <f t="shared" ca="1" si="56"/>
        <v/>
      </c>
      <c r="O201" s="93" t="str">
        <f t="shared" ca="1" si="56"/>
        <v/>
      </c>
      <c r="P201" s="312" t="str">
        <f t="shared" ca="1" si="57"/>
        <v/>
      </c>
      <c r="Q201" s="93" t="str">
        <f t="shared" ca="1" si="57"/>
        <v/>
      </c>
      <c r="R201" s="93" t="str">
        <f t="shared" ca="1" si="57"/>
        <v/>
      </c>
      <c r="S201" s="201" t="str">
        <f t="shared" ca="1" si="42"/>
        <v/>
      </c>
      <c r="T201" s="201"/>
      <c r="Z201" s="40" t="e">
        <f t="shared" ca="1" si="43"/>
        <v>#N/A</v>
      </c>
      <c r="AA201" s="310">
        <f t="shared" ca="1" si="44"/>
        <v>999</v>
      </c>
      <c r="AB201" s="40" t="e">
        <f ca="1">IF(ISNUMBER($A201),VLOOKUP('Berechnungen 2'!AI204,Matrix_Empfehlung.Stromkosten.ID.BOText,3,1),"")</f>
        <v>#VALUE!</v>
      </c>
      <c r="AC201" s="40">
        <f t="shared" ca="1" si="58"/>
        <v>999</v>
      </c>
      <c r="AD201" s="40">
        <f t="shared" ca="1" si="58"/>
        <v>189</v>
      </c>
      <c r="AE201" s="311">
        <f t="shared" ca="1" si="50"/>
        <v>0</v>
      </c>
    </row>
    <row r="202" spans="1:31" x14ac:dyDescent="0.2">
      <c r="A202" s="201">
        <f t="shared" ca="1" si="41"/>
        <v>190</v>
      </c>
      <c r="B202" s="193">
        <f t="shared" si="45"/>
        <v>190</v>
      </c>
      <c r="C202" s="192">
        <f ca="1">IF(ISERROR(LARGE('Berechnungen 2'!$E$16:$E$315,B202)),"",LARGE('Berechnungen 2'!$E$16:$E$315,B202))</f>
        <v>111</v>
      </c>
      <c r="D202" s="201" t="str">
        <f t="shared" ca="1" si="56"/>
        <v/>
      </c>
      <c r="E202" s="201" t="str">
        <f t="shared" ca="1" si="56"/>
        <v/>
      </c>
      <c r="F202" s="201" t="str">
        <f t="shared" ca="1" si="56"/>
        <v/>
      </c>
      <c r="G202" s="205" t="str">
        <f t="shared" ca="1" si="56"/>
        <v/>
      </c>
      <c r="H202" s="202" t="str">
        <f t="shared" ca="1" si="56"/>
        <v/>
      </c>
      <c r="I202" s="201" t="str">
        <f t="shared" ca="1" si="56"/>
        <v/>
      </c>
      <c r="J202" s="93" t="str">
        <f t="shared" ca="1" si="56"/>
        <v/>
      </c>
      <c r="K202" s="93" t="str">
        <f t="shared" ca="1" si="56"/>
        <v/>
      </c>
      <c r="L202" s="93" t="str">
        <f t="shared" ca="1" si="56"/>
        <v/>
      </c>
      <c r="M202" s="93" t="str">
        <f t="shared" ca="1" si="56"/>
        <v/>
      </c>
      <c r="N202" s="93" t="str">
        <f t="shared" ca="1" si="56"/>
        <v/>
      </c>
      <c r="O202" s="93" t="str">
        <f t="shared" ca="1" si="56"/>
        <v/>
      </c>
      <c r="P202" s="312" t="str">
        <f t="shared" ca="1" si="57"/>
        <v/>
      </c>
      <c r="Q202" s="93" t="str">
        <f t="shared" ca="1" si="57"/>
        <v/>
      </c>
      <c r="R202" s="93" t="str">
        <f t="shared" ca="1" si="57"/>
        <v/>
      </c>
      <c r="S202" s="201" t="str">
        <f t="shared" ca="1" si="42"/>
        <v/>
      </c>
      <c r="T202" s="201"/>
      <c r="Z202" s="40" t="e">
        <f t="shared" ca="1" si="43"/>
        <v>#N/A</v>
      </c>
      <c r="AA202" s="310">
        <f t="shared" ca="1" si="44"/>
        <v>999</v>
      </c>
      <c r="AB202" s="40" t="e">
        <f ca="1">IF(ISNUMBER($A202),VLOOKUP('Berechnungen 2'!AI205,Matrix_Empfehlung.Stromkosten.ID.BOText,3,1),"")</f>
        <v>#VALUE!</v>
      </c>
      <c r="AC202" s="40">
        <f t="shared" ca="1" si="58"/>
        <v>999</v>
      </c>
      <c r="AD202" s="40">
        <f t="shared" ca="1" si="58"/>
        <v>190</v>
      </c>
      <c r="AE202" s="311">
        <f t="shared" ca="1" si="50"/>
        <v>0</v>
      </c>
    </row>
    <row r="203" spans="1:31" x14ac:dyDescent="0.2">
      <c r="A203" s="201">
        <f t="shared" ca="1" si="41"/>
        <v>191</v>
      </c>
      <c r="B203" s="193">
        <f t="shared" si="45"/>
        <v>191</v>
      </c>
      <c r="C203" s="192">
        <f ca="1">IF(ISERROR(LARGE('Berechnungen 2'!$E$16:$E$315,B203)),"",LARGE('Berechnungen 2'!$E$16:$E$315,B203))</f>
        <v>110</v>
      </c>
      <c r="D203" s="201" t="str">
        <f t="shared" ref="D203:O212" ca="1" si="59">IF($AC203&gt;0,VLOOKUP($C203,Matrix_Berechnungen2.Rang.Pumpendaten.Endresultate,D$9,0),"")</f>
        <v/>
      </c>
      <c r="E203" s="201" t="str">
        <f t="shared" ca="1" si="59"/>
        <v/>
      </c>
      <c r="F203" s="201" t="str">
        <f t="shared" ca="1" si="59"/>
        <v/>
      </c>
      <c r="G203" s="205" t="str">
        <f t="shared" ca="1" si="59"/>
        <v/>
      </c>
      <c r="H203" s="202" t="str">
        <f t="shared" ca="1" si="59"/>
        <v/>
      </c>
      <c r="I203" s="201" t="str">
        <f t="shared" ca="1" si="59"/>
        <v/>
      </c>
      <c r="J203" s="93" t="str">
        <f t="shared" ca="1" si="59"/>
        <v/>
      </c>
      <c r="K203" s="93" t="str">
        <f t="shared" ca="1" si="59"/>
        <v/>
      </c>
      <c r="L203" s="93" t="str">
        <f t="shared" ca="1" si="59"/>
        <v/>
      </c>
      <c r="M203" s="93" t="str">
        <f t="shared" ca="1" si="59"/>
        <v/>
      </c>
      <c r="N203" s="93" t="str">
        <f t="shared" ca="1" si="59"/>
        <v/>
      </c>
      <c r="O203" s="93" t="str">
        <f t="shared" ca="1" si="59"/>
        <v/>
      </c>
      <c r="P203" s="312" t="str">
        <f t="shared" ca="1" si="57"/>
        <v/>
      </c>
      <c r="Q203" s="93" t="str">
        <f t="shared" ca="1" si="57"/>
        <v/>
      </c>
      <c r="R203" s="93" t="str">
        <f t="shared" ca="1" si="57"/>
        <v/>
      </c>
      <c r="S203" s="201" t="str">
        <f t="shared" ca="1" si="42"/>
        <v/>
      </c>
      <c r="T203" s="201"/>
      <c r="Z203" s="40" t="e">
        <f t="shared" ca="1" si="43"/>
        <v>#N/A</v>
      </c>
      <c r="AA203" s="310">
        <f t="shared" ca="1" si="44"/>
        <v>999</v>
      </c>
      <c r="AB203" s="40" t="e">
        <f ca="1">IF(ISNUMBER($A203),VLOOKUP('Berechnungen 2'!AI206,Matrix_Empfehlung.Stromkosten.ID.BOText,3,1),"")</f>
        <v>#VALUE!</v>
      </c>
      <c r="AC203" s="40">
        <f t="shared" ca="1" si="58"/>
        <v>999</v>
      </c>
      <c r="AD203" s="40">
        <f t="shared" ca="1" si="58"/>
        <v>191</v>
      </c>
      <c r="AE203" s="311">
        <f t="shared" ca="1" si="50"/>
        <v>0</v>
      </c>
    </row>
    <row r="204" spans="1:31" x14ac:dyDescent="0.2">
      <c r="A204" s="201">
        <f t="shared" ca="1" si="41"/>
        <v>192</v>
      </c>
      <c r="B204" s="193">
        <f t="shared" si="45"/>
        <v>192</v>
      </c>
      <c r="C204" s="192">
        <f ca="1">IF(ISERROR(LARGE('Berechnungen 2'!$E$16:$E$315,B204)),"",LARGE('Berechnungen 2'!$E$16:$E$315,B204))</f>
        <v>109</v>
      </c>
      <c r="D204" s="201" t="str">
        <f t="shared" ca="1" si="59"/>
        <v/>
      </c>
      <c r="E204" s="201" t="str">
        <f t="shared" ca="1" si="59"/>
        <v/>
      </c>
      <c r="F204" s="201" t="str">
        <f t="shared" ca="1" si="59"/>
        <v/>
      </c>
      <c r="G204" s="205" t="str">
        <f t="shared" ca="1" si="59"/>
        <v/>
      </c>
      <c r="H204" s="202" t="str">
        <f t="shared" ca="1" si="59"/>
        <v/>
      </c>
      <c r="I204" s="201" t="str">
        <f t="shared" ca="1" si="59"/>
        <v/>
      </c>
      <c r="J204" s="93" t="str">
        <f t="shared" ca="1" si="59"/>
        <v/>
      </c>
      <c r="K204" s="93" t="str">
        <f t="shared" ca="1" si="59"/>
        <v/>
      </c>
      <c r="L204" s="93" t="str">
        <f t="shared" ca="1" si="59"/>
        <v/>
      </c>
      <c r="M204" s="93" t="str">
        <f t="shared" ca="1" si="59"/>
        <v/>
      </c>
      <c r="N204" s="93" t="str">
        <f t="shared" ca="1" si="59"/>
        <v/>
      </c>
      <c r="O204" s="93" t="str">
        <f t="shared" ca="1" si="59"/>
        <v/>
      </c>
      <c r="P204" s="312" t="str">
        <f t="shared" ca="1" si="57"/>
        <v/>
      </c>
      <c r="Q204" s="93" t="str">
        <f t="shared" ca="1" si="57"/>
        <v/>
      </c>
      <c r="R204" s="93" t="str">
        <f t="shared" ca="1" si="57"/>
        <v/>
      </c>
      <c r="S204" s="201" t="str">
        <f t="shared" ca="1" si="42"/>
        <v/>
      </c>
      <c r="T204" s="201"/>
      <c r="Z204" s="40" t="e">
        <f t="shared" ca="1" si="43"/>
        <v>#N/A</v>
      </c>
      <c r="AA204" s="310">
        <f t="shared" ca="1" si="44"/>
        <v>999</v>
      </c>
      <c r="AB204" s="40" t="e">
        <f ca="1">IF(ISNUMBER($A204),VLOOKUP('Berechnungen 2'!AI207,Matrix_Empfehlung.Stromkosten.ID.BOText,3,1),"")</f>
        <v>#VALUE!</v>
      </c>
      <c r="AC204" s="40">
        <f t="shared" ca="1" si="58"/>
        <v>999</v>
      </c>
      <c r="AD204" s="40">
        <f t="shared" ca="1" si="58"/>
        <v>192</v>
      </c>
      <c r="AE204" s="311">
        <f t="shared" ca="1" si="50"/>
        <v>0</v>
      </c>
    </row>
    <row r="205" spans="1:31" x14ac:dyDescent="0.2">
      <c r="A205" s="201">
        <f t="shared" ref="A205:A268" ca="1" si="60">VLOOKUP($C205,Matrix_Berechnungen2.Rang.Pumpendaten.Endresultate,A$9,0)</f>
        <v>193</v>
      </c>
      <c r="B205" s="193">
        <f t="shared" si="45"/>
        <v>193</v>
      </c>
      <c r="C205" s="192">
        <f ca="1">IF(ISERROR(LARGE('Berechnungen 2'!$E$16:$E$315,B205)),"",LARGE('Berechnungen 2'!$E$16:$E$315,B205))</f>
        <v>108</v>
      </c>
      <c r="D205" s="201" t="str">
        <f t="shared" ca="1" si="59"/>
        <v/>
      </c>
      <c r="E205" s="201" t="str">
        <f t="shared" ca="1" si="59"/>
        <v/>
      </c>
      <c r="F205" s="201" t="str">
        <f t="shared" ca="1" si="59"/>
        <v/>
      </c>
      <c r="G205" s="205" t="str">
        <f t="shared" ca="1" si="59"/>
        <v/>
      </c>
      <c r="H205" s="202" t="str">
        <f t="shared" ca="1" si="59"/>
        <v/>
      </c>
      <c r="I205" s="201" t="str">
        <f t="shared" ca="1" si="59"/>
        <v/>
      </c>
      <c r="J205" s="93" t="str">
        <f t="shared" ca="1" si="59"/>
        <v/>
      </c>
      <c r="K205" s="93" t="str">
        <f t="shared" ca="1" si="59"/>
        <v/>
      </c>
      <c r="L205" s="93" t="str">
        <f t="shared" ca="1" si="59"/>
        <v/>
      </c>
      <c r="M205" s="93" t="str">
        <f t="shared" ca="1" si="59"/>
        <v/>
      </c>
      <c r="N205" s="93" t="str">
        <f t="shared" ca="1" si="59"/>
        <v/>
      </c>
      <c r="O205" s="93" t="str">
        <f t="shared" ca="1" si="59"/>
        <v/>
      </c>
      <c r="P205" s="312" t="str">
        <f t="shared" ca="1" si="57"/>
        <v/>
      </c>
      <c r="Q205" s="93" t="str">
        <f t="shared" ca="1" si="57"/>
        <v/>
      </c>
      <c r="R205" s="93" t="str">
        <f t="shared" ca="1" si="57"/>
        <v/>
      </c>
      <c r="S205" s="201" t="str">
        <f t="shared" ref="S205:S268" ca="1" si="61">IF(AND($AC205&gt;0,$AC205&lt;&gt;999,$AC205&lt;&gt;9999,$AA205&gt;0),VLOOKUP(R205,Matrix_Empfehlung.Potential.ID.DetailanalyseText,3,1),"")</f>
        <v/>
      </c>
      <c r="T205" s="201"/>
      <c r="Z205" s="40" t="e">
        <f t="shared" ref="Z205:Z268" ca="1" si="62">IF(ISNUMBER($A205),VLOOKUP(R205,Matrix_Empfehlung.Potential.ID.DetailanalyseText,4,1),0)</f>
        <v>#N/A</v>
      </c>
      <c r="AA205" s="310">
        <f t="shared" ref="AA205:AA268" ca="1" si="63">VLOOKUP($C205,Matrix_Berechnungen2.Rang.Pumpendaten.Endresultate,AA$9,0)</f>
        <v>999</v>
      </c>
      <c r="AB205" s="40" t="e">
        <f ca="1">IF(ISNUMBER($A205),VLOOKUP('Berechnungen 2'!AI208,Matrix_Empfehlung.Stromkosten.ID.BOText,3,1),"")</f>
        <v>#VALUE!</v>
      </c>
      <c r="AC205" s="40">
        <f t="shared" ca="1" si="58"/>
        <v>999</v>
      </c>
      <c r="AD205" s="40">
        <f t="shared" ca="1" si="58"/>
        <v>193</v>
      </c>
      <c r="AE205" s="311">
        <f t="shared" ca="1" si="50"/>
        <v>0</v>
      </c>
    </row>
    <row r="206" spans="1:31" x14ac:dyDescent="0.2">
      <c r="A206" s="201">
        <f t="shared" ca="1" si="60"/>
        <v>194</v>
      </c>
      <c r="B206" s="193">
        <f t="shared" si="45"/>
        <v>194</v>
      </c>
      <c r="C206" s="192">
        <f ca="1">IF(ISERROR(LARGE('Berechnungen 2'!$E$16:$E$315,B206)),"",LARGE('Berechnungen 2'!$E$16:$E$315,B206))</f>
        <v>107</v>
      </c>
      <c r="D206" s="201" t="str">
        <f t="shared" ca="1" si="59"/>
        <v/>
      </c>
      <c r="E206" s="201" t="str">
        <f t="shared" ca="1" si="59"/>
        <v/>
      </c>
      <c r="F206" s="201" t="str">
        <f t="shared" ca="1" si="59"/>
        <v/>
      </c>
      <c r="G206" s="205" t="str">
        <f t="shared" ca="1" si="59"/>
        <v/>
      </c>
      <c r="H206" s="202" t="str">
        <f t="shared" ca="1" si="59"/>
        <v/>
      </c>
      <c r="I206" s="201" t="str">
        <f t="shared" ca="1" si="59"/>
        <v/>
      </c>
      <c r="J206" s="93" t="str">
        <f t="shared" ca="1" si="59"/>
        <v/>
      </c>
      <c r="K206" s="93" t="str">
        <f t="shared" ca="1" si="59"/>
        <v/>
      </c>
      <c r="L206" s="93" t="str">
        <f t="shared" ca="1" si="59"/>
        <v/>
      </c>
      <c r="M206" s="93" t="str">
        <f t="shared" ca="1" si="59"/>
        <v/>
      </c>
      <c r="N206" s="93" t="str">
        <f t="shared" ca="1" si="59"/>
        <v/>
      </c>
      <c r="O206" s="93" t="str">
        <f t="shared" ca="1" si="59"/>
        <v/>
      </c>
      <c r="P206" s="312" t="str">
        <f t="shared" ca="1" si="57"/>
        <v/>
      </c>
      <c r="Q206" s="93" t="str">
        <f t="shared" ca="1" si="57"/>
        <v/>
      </c>
      <c r="R206" s="93" t="str">
        <f t="shared" ca="1" si="57"/>
        <v/>
      </c>
      <c r="S206" s="201" t="str">
        <f t="shared" ca="1" si="61"/>
        <v/>
      </c>
      <c r="T206" s="201"/>
      <c r="Z206" s="40" t="e">
        <f t="shared" ca="1" si="62"/>
        <v>#N/A</v>
      </c>
      <c r="AA206" s="310">
        <f t="shared" ca="1" si="63"/>
        <v>999</v>
      </c>
      <c r="AB206" s="40" t="e">
        <f ca="1">IF(ISNUMBER($A206),VLOOKUP('Berechnungen 2'!AI209,Matrix_Empfehlung.Stromkosten.ID.BOText,3,1),"")</f>
        <v>#VALUE!</v>
      </c>
      <c r="AC206" s="40">
        <f t="shared" ca="1" si="58"/>
        <v>999</v>
      </c>
      <c r="AD206" s="40">
        <f t="shared" ca="1" si="58"/>
        <v>194</v>
      </c>
      <c r="AE206" s="311">
        <f t="shared" ca="1" si="50"/>
        <v>0</v>
      </c>
    </row>
    <row r="207" spans="1:31" x14ac:dyDescent="0.2">
      <c r="A207" s="201">
        <f t="shared" ca="1" si="60"/>
        <v>195</v>
      </c>
      <c r="B207" s="193">
        <f t="shared" ref="B207:B270" si="64">B206+1</f>
        <v>195</v>
      </c>
      <c r="C207" s="192">
        <f ca="1">IF(ISERROR(LARGE('Berechnungen 2'!$E$16:$E$315,B207)),"",LARGE('Berechnungen 2'!$E$16:$E$315,B207))</f>
        <v>106</v>
      </c>
      <c r="D207" s="201" t="str">
        <f t="shared" ca="1" si="59"/>
        <v/>
      </c>
      <c r="E207" s="201" t="str">
        <f t="shared" ca="1" si="59"/>
        <v/>
      </c>
      <c r="F207" s="201" t="str">
        <f t="shared" ca="1" si="59"/>
        <v/>
      </c>
      <c r="G207" s="205" t="str">
        <f t="shared" ca="1" si="59"/>
        <v/>
      </c>
      <c r="H207" s="202" t="str">
        <f t="shared" ca="1" si="59"/>
        <v/>
      </c>
      <c r="I207" s="201" t="str">
        <f t="shared" ca="1" si="59"/>
        <v/>
      </c>
      <c r="J207" s="93" t="str">
        <f t="shared" ca="1" si="59"/>
        <v/>
      </c>
      <c r="K207" s="93" t="str">
        <f t="shared" ca="1" si="59"/>
        <v/>
      </c>
      <c r="L207" s="93" t="str">
        <f t="shared" ca="1" si="59"/>
        <v/>
      </c>
      <c r="M207" s="93" t="str">
        <f t="shared" ca="1" si="59"/>
        <v/>
      </c>
      <c r="N207" s="93" t="str">
        <f t="shared" ca="1" si="59"/>
        <v/>
      </c>
      <c r="O207" s="93" t="str">
        <f t="shared" ca="1" si="59"/>
        <v/>
      </c>
      <c r="P207" s="312" t="str">
        <f t="shared" ca="1" si="57"/>
        <v/>
      </c>
      <c r="Q207" s="93" t="str">
        <f t="shared" ca="1" si="57"/>
        <v/>
      </c>
      <c r="R207" s="93" t="str">
        <f t="shared" ca="1" si="57"/>
        <v/>
      </c>
      <c r="S207" s="201" t="str">
        <f t="shared" ca="1" si="61"/>
        <v/>
      </c>
      <c r="T207" s="201"/>
      <c r="Z207" s="40" t="e">
        <f t="shared" ca="1" si="62"/>
        <v>#N/A</v>
      </c>
      <c r="AA207" s="310">
        <f t="shared" ca="1" si="63"/>
        <v>999</v>
      </c>
      <c r="AB207" s="40" t="e">
        <f ca="1">IF(ISNUMBER($A207),VLOOKUP('Berechnungen 2'!AI210,Matrix_Empfehlung.Stromkosten.ID.BOText,3,1),"")</f>
        <v>#VALUE!</v>
      </c>
      <c r="AC207" s="40">
        <f t="shared" ca="1" si="58"/>
        <v>999</v>
      </c>
      <c r="AD207" s="40">
        <f t="shared" ca="1" si="58"/>
        <v>195</v>
      </c>
      <c r="AE207" s="311">
        <f t="shared" ca="1" si="50"/>
        <v>0</v>
      </c>
    </row>
    <row r="208" spans="1:31" x14ac:dyDescent="0.2">
      <c r="A208" s="201">
        <f t="shared" ca="1" si="60"/>
        <v>196</v>
      </c>
      <c r="B208" s="193">
        <f t="shared" si="64"/>
        <v>196</v>
      </c>
      <c r="C208" s="192">
        <f ca="1">IF(ISERROR(LARGE('Berechnungen 2'!$E$16:$E$315,B208)),"",LARGE('Berechnungen 2'!$E$16:$E$315,B208))</f>
        <v>105</v>
      </c>
      <c r="D208" s="201" t="str">
        <f t="shared" ca="1" si="59"/>
        <v/>
      </c>
      <c r="E208" s="201" t="str">
        <f t="shared" ca="1" si="59"/>
        <v/>
      </c>
      <c r="F208" s="201" t="str">
        <f t="shared" ca="1" si="59"/>
        <v/>
      </c>
      <c r="G208" s="205" t="str">
        <f t="shared" ca="1" si="59"/>
        <v/>
      </c>
      <c r="H208" s="202" t="str">
        <f t="shared" ca="1" si="59"/>
        <v/>
      </c>
      <c r="I208" s="201" t="str">
        <f t="shared" ca="1" si="59"/>
        <v/>
      </c>
      <c r="J208" s="93" t="str">
        <f t="shared" ca="1" si="59"/>
        <v/>
      </c>
      <c r="K208" s="93" t="str">
        <f t="shared" ca="1" si="59"/>
        <v/>
      </c>
      <c r="L208" s="93" t="str">
        <f t="shared" ca="1" si="59"/>
        <v/>
      </c>
      <c r="M208" s="93" t="str">
        <f t="shared" ca="1" si="59"/>
        <v/>
      </c>
      <c r="N208" s="93" t="str">
        <f t="shared" ca="1" si="59"/>
        <v/>
      </c>
      <c r="O208" s="93" t="str">
        <f t="shared" ca="1" si="59"/>
        <v/>
      </c>
      <c r="P208" s="312" t="str">
        <f t="shared" ca="1" si="57"/>
        <v/>
      </c>
      <c r="Q208" s="93" t="str">
        <f t="shared" ca="1" si="57"/>
        <v/>
      </c>
      <c r="R208" s="93" t="str">
        <f t="shared" ca="1" si="57"/>
        <v/>
      </c>
      <c r="S208" s="201" t="str">
        <f t="shared" ca="1" si="61"/>
        <v/>
      </c>
      <c r="T208" s="201"/>
      <c r="Z208" s="40" t="e">
        <f t="shared" ca="1" si="62"/>
        <v>#N/A</v>
      </c>
      <c r="AA208" s="310">
        <f t="shared" ca="1" si="63"/>
        <v>999</v>
      </c>
      <c r="AB208" s="40" t="e">
        <f ca="1">IF(ISNUMBER($A208),VLOOKUP('Berechnungen 2'!AI211,Matrix_Empfehlung.Stromkosten.ID.BOText,3,1),"")</f>
        <v>#VALUE!</v>
      </c>
      <c r="AC208" s="40">
        <f t="shared" ca="1" si="58"/>
        <v>999</v>
      </c>
      <c r="AD208" s="40">
        <f t="shared" ca="1" si="58"/>
        <v>196</v>
      </c>
      <c r="AE208" s="311">
        <f t="shared" ca="1" si="50"/>
        <v>0</v>
      </c>
    </row>
    <row r="209" spans="1:31" x14ac:dyDescent="0.2">
      <c r="A209" s="201">
        <f t="shared" ca="1" si="60"/>
        <v>197</v>
      </c>
      <c r="B209" s="193">
        <f t="shared" si="64"/>
        <v>197</v>
      </c>
      <c r="C209" s="192">
        <f ca="1">IF(ISERROR(LARGE('Berechnungen 2'!$E$16:$E$315,B209)),"",LARGE('Berechnungen 2'!$E$16:$E$315,B209))</f>
        <v>104</v>
      </c>
      <c r="D209" s="201" t="str">
        <f t="shared" ca="1" si="59"/>
        <v/>
      </c>
      <c r="E209" s="201" t="str">
        <f t="shared" ca="1" si="59"/>
        <v/>
      </c>
      <c r="F209" s="201" t="str">
        <f t="shared" ca="1" si="59"/>
        <v/>
      </c>
      <c r="G209" s="205" t="str">
        <f t="shared" ca="1" si="59"/>
        <v/>
      </c>
      <c r="H209" s="202" t="str">
        <f t="shared" ca="1" si="59"/>
        <v/>
      </c>
      <c r="I209" s="201" t="str">
        <f t="shared" ca="1" si="59"/>
        <v/>
      </c>
      <c r="J209" s="93" t="str">
        <f t="shared" ca="1" si="59"/>
        <v/>
      </c>
      <c r="K209" s="93" t="str">
        <f t="shared" ca="1" si="59"/>
        <v/>
      </c>
      <c r="L209" s="93" t="str">
        <f t="shared" ca="1" si="59"/>
        <v/>
      </c>
      <c r="M209" s="93" t="str">
        <f t="shared" ca="1" si="59"/>
        <v/>
      </c>
      <c r="N209" s="93" t="str">
        <f t="shared" ca="1" si="59"/>
        <v/>
      </c>
      <c r="O209" s="93" t="str">
        <f t="shared" ca="1" si="59"/>
        <v/>
      </c>
      <c r="P209" s="312" t="str">
        <f t="shared" ca="1" si="57"/>
        <v/>
      </c>
      <c r="Q209" s="93" t="str">
        <f t="shared" ca="1" si="57"/>
        <v/>
      </c>
      <c r="R209" s="93" t="str">
        <f t="shared" ca="1" si="57"/>
        <v/>
      </c>
      <c r="S209" s="201" t="str">
        <f t="shared" ca="1" si="61"/>
        <v/>
      </c>
      <c r="T209" s="201"/>
      <c r="Z209" s="40" t="e">
        <f t="shared" ca="1" si="62"/>
        <v>#N/A</v>
      </c>
      <c r="AA209" s="310">
        <f t="shared" ca="1" si="63"/>
        <v>999</v>
      </c>
      <c r="AB209" s="40" t="e">
        <f ca="1">IF(ISNUMBER($A209),VLOOKUP('Berechnungen 2'!AI212,Matrix_Empfehlung.Stromkosten.ID.BOText,3,1),"")</f>
        <v>#VALUE!</v>
      </c>
      <c r="AC209" s="40">
        <f t="shared" ca="1" si="58"/>
        <v>999</v>
      </c>
      <c r="AD209" s="40">
        <f t="shared" ca="1" si="58"/>
        <v>197</v>
      </c>
      <c r="AE209" s="311">
        <f t="shared" ca="1" si="50"/>
        <v>0</v>
      </c>
    </row>
    <row r="210" spans="1:31" x14ac:dyDescent="0.2">
      <c r="A210" s="201">
        <f t="shared" ca="1" si="60"/>
        <v>198</v>
      </c>
      <c r="B210" s="193">
        <f t="shared" si="64"/>
        <v>198</v>
      </c>
      <c r="C210" s="192">
        <f ca="1">IF(ISERROR(LARGE('Berechnungen 2'!$E$16:$E$315,B210)),"",LARGE('Berechnungen 2'!$E$16:$E$315,B210))</f>
        <v>103</v>
      </c>
      <c r="D210" s="201" t="str">
        <f t="shared" ca="1" si="59"/>
        <v/>
      </c>
      <c r="E210" s="201" t="str">
        <f t="shared" ca="1" si="59"/>
        <v/>
      </c>
      <c r="F210" s="201" t="str">
        <f t="shared" ca="1" si="59"/>
        <v/>
      </c>
      <c r="G210" s="205" t="str">
        <f t="shared" ca="1" si="59"/>
        <v/>
      </c>
      <c r="H210" s="202" t="str">
        <f t="shared" ca="1" si="59"/>
        <v/>
      </c>
      <c r="I210" s="201" t="str">
        <f t="shared" ca="1" si="59"/>
        <v/>
      </c>
      <c r="J210" s="93" t="str">
        <f t="shared" ca="1" si="59"/>
        <v/>
      </c>
      <c r="K210" s="93" t="str">
        <f t="shared" ca="1" si="59"/>
        <v/>
      </c>
      <c r="L210" s="93" t="str">
        <f t="shared" ca="1" si="59"/>
        <v/>
      </c>
      <c r="M210" s="93" t="str">
        <f t="shared" ca="1" si="59"/>
        <v/>
      </c>
      <c r="N210" s="93" t="str">
        <f t="shared" ca="1" si="59"/>
        <v/>
      </c>
      <c r="O210" s="93" t="str">
        <f t="shared" ca="1" si="59"/>
        <v/>
      </c>
      <c r="P210" s="312" t="str">
        <f t="shared" ca="1" si="57"/>
        <v/>
      </c>
      <c r="Q210" s="93" t="str">
        <f t="shared" ca="1" si="57"/>
        <v/>
      </c>
      <c r="R210" s="93" t="str">
        <f t="shared" ca="1" si="57"/>
        <v/>
      </c>
      <c r="S210" s="201" t="str">
        <f t="shared" ca="1" si="61"/>
        <v/>
      </c>
      <c r="T210" s="201"/>
      <c r="Z210" s="40" t="e">
        <f t="shared" ca="1" si="62"/>
        <v>#N/A</v>
      </c>
      <c r="AA210" s="310">
        <f t="shared" ca="1" si="63"/>
        <v>999</v>
      </c>
      <c r="AB210" s="40" t="e">
        <f ca="1">IF(ISNUMBER($A210),VLOOKUP('Berechnungen 2'!AI213,Matrix_Empfehlung.Stromkosten.ID.BOText,3,1),"")</f>
        <v>#VALUE!</v>
      </c>
      <c r="AC210" s="40">
        <f t="shared" ca="1" si="58"/>
        <v>999</v>
      </c>
      <c r="AD210" s="40">
        <f t="shared" ca="1" si="58"/>
        <v>198</v>
      </c>
      <c r="AE210" s="311">
        <f t="shared" ca="1" si="50"/>
        <v>0</v>
      </c>
    </row>
    <row r="211" spans="1:31" x14ac:dyDescent="0.2">
      <c r="A211" s="201">
        <f t="shared" ca="1" si="60"/>
        <v>199</v>
      </c>
      <c r="B211" s="193">
        <f t="shared" si="64"/>
        <v>199</v>
      </c>
      <c r="C211" s="192">
        <f ca="1">IF(ISERROR(LARGE('Berechnungen 2'!$E$16:$E$315,B211)),"",LARGE('Berechnungen 2'!$E$16:$E$315,B211))</f>
        <v>102</v>
      </c>
      <c r="D211" s="201" t="str">
        <f t="shared" ca="1" si="59"/>
        <v/>
      </c>
      <c r="E211" s="201" t="str">
        <f t="shared" ca="1" si="59"/>
        <v/>
      </c>
      <c r="F211" s="201" t="str">
        <f t="shared" ca="1" si="59"/>
        <v/>
      </c>
      <c r="G211" s="205" t="str">
        <f t="shared" ca="1" si="59"/>
        <v/>
      </c>
      <c r="H211" s="202" t="str">
        <f t="shared" ca="1" si="59"/>
        <v/>
      </c>
      <c r="I211" s="201" t="str">
        <f t="shared" ca="1" si="59"/>
        <v/>
      </c>
      <c r="J211" s="93" t="str">
        <f t="shared" ca="1" si="59"/>
        <v/>
      </c>
      <c r="K211" s="93" t="str">
        <f t="shared" ca="1" si="59"/>
        <v/>
      </c>
      <c r="L211" s="93" t="str">
        <f t="shared" ca="1" si="59"/>
        <v/>
      </c>
      <c r="M211" s="93" t="str">
        <f t="shared" ca="1" si="59"/>
        <v/>
      </c>
      <c r="N211" s="93" t="str">
        <f t="shared" ca="1" si="59"/>
        <v/>
      </c>
      <c r="O211" s="93" t="str">
        <f t="shared" ca="1" si="59"/>
        <v/>
      </c>
      <c r="P211" s="312" t="str">
        <f t="shared" ca="1" si="57"/>
        <v/>
      </c>
      <c r="Q211" s="93" t="str">
        <f t="shared" ca="1" si="57"/>
        <v/>
      </c>
      <c r="R211" s="93" t="str">
        <f t="shared" ca="1" si="57"/>
        <v/>
      </c>
      <c r="S211" s="201" t="str">
        <f t="shared" ca="1" si="61"/>
        <v/>
      </c>
      <c r="T211" s="201"/>
      <c r="Z211" s="40" t="e">
        <f t="shared" ca="1" si="62"/>
        <v>#N/A</v>
      </c>
      <c r="AA211" s="310">
        <f t="shared" ca="1" si="63"/>
        <v>999</v>
      </c>
      <c r="AB211" s="40" t="e">
        <f ca="1">IF(ISNUMBER($A211),VLOOKUP('Berechnungen 2'!AI214,Matrix_Empfehlung.Stromkosten.ID.BOText,3,1),"")</f>
        <v>#VALUE!</v>
      </c>
      <c r="AC211" s="40">
        <f t="shared" ca="1" si="58"/>
        <v>999</v>
      </c>
      <c r="AD211" s="40">
        <f t="shared" ca="1" si="58"/>
        <v>199</v>
      </c>
      <c r="AE211" s="311">
        <f t="shared" ca="1" si="50"/>
        <v>0</v>
      </c>
    </row>
    <row r="212" spans="1:31" x14ac:dyDescent="0.2">
      <c r="A212" s="201">
        <f t="shared" ca="1" si="60"/>
        <v>200</v>
      </c>
      <c r="B212" s="193">
        <f t="shared" si="64"/>
        <v>200</v>
      </c>
      <c r="C212" s="192">
        <f ca="1">IF(ISERROR(LARGE('Berechnungen 2'!$E$16:$E$315,B212)),"",LARGE('Berechnungen 2'!$E$16:$E$315,B212))</f>
        <v>101</v>
      </c>
      <c r="D212" s="201" t="str">
        <f t="shared" ca="1" si="59"/>
        <v/>
      </c>
      <c r="E212" s="201" t="str">
        <f t="shared" ca="1" si="59"/>
        <v/>
      </c>
      <c r="F212" s="201" t="str">
        <f t="shared" ca="1" si="59"/>
        <v/>
      </c>
      <c r="G212" s="205" t="str">
        <f t="shared" ca="1" si="59"/>
        <v/>
      </c>
      <c r="H212" s="202" t="str">
        <f t="shared" ca="1" si="59"/>
        <v/>
      </c>
      <c r="I212" s="201" t="str">
        <f t="shared" ca="1" si="59"/>
        <v/>
      </c>
      <c r="J212" s="93" t="str">
        <f t="shared" ca="1" si="59"/>
        <v/>
      </c>
      <c r="K212" s="93" t="str">
        <f t="shared" ca="1" si="59"/>
        <v/>
      </c>
      <c r="L212" s="93" t="str">
        <f t="shared" ca="1" si="59"/>
        <v/>
      </c>
      <c r="M212" s="93" t="str">
        <f t="shared" ca="1" si="59"/>
        <v/>
      </c>
      <c r="N212" s="93" t="str">
        <f t="shared" ca="1" si="59"/>
        <v/>
      </c>
      <c r="O212" s="93" t="str">
        <f t="shared" ca="1" si="59"/>
        <v/>
      </c>
      <c r="P212" s="312" t="str">
        <f t="shared" ca="1" si="57"/>
        <v/>
      </c>
      <c r="Q212" s="93" t="str">
        <f t="shared" ca="1" si="57"/>
        <v/>
      </c>
      <c r="R212" s="93" t="str">
        <f t="shared" ca="1" si="57"/>
        <v/>
      </c>
      <c r="S212" s="201" t="str">
        <f t="shared" ca="1" si="61"/>
        <v/>
      </c>
      <c r="T212" s="201"/>
      <c r="Z212" s="40" t="e">
        <f t="shared" ca="1" si="62"/>
        <v>#N/A</v>
      </c>
      <c r="AA212" s="310">
        <f t="shared" ca="1" si="63"/>
        <v>999</v>
      </c>
      <c r="AB212" s="40" t="e">
        <f ca="1">IF(ISNUMBER($A212),VLOOKUP('Berechnungen 2'!AI215,Matrix_Empfehlung.Stromkosten.ID.BOText,3,1),"")</f>
        <v>#VALUE!</v>
      </c>
      <c r="AC212" s="40">
        <f t="shared" ca="1" si="58"/>
        <v>999</v>
      </c>
      <c r="AD212" s="40">
        <f t="shared" ca="1" si="58"/>
        <v>200</v>
      </c>
      <c r="AE212" s="311">
        <f t="shared" ca="1" si="50"/>
        <v>0</v>
      </c>
    </row>
    <row r="213" spans="1:31" x14ac:dyDescent="0.2">
      <c r="A213" s="201">
        <f t="shared" ca="1" si="60"/>
        <v>201</v>
      </c>
      <c r="B213" s="193">
        <f t="shared" si="64"/>
        <v>201</v>
      </c>
      <c r="C213" s="192">
        <f ca="1">IF(ISERROR(LARGE('Berechnungen 2'!$E$16:$E$315,B213)),"",LARGE('Berechnungen 2'!$E$16:$E$315,B213))</f>
        <v>100</v>
      </c>
      <c r="D213" s="201" t="str">
        <f t="shared" ref="D213:O222" ca="1" si="65">IF($AC213&gt;0,VLOOKUP($C213,Matrix_Berechnungen2.Rang.Pumpendaten.Endresultate,D$9,0),"")</f>
        <v/>
      </c>
      <c r="E213" s="201" t="str">
        <f t="shared" ca="1" si="65"/>
        <v/>
      </c>
      <c r="F213" s="201" t="str">
        <f t="shared" ca="1" si="65"/>
        <v/>
      </c>
      <c r="G213" s="205" t="str">
        <f t="shared" ca="1" si="65"/>
        <v/>
      </c>
      <c r="H213" s="202" t="str">
        <f t="shared" ca="1" si="65"/>
        <v/>
      </c>
      <c r="I213" s="201" t="str">
        <f t="shared" ca="1" si="65"/>
        <v/>
      </c>
      <c r="J213" s="93" t="str">
        <f t="shared" ca="1" si="65"/>
        <v/>
      </c>
      <c r="K213" s="93" t="str">
        <f t="shared" ca="1" si="65"/>
        <v/>
      </c>
      <c r="L213" s="93" t="str">
        <f t="shared" ca="1" si="65"/>
        <v/>
      </c>
      <c r="M213" s="93" t="str">
        <f t="shared" ca="1" si="65"/>
        <v/>
      </c>
      <c r="N213" s="93" t="str">
        <f t="shared" ca="1" si="65"/>
        <v/>
      </c>
      <c r="O213" s="93" t="str">
        <f t="shared" ca="1" si="65"/>
        <v/>
      </c>
      <c r="P213" s="312" t="str">
        <f t="shared" ref="P213:R232" ca="1" si="66">IF(AND($AC213&gt;0,$AC213&lt;&gt;999),VLOOKUP($C213,Matrix_Berechnungen2.Rang.Pumpendaten.Endresultate,P$9,0),"")</f>
        <v/>
      </c>
      <c r="Q213" s="93" t="str">
        <f t="shared" ca="1" si="66"/>
        <v/>
      </c>
      <c r="R213" s="93" t="str">
        <f t="shared" ca="1" si="66"/>
        <v/>
      </c>
      <c r="S213" s="201" t="str">
        <f t="shared" ca="1" si="61"/>
        <v/>
      </c>
      <c r="T213" s="201"/>
      <c r="Z213" s="40" t="e">
        <f t="shared" ca="1" si="62"/>
        <v>#N/A</v>
      </c>
      <c r="AA213" s="310">
        <f t="shared" ca="1" si="63"/>
        <v>999</v>
      </c>
      <c r="AB213" s="40" t="e">
        <f ca="1">IF(ISNUMBER($A213),VLOOKUP('Berechnungen 2'!AI216,Matrix_Empfehlung.Stromkosten.ID.BOText,3,1),"")</f>
        <v>#VALUE!</v>
      </c>
      <c r="AC213" s="40">
        <f t="shared" ref="AC213:AD232" ca="1" si="67">IF(VLOOKUP($C213,Matrix_Berechnungen2.Rang.Pumpendaten.Endresultate,$C$9,0)&gt;0,VLOOKUP($C213,Matrix_Berechnungen2.Rang.Pumpendaten.Endresultate,AC$9,0),"")</f>
        <v>999</v>
      </c>
      <c r="AD213" s="40">
        <f t="shared" ca="1" si="67"/>
        <v>201</v>
      </c>
      <c r="AE213" s="311">
        <f t="shared" ca="1" si="50"/>
        <v>0</v>
      </c>
    </row>
    <row r="214" spans="1:31" x14ac:dyDescent="0.2">
      <c r="A214" s="201">
        <f t="shared" ca="1" si="60"/>
        <v>202</v>
      </c>
      <c r="B214" s="193">
        <f t="shared" si="64"/>
        <v>202</v>
      </c>
      <c r="C214" s="192">
        <f ca="1">IF(ISERROR(LARGE('Berechnungen 2'!$E$16:$E$315,B214)),"",LARGE('Berechnungen 2'!$E$16:$E$315,B214))</f>
        <v>99</v>
      </c>
      <c r="D214" s="201" t="str">
        <f t="shared" ca="1" si="65"/>
        <v/>
      </c>
      <c r="E214" s="201" t="str">
        <f t="shared" ca="1" si="65"/>
        <v/>
      </c>
      <c r="F214" s="201" t="str">
        <f t="shared" ca="1" si="65"/>
        <v/>
      </c>
      <c r="G214" s="205" t="str">
        <f t="shared" ca="1" si="65"/>
        <v/>
      </c>
      <c r="H214" s="202" t="str">
        <f t="shared" ca="1" si="65"/>
        <v/>
      </c>
      <c r="I214" s="201" t="str">
        <f t="shared" ca="1" si="65"/>
        <v/>
      </c>
      <c r="J214" s="93" t="str">
        <f t="shared" ca="1" si="65"/>
        <v/>
      </c>
      <c r="K214" s="93" t="str">
        <f t="shared" ca="1" si="65"/>
        <v/>
      </c>
      <c r="L214" s="93" t="str">
        <f t="shared" ca="1" si="65"/>
        <v/>
      </c>
      <c r="M214" s="93" t="str">
        <f t="shared" ca="1" si="65"/>
        <v/>
      </c>
      <c r="N214" s="93" t="str">
        <f t="shared" ca="1" si="65"/>
        <v/>
      </c>
      <c r="O214" s="93" t="str">
        <f t="shared" ca="1" si="65"/>
        <v/>
      </c>
      <c r="P214" s="312" t="str">
        <f t="shared" ca="1" si="66"/>
        <v/>
      </c>
      <c r="Q214" s="93" t="str">
        <f t="shared" ca="1" si="66"/>
        <v/>
      </c>
      <c r="R214" s="93" t="str">
        <f t="shared" ca="1" si="66"/>
        <v/>
      </c>
      <c r="S214" s="201" t="str">
        <f t="shared" ca="1" si="61"/>
        <v/>
      </c>
      <c r="T214" s="201"/>
      <c r="Z214" s="40" t="e">
        <f t="shared" ca="1" si="62"/>
        <v>#N/A</v>
      </c>
      <c r="AA214" s="310">
        <f t="shared" ca="1" si="63"/>
        <v>999</v>
      </c>
      <c r="AB214" s="40" t="e">
        <f ca="1">IF(ISNUMBER($A214),VLOOKUP('Berechnungen 2'!AI217,Matrix_Empfehlung.Stromkosten.ID.BOText,3,1),"")</f>
        <v>#VALUE!</v>
      </c>
      <c r="AC214" s="40">
        <f t="shared" ca="1" si="67"/>
        <v>999</v>
      </c>
      <c r="AD214" s="40">
        <f t="shared" ca="1" si="67"/>
        <v>202</v>
      </c>
      <c r="AE214" s="311">
        <f t="shared" ca="1" si="50"/>
        <v>0</v>
      </c>
    </row>
    <row r="215" spans="1:31" x14ac:dyDescent="0.2">
      <c r="A215" s="201">
        <f t="shared" ca="1" si="60"/>
        <v>203</v>
      </c>
      <c r="B215" s="193">
        <f t="shared" si="64"/>
        <v>203</v>
      </c>
      <c r="C215" s="192">
        <f ca="1">IF(ISERROR(LARGE('Berechnungen 2'!$E$16:$E$315,B215)),"",LARGE('Berechnungen 2'!$E$16:$E$315,B215))</f>
        <v>98</v>
      </c>
      <c r="D215" s="201" t="str">
        <f t="shared" ca="1" si="65"/>
        <v/>
      </c>
      <c r="E215" s="201" t="str">
        <f t="shared" ca="1" si="65"/>
        <v/>
      </c>
      <c r="F215" s="201" t="str">
        <f t="shared" ca="1" si="65"/>
        <v/>
      </c>
      <c r="G215" s="205" t="str">
        <f t="shared" ca="1" si="65"/>
        <v/>
      </c>
      <c r="H215" s="202" t="str">
        <f t="shared" ca="1" si="65"/>
        <v/>
      </c>
      <c r="I215" s="201" t="str">
        <f t="shared" ca="1" si="65"/>
        <v/>
      </c>
      <c r="J215" s="93" t="str">
        <f t="shared" ca="1" si="65"/>
        <v/>
      </c>
      <c r="K215" s="93" t="str">
        <f t="shared" ca="1" si="65"/>
        <v/>
      </c>
      <c r="L215" s="93" t="str">
        <f t="shared" ca="1" si="65"/>
        <v/>
      </c>
      <c r="M215" s="93" t="str">
        <f t="shared" ca="1" si="65"/>
        <v/>
      </c>
      <c r="N215" s="93" t="str">
        <f t="shared" ca="1" si="65"/>
        <v/>
      </c>
      <c r="O215" s="93" t="str">
        <f t="shared" ca="1" si="65"/>
        <v/>
      </c>
      <c r="P215" s="312" t="str">
        <f t="shared" ca="1" si="66"/>
        <v/>
      </c>
      <c r="Q215" s="93" t="str">
        <f t="shared" ca="1" si="66"/>
        <v/>
      </c>
      <c r="R215" s="93" t="str">
        <f t="shared" ca="1" si="66"/>
        <v/>
      </c>
      <c r="S215" s="201" t="str">
        <f t="shared" ca="1" si="61"/>
        <v/>
      </c>
      <c r="T215" s="201"/>
      <c r="Z215" s="40" t="e">
        <f t="shared" ca="1" si="62"/>
        <v>#N/A</v>
      </c>
      <c r="AA215" s="310">
        <f t="shared" ca="1" si="63"/>
        <v>999</v>
      </c>
      <c r="AB215" s="40" t="e">
        <f ca="1">IF(ISNUMBER($A215),VLOOKUP('Berechnungen 2'!AI218,Matrix_Empfehlung.Stromkosten.ID.BOText,3,1),"")</f>
        <v>#VALUE!</v>
      </c>
      <c r="AC215" s="40">
        <f t="shared" ca="1" si="67"/>
        <v>999</v>
      </c>
      <c r="AD215" s="40">
        <f t="shared" ca="1" si="67"/>
        <v>203</v>
      </c>
      <c r="AE215" s="311">
        <f t="shared" ca="1" si="50"/>
        <v>0</v>
      </c>
    </row>
    <row r="216" spans="1:31" x14ac:dyDescent="0.2">
      <c r="A216" s="201">
        <f t="shared" ca="1" si="60"/>
        <v>204</v>
      </c>
      <c r="B216" s="193">
        <f t="shared" si="64"/>
        <v>204</v>
      </c>
      <c r="C216" s="192">
        <f ca="1">IF(ISERROR(LARGE('Berechnungen 2'!$E$16:$E$315,B216)),"",LARGE('Berechnungen 2'!$E$16:$E$315,B216))</f>
        <v>97</v>
      </c>
      <c r="D216" s="201" t="str">
        <f t="shared" ca="1" si="65"/>
        <v/>
      </c>
      <c r="E216" s="201" t="str">
        <f t="shared" ca="1" si="65"/>
        <v/>
      </c>
      <c r="F216" s="201" t="str">
        <f t="shared" ca="1" si="65"/>
        <v/>
      </c>
      <c r="G216" s="205" t="str">
        <f t="shared" ca="1" si="65"/>
        <v/>
      </c>
      <c r="H216" s="202" t="str">
        <f t="shared" ca="1" si="65"/>
        <v/>
      </c>
      <c r="I216" s="201" t="str">
        <f t="shared" ca="1" si="65"/>
        <v/>
      </c>
      <c r="J216" s="93" t="str">
        <f t="shared" ca="1" si="65"/>
        <v/>
      </c>
      <c r="K216" s="93" t="str">
        <f t="shared" ca="1" si="65"/>
        <v/>
      </c>
      <c r="L216" s="93" t="str">
        <f t="shared" ca="1" si="65"/>
        <v/>
      </c>
      <c r="M216" s="93" t="str">
        <f t="shared" ca="1" si="65"/>
        <v/>
      </c>
      <c r="N216" s="93" t="str">
        <f t="shared" ca="1" si="65"/>
        <v/>
      </c>
      <c r="O216" s="93" t="str">
        <f t="shared" ca="1" si="65"/>
        <v/>
      </c>
      <c r="P216" s="312" t="str">
        <f t="shared" ca="1" si="66"/>
        <v/>
      </c>
      <c r="Q216" s="93" t="str">
        <f t="shared" ca="1" si="66"/>
        <v/>
      </c>
      <c r="R216" s="93" t="str">
        <f t="shared" ca="1" si="66"/>
        <v/>
      </c>
      <c r="S216" s="201" t="str">
        <f t="shared" ca="1" si="61"/>
        <v/>
      </c>
      <c r="T216" s="201"/>
      <c r="Z216" s="40" t="e">
        <f t="shared" ca="1" si="62"/>
        <v>#N/A</v>
      </c>
      <c r="AA216" s="310">
        <f t="shared" ca="1" si="63"/>
        <v>999</v>
      </c>
      <c r="AB216" s="40" t="e">
        <f ca="1">IF(ISNUMBER($A216),VLOOKUP('Berechnungen 2'!AI219,Matrix_Empfehlung.Stromkosten.ID.BOText,3,1),"")</f>
        <v>#VALUE!</v>
      </c>
      <c r="AC216" s="40">
        <f t="shared" ca="1" si="67"/>
        <v>999</v>
      </c>
      <c r="AD216" s="40">
        <f t="shared" ca="1" si="67"/>
        <v>204</v>
      </c>
      <c r="AE216" s="311">
        <f t="shared" ca="1" si="50"/>
        <v>0</v>
      </c>
    </row>
    <row r="217" spans="1:31" x14ac:dyDescent="0.2">
      <c r="A217" s="201">
        <f t="shared" ca="1" si="60"/>
        <v>205</v>
      </c>
      <c r="B217" s="193">
        <f t="shared" si="64"/>
        <v>205</v>
      </c>
      <c r="C217" s="192">
        <f ca="1">IF(ISERROR(LARGE('Berechnungen 2'!$E$16:$E$315,B217)),"",LARGE('Berechnungen 2'!$E$16:$E$315,B217))</f>
        <v>96</v>
      </c>
      <c r="D217" s="201" t="str">
        <f t="shared" ca="1" si="65"/>
        <v/>
      </c>
      <c r="E217" s="201" t="str">
        <f t="shared" ca="1" si="65"/>
        <v/>
      </c>
      <c r="F217" s="201" t="str">
        <f t="shared" ca="1" si="65"/>
        <v/>
      </c>
      <c r="G217" s="205" t="str">
        <f t="shared" ca="1" si="65"/>
        <v/>
      </c>
      <c r="H217" s="202" t="str">
        <f t="shared" ca="1" si="65"/>
        <v/>
      </c>
      <c r="I217" s="201" t="str">
        <f t="shared" ca="1" si="65"/>
        <v/>
      </c>
      <c r="J217" s="93" t="str">
        <f t="shared" ca="1" si="65"/>
        <v/>
      </c>
      <c r="K217" s="93" t="str">
        <f t="shared" ca="1" si="65"/>
        <v/>
      </c>
      <c r="L217" s="93" t="str">
        <f t="shared" ca="1" si="65"/>
        <v/>
      </c>
      <c r="M217" s="93" t="str">
        <f t="shared" ca="1" si="65"/>
        <v/>
      </c>
      <c r="N217" s="93" t="str">
        <f t="shared" ca="1" si="65"/>
        <v/>
      </c>
      <c r="O217" s="93" t="str">
        <f t="shared" ca="1" si="65"/>
        <v/>
      </c>
      <c r="P217" s="312" t="str">
        <f t="shared" ca="1" si="66"/>
        <v/>
      </c>
      <c r="Q217" s="93" t="str">
        <f t="shared" ca="1" si="66"/>
        <v/>
      </c>
      <c r="R217" s="93" t="str">
        <f t="shared" ca="1" si="66"/>
        <v/>
      </c>
      <c r="S217" s="201" t="str">
        <f t="shared" ca="1" si="61"/>
        <v/>
      </c>
      <c r="T217" s="201"/>
      <c r="Z217" s="40" t="e">
        <f t="shared" ca="1" si="62"/>
        <v>#N/A</v>
      </c>
      <c r="AA217" s="310">
        <f t="shared" ca="1" si="63"/>
        <v>999</v>
      </c>
      <c r="AB217" s="40" t="e">
        <f ca="1">IF(ISNUMBER($A217),VLOOKUP('Berechnungen 2'!AI220,Matrix_Empfehlung.Stromkosten.ID.BOText,3,1),"")</f>
        <v>#VALUE!</v>
      </c>
      <c r="AC217" s="40">
        <f t="shared" ca="1" si="67"/>
        <v>999</v>
      </c>
      <c r="AD217" s="40">
        <f t="shared" ca="1" si="67"/>
        <v>205</v>
      </c>
      <c r="AE217" s="311">
        <f t="shared" ref="AE217:AE280" ca="1" si="68">IF($AC217&gt;0,VLOOKUP($C217,Matrix_Berechnungen2.Rang.Pumpendaten.Endresultate,AE$9,0),"")</f>
        <v>0</v>
      </c>
    </row>
    <row r="218" spans="1:31" x14ac:dyDescent="0.2">
      <c r="A218" s="201">
        <f t="shared" ca="1" si="60"/>
        <v>206</v>
      </c>
      <c r="B218" s="193">
        <f t="shared" si="64"/>
        <v>206</v>
      </c>
      <c r="C218" s="192">
        <f ca="1">IF(ISERROR(LARGE('Berechnungen 2'!$E$16:$E$315,B218)),"",LARGE('Berechnungen 2'!$E$16:$E$315,B218))</f>
        <v>95</v>
      </c>
      <c r="D218" s="201" t="str">
        <f t="shared" ca="1" si="65"/>
        <v/>
      </c>
      <c r="E218" s="201" t="str">
        <f t="shared" ca="1" si="65"/>
        <v/>
      </c>
      <c r="F218" s="201" t="str">
        <f t="shared" ca="1" si="65"/>
        <v/>
      </c>
      <c r="G218" s="205" t="str">
        <f t="shared" ca="1" si="65"/>
        <v/>
      </c>
      <c r="H218" s="202" t="str">
        <f t="shared" ca="1" si="65"/>
        <v/>
      </c>
      <c r="I218" s="201" t="str">
        <f t="shared" ca="1" si="65"/>
        <v/>
      </c>
      <c r="J218" s="93" t="str">
        <f t="shared" ca="1" si="65"/>
        <v/>
      </c>
      <c r="K218" s="93" t="str">
        <f t="shared" ca="1" si="65"/>
        <v/>
      </c>
      <c r="L218" s="93" t="str">
        <f t="shared" ca="1" si="65"/>
        <v/>
      </c>
      <c r="M218" s="93" t="str">
        <f t="shared" ca="1" si="65"/>
        <v/>
      </c>
      <c r="N218" s="93" t="str">
        <f t="shared" ca="1" si="65"/>
        <v/>
      </c>
      <c r="O218" s="93" t="str">
        <f t="shared" ca="1" si="65"/>
        <v/>
      </c>
      <c r="P218" s="312" t="str">
        <f t="shared" ca="1" si="66"/>
        <v/>
      </c>
      <c r="Q218" s="93" t="str">
        <f t="shared" ca="1" si="66"/>
        <v/>
      </c>
      <c r="R218" s="93" t="str">
        <f t="shared" ca="1" si="66"/>
        <v/>
      </c>
      <c r="S218" s="201" t="str">
        <f t="shared" ca="1" si="61"/>
        <v/>
      </c>
      <c r="T218" s="201"/>
      <c r="Z218" s="40" t="e">
        <f t="shared" ca="1" si="62"/>
        <v>#N/A</v>
      </c>
      <c r="AA218" s="310">
        <f t="shared" ca="1" si="63"/>
        <v>999</v>
      </c>
      <c r="AB218" s="40" t="e">
        <f ca="1">IF(ISNUMBER($A218),VLOOKUP('Berechnungen 2'!AI221,Matrix_Empfehlung.Stromkosten.ID.BOText,3,1),"")</f>
        <v>#VALUE!</v>
      </c>
      <c r="AC218" s="40">
        <f t="shared" ca="1" si="67"/>
        <v>999</v>
      </c>
      <c r="AD218" s="40">
        <f t="shared" ca="1" si="67"/>
        <v>206</v>
      </c>
      <c r="AE218" s="311">
        <f t="shared" ca="1" si="68"/>
        <v>0</v>
      </c>
    </row>
    <row r="219" spans="1:31" x14ac:dyDescent="0.2">
      <c r="A219" s="201">
        <f t="shared" ca="1" si="60"/>
        <v>207</v>
      </c>
      <c r="B219" s="193">
        <f t="shared" si="64"/>
        <v>207</v>
      </c>
      <c r="C219" s="192">
        <f ca="1">IF(ISERROR(LARGE('Berechnungen 2'!$E$16:$E$315,B219)),"",LARGE('Berechnungen 2'!$E$16:$E$315,B219))</f>
        <v>94</v>
      </c>
      <c r="D219" s="201" t="str">
        <f t="shared" ca="1" si="65"/>
        <v/>
      </c>
      <c r="E219" s="201" t="str">
        <f t="shared" ca="1" si="65"/>
        <v/>
      </c>
      <c r="F219" s="201" t="str">
        <f t="shared" ca="1" si="65"/>
        <v/>
      </c>
      <c r="G219" s="205" t="str">
        <f t="shared" ca="1" si="65"/>
        <v/>
      </c>
      <c r="H219" s="202" t="str">
        <f t="shared" ca="1" si="65"/>
        <v/>
      </c>
      <c r="I219" s="201" t="str">
        <f t="shared" ca="1" si="65"/>
        <v/>
      </c>
      <c r="J219" s="93" t="str">
        <f t="shared" ca="1" si="65"/>
        <v/>
      </c>
      <c r="K219" s="93" t="str">
        <f t="shared" ca="1" si="65"/>
        <v/>
      </c>
      <c r="L219" s="93" t="str">
        <f t="shared" ca="1" si="65"/>
        <v/>
      </c>
      <c r="M219" s="93" t="str">
        <f t="shared" ca="1" si="65"/>
        <v/>
      </c>
      <c r="N219" s="93" t="str">
        <f t="shared" ca="1" si="65"/>
        <v/>
      </c>
      <c r="O219" s="93" t="str">
        <f t="shared" ca="1" si="65"/>
        <v/>
      </c>
      <c r="P219" s="312" t="str">
        <f t="shared" ca="1" si="66"/>
        <v/>
      </c>
      <c r="Q219" s="93" t="str">
        <f t="shared" ca="1" si="66"/>
        <v/>
      </c>
      <c r="R219" s="93" t="str">
        <f t="shared" ca="1" si="66"/>
        <v/>
      </c>
      <c r="S219" s="201" t="str">
        <f t="shared" ca="1" si="61"/>
        <v/>
      </c>
      <c r="T219" s="201"/>
      <c r="Z219" s="40" t="e">
        <f t="shared" ca="1" si="62"/>
        <v>#N/A</v>
      </c>
      <c r="AA219" s="310">
        <f t="shared" ca="1" si="63"/>
        <v>999</v>
      </c>
      <c r="AB219" s="40" t="e">
        <f ca="1">IF(ISNUMBER($A219),VLOOKUP('Berechnungen 2'!AI222,Matrix_Empfehlung.Stromkosten.ID.BOText,3,1),"")</f>
        <v>#VALUE!</v>
      </c>
      <c r="AC219" s="40">
        <f t="shared" ca="1" si="67"/>
        <v>999</v>
      </c>
      <c r="AD219" s="40">
        <f t="shared" ca="1" si="67"/>
        <v>207</v>
      </c>
      <c r="AE219" s="311">
        <f t="shared" ca="1" si="68"/>
        <v>0</v>
      </c>
    </row>
    <row r="220" spans="1:31" x14ac:dyDescent="0.2">
      <c r="A220" s="201">
        <f t="shared" ca="1" si="60"/>
        <v>208</v>
      </c>
      <c r="B220" s="193">
        <f t="shared" si="64"/>
        <v>208</v>
      </c>
      <c r="C220" s="192">
        <f ca="1">IF(ISERROR(LARGE('Berechnungen 2'!$E$16:$E$315,B220)),"",LARGE('Berechnungen 2'!$E$16:$E$315,B220))</f>
        <v>93</v>
      </c>
      <c r="D220" s="201" t="str">
        <f t="shared" ca="1" si="65"/>
        <v/>
      </c>
      <c r="E220" s="201" t="str">
        <f t="shared" ca="1" si="65"/>
        <v/>
      </c>
      <c r="F220" s="201" t="str">
        <f t="shared" ca="1" si="65"/>
        <v/>
      </c>
      <c r="G220" s="205" t="str">
        <f t="shared" ca="1" si="65"/>
        <v/>
      </c>
      <c r="H220" s="202" t="str">
        <f t="shared" ca="1" si="65"/>
        <v/>
      </c>
      <c r="I220" s="201" t="str">
        <f t="shared" ca="1" si="65"/>
        <v/>
      </c>
      <c r="J220" s="93" t="str">
        <f t="shared" ca="1" si="65"/>
        <v/>
      </c>
      <c r="K220" s="93" t="str">
        <f t="shared" ca="1" si="65"/>
        <v/>
      </c>
      <c r="L220" s="93" t="str">
        <f t="shared" ca="1" si="65"/>
        <v/>
      </c>
      <c r="M220" s="93" t="str">
        <f t="shared" ca="1" si="65"/>
        <v/>
      </c>
      <c r="N220" s="93" t="str">
        <f t="shared" ca="1" si="65"/>
        <v/>
      </c>
      <c r="O220" s="93" t="str">
        <f t="shared" ca="1" si="65"/>
        <v/>
      </c>
      <c r="P220" s="312" t="str">
        <f t="shared" ca="1" si="66"/>
        <v/>
      </c>
      <c r="Q220" s="93" t="str">
        <f t="shared" ca="1" si="66"/>
        <v/>
      </c>
      <c r="R220" s="93" t="str">
        <f t="shared" ca="1" si="66"/>
        <v/>
      </c>
      <c r="S220" s="201" t="str">
        <f t="shared" ca="1" si="61"/>
        <v/>
      </c>
      <c r="T220" s="201"/>
      <c r="Z220" s="40" t="e">
        <f t="shared" ca="1" si="62"/>
        <v>#N/A</v>
      </c>
      <c r="AA220" s="310">
        <f t="shared" ca="1" si="63"/>
        <v>999</v>
      </c>
      <c r="AB220" s="40" t="e">
        <f ca="1">IF(ISNUMBER($A220),VLOOKUP('Berechnungen 2'!AI223,Matrix_Empfehlung.Stromkosten.ID.BOText,3,1),"")</f>
        <v>#VALUE!</v>
      </c>
      <c r="AC220" s="40">
        <f t="shared" ca="1" si="67"/>
        <v>999</v>
      </c>
      <c r="AD220" s="40">
        <f t="shared" ca="1" si="67"/>
        <v>208</v>
      </c>
      <c r="AE220" s="311">
        <f t="shared" ca="1" si="68"/>
        <v>0</v>
      </c>
    </row>
    <row r="221" spans="1:31" x14ac:dyDescent="0.2">
      <c r="A221" s="201">
        <f t="shared" ca="1" si="60"/>
        <v>209</v>
      </c>
      <c r="B221" s="193">
        <f t="shared" si="64"/>
        <v>209</v>
      </c>
      <c r="C221" s="192">
        <f ca="1">IF(ISERROR(LARGE('Berechnungen 2'!$E$16:$E$315,B221)),"",LARGE('Berechnungen 2'!$E$16:$E$315,B221))</f>
        <v>92</v>
      </c>
      <c r="D221" s="201" t="str">
        <f t="shared" ca="1" si="65"/>
        <v/>
      </c>
      <c r="E221" s="201" t="str">
        <f t="shared" ca="1" si="65"/>
        <v/>
      </c>
      <c r="F221" s="201" t="str">
        <f t="shared" ca="1" si="65"/>
        <v/>
      </c>
      <c r="G221" s="205" t="str">
        <f t="shared" ca="1" si="65"/>
        <v/>
      </c>
      <c r="H221" s="202" t="str">
        <f t="shared" ca="1" si="65"/>
        <v/>
      </c>
      <c r="I221" s="201" t="str">
        <f t="shared" ca="1" si="65"/>
        <v/>
      </c>
      <c r="J221" s="93" t="str">
        <f t="shared" ca="1" si="65"/>
        <v/>
      </c>
      <c r="K221" s="93" t="str">
        <f t="shared" ca="1" si="65"/>
        <v/>
      </c>
      <c r="L221" s="93" t="str">
        <f t="shared" ca="1" si="65"/>
        <v/>
      </c>
      <c r="M221" s="93" t="str">
        <f t="shared" ca="1" si="65"/>
        <v/>
      </c>
      <c r="N221" s="93" t="str">
        <f t="shared" ca="1" si="65"/>
        <v/>
      </c>
      <c r="O221" s="93" t="str">
        <f t="shared" ca="1" si="65"/>
        <v/>
      </c>
      <c r="P221" s="312" t="str">
        <f t="shared" ca="1" si="66"/>
        <v/>
      </c>
      <c r="Q221" s="93" t="str">
        <f t="shared" ca="1" si="66"/>
        <v/>
      </c>
      <c r="R221" s="93" t="str">
        <f t="shared" ca="1" si="66"/>
        <v/>
      </c>
      <c r="S221" s="201" t="str">
        <f t="shared" ca="1" si="61"/>
        <v/>
      </c>
      <c r="T221" s="201"/>
      <c r="Z221" s="40" t="e">
        <f t="shared" ca="1" si="62"/>
        <v>#N/A</v>
      </c>
      <c r="AA221" s="310">
        <f t="shared" ca="1" si="63"/>
        <v>999</v>
      </c>
      <c r="AB221" s="40" t="e">
        <f ca="1">IF(ISNUMBER($A221),VLOOKUP('Berechnungen 2'!AI224,Matrix_Empfehlung.Stromkosten.ID.BOText,3,1),"")</f>
        <v>#VALUE!</v>
      </c>
      <c r="AC221" s="40">
        <f t="shared" ca="1" si="67"/>
        <v>999</v>
      </c>
      <c r="AD221" s="40">
        <f t="shared" ca="1" si="67"/>
        <v>209</v>
      </c>
      <c r="AE221" s="311">
        <f t="shared" ca="1" si="68"/>
        <v>0</v>
      </c>
    </row>
    <row r="222" spans="1:31" x14ac:dyDescent="0.2">
      <c r="A222" s="201">
        <f t="shared" ca="1" si="60"/>
        <v>210</v>
      </c>
      <c r="B222" s="193">
        <f t="shared" si="64"/>
        <v>210</v>
      </c>
      <c r="C222" s="192">
        <f ca="1">IF(ISERROR(LARGE('Berechnungen 2'!$E$16:$E$315,B222)),"",LARGE('Berechnungen 2'!$E$16:$E$315,B222))</f>
        <v>91</v>
      </c>
      <c r="D222" s="201" t="str">
        <f t="shared" ca="1" si="65"/>
        <v/>
      </c>
      <c r="E222" s="201" t="str">
        <f t="shared" ca="1" si="65"/>
        <v/>
      </c>
      <c r="F222" s="201" t="str">
        <f t="shared" ca="1" si="65"/>
        <v/>
      </c>
      <c r="G222" s="205" t="str">
        <f t="shared" ca="1" si="65"/>
        <v/>
      </c>
      <c r="H222" s="202" t="str">
        <f t="shared" ca="1" si="65"/>
        <v/>
      </c>
      <c r="I222" s="201" t="str">
        <f t="shared" ca="1" si="65"/>
        <v/>
      </c>
      <c r="J222" s="93" t="str">
        <f t="shared" ca="1" si="65"/>
        <v/>
      </c>
      <c r="K222" s="93" t="str">
        <f t="shared" ca="1" si="65"/>
        <v/>
      </c>
      <c r="L222" s="93" t="str">
        <f t="shared" ca="1" si="65"/>
        <v/>
      </c>
      <c r="M222" s="93" t="str">
        <f t="shared" ca="1" si="65"/>
        <v/>
      </c>
      <c r="N222" s="93" t="str">
        <f t="shared" ca="1" si="65"/>
        <v/>
      </c>
      <c r="O222" s="93" t="str">
        <f t="shared" ca="1" si="65"/>
        <v/>
      </c>
      <c r="P222" s="312" t="str">
        <f t="shared" ca="1" si="66"/>
        <v/>
      </c>
      <c r="Q222" s="93" t="str">
        <f t="shared" ca="1" si="66"/>
        <v/>
      </c>
      <c r="R222" s="93" t="str">
        <f t="shared" ca="1" si="66"/>
        <v/>
      </c>
      <c r="S222" s="201" t="str">
        <f t="shared" ca="1" si="61"/>
        <v/>
      </c>
      <c r="T222" s="201"/>
      <c r="Z222" s="40" t="e">
        <f t="shared" ca="1" si="62"/>
        <v>#N/A</v>
      </c>
      <c r="AA222" s="310">
        <f t="shared" ca="1" si="63"/>
        <v>999</v>
      </c>
      <c r="AB222" s="40" t="e">
        <f ca="1">IF(ISNUMBER($A222),VLOOKUP('Berechnungen 2'!AI225,Matrix_Empfehlung.Stromkosten.ID.BOText,3,1),"")</f>
        <v>#VALUE!</v>
      </c>
      <c r="AC222" s="40">
        <f t="shared" ca="1" si="67"/>
        <v>999</v>
      </c>
      <c r="AD222" s="40">
        <f t="shared" ca="1" si="67"/>
        <v>210</v>
      </c>
      <c r="AE222" s="311">
        <f t="shared" ca="1" si="68"/>
        <v>0</v>
      </c>
    </row>
    <row r="223" spans="1:31" x14ac:dyDescent="0.2">
      <c r="A223" s="201">
        <f t="shared" ca="1" si="60"/>
        <v>211</v>
      </c>
      <c r="B223" s="193">
        <f t="shared" si="64"/>
        <v>211</v>
      </c>
      <c r="C223" s="192">
        <f ca="1">IF(ISERROR(LARGE('Berechnungen 2'!$E$16:$E$315,B223)),"",LARGE('Berechnungen 2'!$E$16:$E$315,B223))</f>
        <v>90</v>
      </c>
      <c r="D223" s="201" t="str">
        <f t="shared" ref="D223:O232" ca="1" si="69">IF($AC223&gt;0,VLOOKUP($C223,Matrix_Berechnungen2.Rang.Pumpendaten.Endresultate,D$9,0),"")</f>
        <v/>
      </c>
      <c r="E223" s="201" t="str">
        <f t="shared" ca="1" si="69"/>
        <v/>
      </c>
      <c r="F223" s="201" t="str">
        <f t="shared" ca="1" si="69"/>
        <v/>
      </c>
      <c r="G223" s="205" t="str">
        <f t="shared" ca="1" si="69"/>
        <v/>
      </c>
      <c r="H223" s="202" t="str">
        <f t="shared" ca="1" si="69"/>
        <v/>
      </c>
      <c r="I223" s="201" t="str">
        <f t="shared" ca="1" si="69"/>
        <v/>
      </c>
      <c r="J223" s="93" t="str">
        <f t="shared" ca="1" si="69"/>
        <v/>
      </c>
      <c r="K223" s="93" t="str">
        <f t="shared" ca="1" si="69"/>
        <v/>
      </c>
      <c r="L223" s="93" t="str">
        <f t="shared" ca="1" si="69"/>
        <v/>
      </c>
      <c r="M223" s="93" t="str">
        <f t="shared" ca="1" si="69"/>
        <v/>
      </c>
      <c r="N223" s="93" t="str">
        <f t="shared" ca="1" si="69"/>
        <v/>
      </c>
      <c r="O223" s="93" t="str">
        <f t="shared" ca="1" si="69"/>
        <v/>
      </c>
      <c r="P223" s="312" t="str">
        <f t="shared" ca="1" si="66"/>
        <v/>
      </c>
      <c r="Q223" s="93" t="str">
        <f t="shared" ca="1" si="66"/>
        <v/>
      </c>
      <c r="R223" s="93" t="str">
        <f t="shared" ca="1" si="66"/>
        <v/>
      </c>
      <c r="S223" s="201" t="str">
        <f t="shared" ca="1" si="61"/>
        <v/>
      </c>
      <c r="T223" s="201"/>
      <c r="Z223" s="40" t="e">
        <f t="shared" ca="1" si="62"/>
        <v>#N/A</v>
      </c>
      <c r="AA223" s="310">
        <f t="shared" ca="1" si="63"/>
        <v>999</v>
      </c>
      <c r="AB223" s="40" t="e">
        <f ca="1">IF(ISNUMBER($A223),VLOOKUP('Berechnungen 2'!AI226,Matrix_Empfehlung.Stromkosten.ID.BOText,3,1),"")</f>
        <v>#VALUE!</v>
      </c>
      <c r="AC223" s="40">
        <f t="shared" ca="1" si="67"/>
        <v>999</v>
      </c>
      <c r="AD223" s="40">
        <f t="shared" ca="1" si="67"/>
        <v>211</v>
      </c>
      <c r="AE223" s="311">
        <f t="shared" ca="1" si="68"/>
        <v>0</v>
      </c>
    </row>
    <row r="224" spans="1:31" x14ac:dyDescent="0.2">
      <c r="A224" s="201">
        <f t="shared" ca="1" si="60"/>
        <v>212</v>
      </c>
      <c r="B224" s="193">
        <f t="shared" si="64"/>
        <v>212</v>
      </c>
      <c r="C224" s="192">
        <f ca="1">IF(ISERROR(LARGE('Berechnungen 2'!$E$16:$E$315,B224)),"",LARGE('Berechnungen 2'!$E$16:$E$315,B224))</f>
        <v>89</v>
      </c>
      <c r="D224" s="201" t="str">
        <f t="shared" ca="1" si="69"/>
        <v/>
      </c>
      <c r="E224" s="201" t="str">
        <f t="shared" ca="1" si="69"/>
        <v/>
      </c>
      <c r="F224" s="201" t="str">
        <f t="shared" ca="1" si="69"/>
        <v/>
      </c>
      <c r="G224" s="205" t="str">
        <f t="shared" ca="1" si="69"/>
        <v/>
      </c>
      <c r="H224" s="202" t="str">
        <f t="shared" ca="1" si="69"/>
        <v/>
      </c>
      <c r="I224" s="201" t="str">
        <f t="shared" ca="1" si="69"/>
        <v/>
      </c>
      <c r="J224" s="93" t="str">
        <f t="shared" ca="1" si="69"/>
        <v/>
      </c>
      <c r="K224" s="93" t="str">
        <f t="shared" ca="1" si="69"/>
        <v/>
      </c>
      <c r="L224" s="93" t="str">
        <f t="shared" ca="1" si="69"/>
        <v/>
      </c>
      <c r="M224" s="93" t="str">
        <f t="shared" ca="1" si="69"/>
        <v/>
      </c>
      <c r="N224" s="93" t="str">
        <f t="shared" ca="1" si="69"/>
        <v/>
      </c>
      <c r="O224" s="93" t="str">
        <f t="shared" ca="1" si="69"/>
        <v/>
      </c>
      <c r="P224" s="312" t="str">
        <f t="shared" ca="1" si="66"/>
        <v/>
      </c>
      <c r="Q224" s="93" t="str">
        <f t="shared" ca="1" si="66"/>
        <v/>
      </c>
      <c r="R224" s="93" t="str">
        <f t="shared" ca="1" si="66"/>
        <v/>
      </c>
      <c r="S224" s="201" t="str">
        <f t="shared" ca="1" si="61"/>
        <v/>
      </c>
      <c r="T224" s="201"/>
      <c r="Z224" s="40" t="e">
        <f t="shared" ca="1" si="62"/>
        <v>#N/A</v>
      </c>
      <c r="AA224" s="310">
        <f t="shared" ca="1" si="63"/>
        <v>999</v>
      </c>
      <c r="AB224" s="40" t="e">
        <f ca="1">IF(ISNUMBER($A224),VLOOKUP('Berechnungen 2'!AI227,Matrix_Empfehlung.Stromkosten.ID.BOText,3,1),"")</f>
        <v>#VALUE!</v>
      </c>
      <c r="AC224" s="40">
        <f t="shared" ca="1" si="67"/>
        <v>999</v>
      </c>
      <c r="AD224" s="40">
        <f t="shared" ca="1" si="67"/>
        <v>212</v>
      </c>
      <c r="AE224" s="311">
        <f t="shared" ca="1" si="68"/>
        <v>0</v>
      </c>
    </row>
    <row r="225" spans="1:31" x14ac:dyDescent="0.2">
      <c r="A225" s="201">
        <f t="shared" ca="1" si="60"/>
        <v>213</v>
      </c>
      <c r="B225" s="193">
        <f t="shared" si="64"/>
        <v>213</v>
      </c>
      <c r="C225" s="192">
        <f ca="1">IF(ISERROR(LARGE('Berechnungen 2'!$E$16:$E$315,B225)),"",LARGE('Berechnungen 2'!$E$16:$E$315,B225))</f>
        <v>88</v>
      </c>
      <c r="D225" s="201" t="str">
        <f t="shared" ca="1" si="69"/>
        <v/>
      </c>
      <c r="E225" s="201" t="str">
        <f t="shared" ca="1" si="69"/>
        <v/>
      </c>
      <c r="F225" s="201" t="str">
        <f t="shared" ca="1" si="69"/>
        <v/>
      </c>
      <c r="G225" s="205" t="str">
        <f t="shared" ca="1" si="69"/>
        <v/>
      </c>
      <c r="H225" s="202" t="str">
        <f t="shared" ca="1" si="69"/>
        <v/>
      </c>
      <c r="I225" s="201" t="str">
        <f t="shared" ca="1" si="69"/>
        <v/>
      </c>
      <c r="J225" s="93" t="str">
        <f t="shared" ca="1" si="69"/>
        <v/>
      </c>
      <c r="K225" s="93" t="str">
        <f t="shared" ca="1" si="69"/>
        <v/>
      </c>
      <c r="L225" s="93" t="str">
        <f t="shared" ca="1" si="69"/>
        <v/>
      </c>
      <c r="M225" s="93" t="str">
        <f t="shared" ca="1" si="69"/>
        <v/>
      </c>
      <c r="N225" s="93" t="str">
        <f t="shared" ca="1" si="69"/>
        <v/>
      </c>
      <c r="O225" s="93" t="str">
        <f t="shared" ca="1" si="69"/>
        <v/>
      </c>
      <c r="P225" s="312" t="str">
        <f t="shared" ca="1" si="66"/>
        <v/>
      </c>
      <c r="Q225" s="93" t="str">
        <f t="shared" ca="1" si="66"/>
        <v/>
      </c>
      <c r="R225" s="93" t="str">
        <f t="shared" ca="1" si="66"/>
        <v/>
      </c>
      <c r="S225" s="201" t="str">
        <f t="shared" ca="1" si="61"/>
        <v/>
      </c>
      <c r="T225" s="201"/>
      <c r="Z225" s="40" t="e">
        <f t="shared" ca="1" si="62"/>
        <v>#N/A</v>
      </c>
      <c r="AA225" s="310">
        <f t="shared" ca="1" si="63"/>
        <v>999</v>
      </c>
      <c r="AB225" s="40" t="e">
        <f ca="1">IF(ISNUMBER($A225),VLOOKUP('Berechnungen 2'!AI228,Matrix_Empfehlung.Stromkosten.ID.BOText,3,1),"")</f>
        <v>#VALUE!</v>
      </c>
      <c r="AC225" s="40">
        <f t="shared" ca="1" si="67"/>
        <v>999</v>
      </c>
      <c r="AD225" s="40">
        <f t="shared" ca="1" si="67"/>
        <v>213</v>
      </c>
      <c r="AE225" s="311">
        <f t="shared" ca="1" si="68"/>
        <v>0</v>
      </c>
    </row>
    <row r="226" spans="1:31" x14ac:dyDescent="0.2">
      <c r="A226" s="201">
        <f t="shared" ca="1" si="60"/>
        <v>214</v>
      </c>
      <c r="B226" s="193">
        <f t="shared" si="64"/>
        <v>214</v>
      </c>
      <c r="C226" s="192">
        <f ca="1">IF(ISERROR(LARGE('Berechnungen 2'!$E$16:$E$315,B226)),"",LARGE('Berechnungen 2'!$E$16:$E$315,B226))</f>
        <v>87</v>
      </c>
      <c r="D226" s="201" t="str">
        <f t="shared" ca="1" si="69"/>
        <v/>
      </c>
      <c r="E226" s="201" t="str">
        <f t="shared" ca="1" si="69"/>
        <v/>
      </c>
      <c r="F226" s="201" t="str">
        <f t="shared" ca="1" si="69"/>
        <v/>
      </c>
      <c r="G226" s="205" t="str">
        <f t="shared" ca="1" si="69"/>
        <v/>
      </c>
      <c r="H226" s="202" t="str">
        <f t="shared" ca="1" si="69"/>
        <v/>
      </c>
      <c r="I226" s="201" t="str">
        <f t="shared" ca="1" si="69"/>
        <v/>
      </c>
      <c r="J226" s="93" t="str">
        <f t="shared" ca="1" si="69"/>
        <v/>
      </c>
      <c r="K226" s="93" t="str">
        <f t="shared" ca="1" si="69"/>
        <v/>
      </c>
      <c r="L226" s="93" t="str">
        <f t="shared" ca="1" si="69"/>
        <v/>
      </c>
      <c r="M226" s="93" t="str">
        <f t="shared" ca="1" si="69"/>
        <v/>
      </c>
      <c r="N226" s="93" t="str">
        <f t="shared" ca="1" si="69"/>
        <v/>
      </c>
      <c r="O226" s="93" t="str">
        <f t="shared" ca="1" si="69"/>
        <v/>
      </c>
      <c r="P226" s="312" t="str">
        <f t="shared" ca="1" si="66"/>
        <v/>
      </c>
      <c r="Q226" s="93" t="str">
        <f t="shared" ca="1" si="66"/>
        <v/>
      </c>
      <c r="R226" s="93" t="str">
        <f t="shared" ca="1" si="66"/>
        <v/>
      </c>
      <c r="S226" s="201" t="str">
        <f t="shared" ca="1" si="61"/>
        <v/>
      </c>
      <c r="T226" s="201"/>
      <c r="Z226" s="40" t="e">
        <f t="shared" ca="1" si="62"/>
        <v>#N/A</v>
      </c>
      <c r="AA226" s="310">
        <f t="shared" ca="1" si="63"/>
        <v>999</v>
      </c>
      <c r="AB226" s="40" t="e">
        <f ca="1">IF(ISNUMBER($A226),VLOOKUP('Berechnungen 2'!AI229,Matrix_Empfehlung.Stromkosten.ID.BOText,3,1),"")</f>
        <v>#VALUE!</v>
      </c>
      <c r="AC226" s="40">
        <f t="shared" ca="1" si="67"/>
        <v>999</v>
      </c>
      <c r="AD226" s="40">
        <f t="shared" ca="1" si="67"/>
        <v>214</v>
      </c>
      <c r="AE226" s="311">
        <f t="shared" ca="1" si="68"/>
        <v>0</v>
      </c>
    </row>
    <row r="227" spans="1:31" x14ac:dyDescent="0.2">
      <c r="A227" s="201">
        <f t="shared" ca="1" si="60"/>
        <v>215</v>
      </c>
      <c r="B227" s="193">
        <f t="shared" si="64"/>
        <v>215</v>
      </c>
      <c r="C227" s="192">
        <f ca="1">IF(ISERROR(LARGE('Berechnungen 2'!$E$16:$E$315,B227)),"",LARGE('Berechnungen 2'!$E$16:$E$315,B227))</f>
        <v>86</v>
      </c>
      <c r="D227" s="201" t="str">
        <f t="shared" ca="1" si="69"/>
        <v/>
      </c>
      <c r="E227" s="201" t="str">
        <f t="shared" ca="1" si="69"/>
        <v/>
      </c>
      <c r="F227" s="201" t="str">
        <f t="shared" ca="1" si="69"/>
        <v/>
      </c>
      <c r="G227" s="205" t="str">
        <f t="shared" ca="1" si="69"/>
        <v/>
      </c>
      <c r="H227" s="202" t="str">
        <f t="shared" ca="1" si="69"/>
        <v/>
      </c>
      <c r="I227" s="201" t="str">
        <f t="shared" ca="1" si="69"/>
        <v/>
      </c>
      <c r="J227" s="93" t="str">
        <f t="shared" ca="1" si="69"/>
        <v/>
      </c>
      <c r="K227" s="93" t="str">
        <f t="shared" ca="1" si="69"/>
        <v/>
      </c>
      <c r="L227" s="93" t="str">
        <f t="shared" ca="1" si="69"/>
        <v/>
      </c>
      <c r="M227" s="93" t="str">
        <f t="shared" ca="1" si="69"/>
        <v/>
      </c>
      <c r="N227" s="93" t="str">
        <f t="shared" ca="1" si="69"/>
        <v/>
      </c>
      <c r="O227" s="93" t="str">
        <f t="shared" ca="1" si="69"/>
        <v/>
      </c>
      <c r="P227" s="312" t="str">
        <f t="shared" ca="1" si="66"/>
        <v/>
      </c>
      <c r="Q227" s="93" t="str">
        <f t="shared" ca="1" si="66"/>
        <v/>
      </c>
      <c r="R227" s="93" t="str">
        <f t="shared" ca="1" si="66"/>
        <v/>
      </c>
      <c r="S227" s="201" t="str">
        <f t="shared" ca="1" si="61"/>
        <v/>
      </c>
      <c r="T227" s="201"/>
      <c r="Z227" s="40" t="e">
        <f t="shared" ca="1" si="62"/>
        <v>#N/A</v>
      </c>
      <c r="AA227" s="310">
        <f t="shared" ca="1" si="63"/>
        <v>999</v>
      </c>
      <c r="AB227" s="40" t="e">
        <f ca="1">IF(ISNUMBER($A227),VLOOKUP('Berechnungen 2'!AI230,Matrix_Empfehlung.Stromkosten.ID.BOText,3,1),"")</f>
        <v>#VALUE!</v>
      </c>
      <c r="AC227" s="40">
        <f t="shared" ca="1" si="67"/>
        <v>999</v>
      </c>
      <c r="AD227" s="40">
        <f t="shared" ca="1" si="67"/>
        <v>215</v>
      </c>
      <c r="AE227" s="311">
        <f t="shared" ca="1" si="68"/>
        <v>0</v>
      </c>
    </row>
    <row r="228" spans="1:31" x14ac:dyDescent="0.2">
      <c r="A228" s="201">
        <f t="shared" ca="1" si="60"/>
        <v>216</v>
      </c>
      <c r="B228" s="193">
        <f t="shared" si="64"/>
        <v>216</v>
      </c>
      <c r="C228" s="192">
        <f ca="1">IF(ISERROR(LARGE('Berechnungen 2'!$E$16:$E$315,B228)),"",LARGE('Berechnungen 2'!$E$16:$E$315,B228))</f>
        <v>85</v>
      </c>
      <c r="D228" s="201" t="str">
        <f t="shared" ca="1" si="69"/>
        <v/>
      </c>
      <c r="E228" s="201" t="str">
        <f t="shared" ca="1" si="69"/>
        <v/>
      </c>
      <c r="F228" s="201" t="str">
        <f t="shared" ca="1" si="69"/>
        <v/>
      </c>
      <c r="G228" s="205" t="str">
        <f t="shared" ca="1" si="69"/>
        <v/>
      </c>
      <c r="H228" s="202" t="str">
        <f t="shared" ca="1" si="69"/>
        <v/>
      </c>
      <c r="I228" s="201" t="str">
        <f t="shared" ca="1" si="69"/>
        <v/>
      </c>
      <c r="J228" s="93" t="str">
        <f t="shared" ca="1" si="69"/>
        <v/>
      </c>
      <c r="K228" s="93" t="str">
        <f t="shared" ca="1" si="69"/>
        <v/>
      </c>
      <c r="L228" s="93" t="str">
        <f t="shared" ca="1" si="69"/>
        <v/>
      </c>
      <c r="M228" s="93" t="str">
        <f t="shared" ca="1" si="69"/>
        <v/>
      </c>
      <c r="N228" s="93" t="str">
        <f t="shared" ca="1" si="69"/>
        <v/>
      </c>
      <c r="O228" s="93" t="str">
        <f t="shared" ca="1" si="69"/>
        <v/>
      </c>
      <c r="P228" s="312" t="str">
        <f t="shared" ca="1" si="66"/>
        <v/>
      </c>
      <c r="Q228" s="93" t="str">
        <f t="shared" ca="1" si="66"/>
        <v/>
      </c>
      <c r="R228" s="93" t="str">
        <f t="shared" ca="1" si="66"/>
        <v/>
      </c>
      <c r="S228" s="201" t="str">
        <f t="shared" ca="1" si="61"/>
        <v/>
      </c>
      <c r="T228" s="201"/>
      <c r="Z228" s="40" t="e">
        <f t="shared" ca="1" si="62"/>
        <v>#N/A</v>
      </c>
      <c r="AA228" s="310">
        <f t="shared" ca="1" si="63"/>
        <v>999</v>
      </c>
      <c r="AB228" s="40" t="e">
        <f ca="1">IF(ISNUMBER($A228),VLOOKUP('Berechnungen 2'!AI231,Matrix_Empfehlung.Stromkosten.ID.BOText,3,1),"")</f>
        <v>#VALUE!</v>
      </c>
      <c r="AC228" s="40">
        <f t="shared" ca="1" si="67"/>
        <v>999</v>
      </c>
      <c r="AD228" s="40">
        <f t="shared" ca="1" si="67"/>
        <v>216</v>
      </c>
      <c r="AE228" s="311">
        <f t="shared" ca="1" si="68"/>
        <v>0</v>
      </c>
    </row>
    <row r="229" spans="1:31" x14ac:dyDescent="0.2">
      <c r="A229" s="201">
        <f t="shared" ca="1" si="60"/>
        <v>217</v>
      </c>
      <c r="B229" s="193">
        <f t="shared" si="64"/>
        <v>217</v>
      </c>
      <c r="C229" s="192">
        <f ca="1">IF(ISERROR(LARGE('Berechnungen 2'!$E$16:$E$315,B229)),"",LARGE('Berechnungen 2'!$E$16:$E$315,B229))</f>
        <v>84</v>
      </c>
      <c r="D229" s="201" t="str">
        <f t="shared" ca="1" si="69"/>
        <v/>
      </c>
      <c r="E229" s="201" t="str">
        <f t="shared" ca="1" si="69"/>
        <v/>
      </c>
      <c r="F229" s="201" t="str">
        <f t="shared" ca="1" si="69"/>
        <v/>
      </c>
      <c r="G229" s="205" t="str">
        <f t="shared" ca="1" si="69"/>
        <v/>
      </c>
      <c r="H229" s="202" t="str">
        <f t="shared" ca="1" si="69"/>
        <v/>
      </c>
      <c r="I229" s="201" t="str">
        <f t="shared" ca="1" si="69"/>
        <v/>
      </c>
      <c r="J229" s="93" t="str">
        <f t="shared" ca="1" si="69"/>
        <v/>
      </c>
      <c r="K229" s="93" t="str">
        <f t="shared" ca="1" si="69"/>
        <v/>
      </c>
      <c r="L229" s="93" t="str">
        <f t="shared" ca="1" si="69"/>
        <v/>
      </c>
      <c r="M229" s="93" t="str">
        <f t="shared" ca="1" si="69"/>
        <v/>
      </c>
      <c r="N229" s="93" t="str">
        <f t="shared" ca="1" si="69"/>
        <v/>
      </c>
      <c r="O229" s="93" t="str">
        <f t="shared" ca="1" si="69"/>
        <v/>
      </c>
      <c r="P229" s="312" t="str">
        <f t="shared" ca="1" si="66"/>
        <v/>
      </c>
      <c r="Q229" s="93" t="str">
        <f t="shared" ca="1" si="66"/>
        <v/>
      </c>
      <c r="R229" s="93" t="str">
        <f t="shared" ca="1" si="66"/>
        <v/>
      </c>
      <c r="S229" s="201" t="str">
        <f t="shared" ca="1" si="61"/>
        <v/>
      </c>
      <c r="T229" s="201"/>
      <c r="Z229" s="40" t="e">
        <f t="shared" ca="1" si="62"/>
        <v>#N/A</v>
      </c>
      <c r="AA229" s="310">
        <f t="shared" ca="1" si="63"/>
        <v>999</v>
      </c>
      <c r="AB229" s="40" t="e">
        <f ca="1">IF(ISNUMBER($A229),VLOOKUP('Berechnungen 2'!AI232,Matrix_Empfehlung.Stromkosten.ID.BOText,3,1),"")</f>
        <v>#VALUE!</v>
      </c>
      <c r="AC229" s="40">
        <f t="shared" ca="1" si="67"/>
        <v>999</v>
      </c>
      <c r="AD229" s="40">
        <f t="shared" ca="1" si="67"/>
        <v>217</v>
      </c>
      <c r="AE229" s="311">
        <f t="shared" ca="1" si="68"/>
        <v>0</v>
      </c>
    </row>
    <row r="230" spans="1:31" x14ac:dyDescent="0.2">
      <c r="A230" s="201">
        <f t="shared" ca="1" si="60"/>
        <v>218</v>
      </c>
      <c r="B230" s="193">
        <f t="shared" si="64"/>
        <v>218</v>
      </c>
      <c r="C230" s="192">
        <f ca="1">IF(ISERROR(LARGE('Berechnungen 2'!$E$16:$E$315,B230)),"",LARGE('Berechnungen 2'!$E$16:$E$315,B230))</f>
        <v>83</v>
      </c>
      <c r="D230" s="201" t="str">
        <f t="shared" ca="1" si="69"/>
        <v/>
      </c>
      <c r="E230" s="201" t="str">
        <f t="shared" ca="1" si="69"/>
        <v/>
      </c>
      <c r="F230" s="201" t="str">
        <f t="shared" ca="1" si="69"/>
        <v/>
      </c>
      <c r="G230" s="205" t="str">
        <f t="shared" ca="1" si="69"/>
        <v/>
      </c>
      <c r="H230" s="202" t="str">
        <f t="shared" ca="1" si="69"/>
        <v/>
      </c>
      <c r="I230" s="201" t="str">
        <f t="shared" ca="1" si="69"/>
        <v/>
      </c>
      <c r="J230" s="93" t="str">
        <f t="shared" ca="1" si="69"/>
        <v/>
      </c>
      <c r="K230" s="93" t="str">
        <f t="shared" ca="1" si="69"/>
        <v/>
      </c>
      <c r="L230" s="93" t="str">
        <f t="shared" ca="1" si="69"/>
        <v/>
      </c>
      <c r="M230" s="93" t="str">
        <f t="shared" ca="1" si="69"/>
        <v/>
      </c>
      <c r="N230" s="93" t="str">
        <f t="shared" ca="1" si="69"/>
        <v/>
      </c>
      <c r="O230" s="93" t="str">
        <f t="shared" ca="1" si="69"/>
        <v/>
      </c>
      <c r="P230" s="312" t="str">
        <f t="shared" ca="1" si="66"/>
        <v/>
      </c>
      <c r="Q230" s="93" t="str">
        <f t="shared" ca="1" si="66"/>
        <v/>
      </c>
      <c r="R230" s="93" t="str">
        <f t="shared" ca="1" si="66"/>
        <v/>
      </c>
      <c r="S230" s="201" t="str">
        <f t="shared" ca="1" si="61"/>
        <v/>
      </c>
      <c r="T230" s="201"/>
      <c r="Z230" s="40" t="e">
        <f t="shared" ca="1" si="62"/>
        <v>#N/A</v>
      </c>
      <c r="AA230" s="310">
        <f t="shared" ca="1" si="63"/>
        <v>999</v>
      </c>
      <c r="AB230" s="40" t="e">
        <f ca="1">IF(ISNUMBER($A230),VLOOKUP('Berechnungen 2'!AI233,Matrix_Empfehlung.Stromkosten.ID.BOText,3,1),"")</f>
        <v>#VALUE!</v>
      </c>
      <c r="AC230" s="40">
        <f t="shared" ca="1" si="67"/>
        <v>999</v>
      </c>
      <c r="AD230" s="40">
        <f t="shared" ca="1" si="67"/>
        <v>218</v>
      </c>
      <c r="AE230" s="311">
        <f t="shared" ca="1" si="68"/>
        <v>0</v>
      </c>
    </row>
    <row r="231" spans="1:31" x14ac:dyDescent="0.2">
      <c r="A231" s="201">
        <f t="shared" ca="1" si="60"/>
        <v>219</v>
      </c>
      <c r="B231" s="193">
        <f t="shared" si="64"/>
        <v>219</v>
      </c>
      <c r="C231" s="192">
        <f ca="1">IF(ISERROR(LARGE('Berechnungen 2'!$E$16:$E$315,B231)),"",LARGE('Berechnungen 2'!$E$16:$E$315,B231))</f>
        <v>82</v>
      </c>
      <c r="D231" s="201" t="str">
        <f t="shared" ca="1" si="69"/>
        <v/>
      </c>
      <c r="E231" s="201" t="str">
        <f t="shared" ca="1" si="69"/>
        <v/>
      </c>
      <c r="F231" s="201" t="str">
        <f t="shared" ca="1" si="69"/>
        <v/>
      </c>
      <c r="G231" s="205" t="str">
        <f t="shared" ca="1" si="69"/>
        <v/>
      </c>
      <c r="H231" s="202" t="str">
        <f t="shared" ca="1" si="69"/>
        <v/>
      </c>
      <c r="I231" s="201" t="str">
        <f t="shared" ca="1" si="69"/>
        <v/>
      </c>
      <c r="J231" s="93" t="str">
        <f t="shared" ca="1" si="69"/>
        <v/>
      </c>
      <c r="K231" s="93" t="str">
        <f t="shared" ca="1" si="69"/>
        <v/>
      </c>
      <c r="L231" s="93" t="str">
        <f t="shared" ca="1" si="69"/>
        <v/>
      </c>
      <c r="M231" s="93" t="str">
        <f t="shared" ca="1" si="69"/>
        <v/>
      </c>
      <c r="N231" s="93" t="str">
        <f t="shared" ca="1" si="69"/>
        <v/>
      </c>
      <c r="O231" s="93" t="str">
        <f t="shared" ca="1" si="69"/>
        <v/>
      </c>
      <c r="P231" s="312" t="str">
        <f t="shared" ca="1" si="66"/>
        <v/>
      </c>
      <c r="Q231" s="93" t="str">
        <f t="shared" ca="1" si="66"/>
        <v/>
      </c>
      <c r="R231" s="93" t="str">
        <f t="shared" ca="1" si="66"/>
        <v/>
      </c>
      <c r="S231" s="201" t="str">
        <f t="shared" ca="1" si="61"/>
        <v/>
      </c>
      <c r="T231" s="201"/>
      <c r="Z231" s="40" t="e">
        <f t="shared" ca="1" si="62"/>
        <v>#N/A</v>
      </c>
      <c r="AA231" s="310">
        <f t="shared" ca="1" si="63"/>
        <v>999</v>
      </c>
      <c r="AB231" s="40" t="e">
        <f ca="1">IF(ISNUMBER($A231),VLOOKUP('Berechnungen 2'!AI234,Matrix_Empfehlung.Stromkosten.ID.BOText,3,1),"")</f>
        <v>#VALUE!</v>
      </c>
      <c r="AC231" s="40">
        <f t="shared" ca="1" si="67"/>
        <v>999</v>
      </c>
      <c r="AD231" s="40">
        <f t="shared" ca="1" si="67"/>
        <v>219</v>
      </c>
      <c r="AE231" s="311">
        <f t="shared" ca="1" si="68"/>
        <v>0</v>
      </c>
    </row>
    <row r="232" spans="1:31" x14ac:dyDescent="0.2">
      <c r="A232" s="201">
        <f t="shared" ca="1" si="60"/>
        <v>220</v>
      </c>
      <c r="B232" s="193">
        <f t="shared" si="64"/>
        <v>220</v>
      </c>
      <c r="C232" s="192">
        <f ca="1">IF(ISERROR(LARGE('Berechnungen 2'!$E$16:$E$315,B232)),"",LARGE('Berechnungen 2'!$E$16:$E$315,B232))</f>
        <v>81</v>
      </c>
      <c r="D232" s="201" t="str">
        <f t="shared" ca="1" si="69"/>
        <v/>
      </c>
      <c r="E232" s="201" t="str">
        <f t="shared" ca="1" si="69"/>
        <v/>
      </c>
      <c r="F232" s="201" t="str">
        <f t="shared" ca="1" si="69"/>
        <v/>
      </c>
      <c r="G232" s="205" t="str">
        <f t="shared" ca="1" si="69"/>
        <v/>
      </c>
      <c r="H232" s="202" t="str">
        <f t="shared" ca="1" si="69"/>
        <v/>
      </c>
      <c r="I232" s="201" t="str">
        <f t="shared" ca="1" si="69"/>
        <v/>
      </c>
      <c r="J232" s="93" t="str">
        <f t="shared" ca="1" si="69"/>
        <v/>
      </c>
      <c r="K232" s="93" t="str">
        <f t="shared" ca="1" si="69"/>
        <v/>
      </c>
      <c r="L232" s="93" t="str">
        <f t="shared" ca="1" si="69"/>
        <v/>
      </c>
      <c r="M232" s="93" t="str">
        <f t="shared" ca="1" si="69"/>
        <v/>
      </c>
      <c r="N232" s="93" t="str">
        <f t="shared" ca="1" si="69"/>
        <v/>
      </c>
      <c r="O232" s="93" t="str">
        <f t="shared" ca="1" si="69"/>
        <v/>
      </c>
      <c r="P232" s="312" t="str">
        <f t="shared" ca="1" si="66"/>
        <v/>
      </c>
      <c r="Q232" s="93" t="str">
        <f t="shared" ca="1" si="66"/>
        <v/>
      </c>
      <c r="R232" s="93" t="str">
        <f t="shared" ca="1" si="66"/>
        <v/>
      </c>
      <c r="S232" s="201" t="str">
        <f t="shared" ca="1" si="61"/>
        <v/>
      </c>
      <c r="T232" s="201"/>
      <c r="Z232" s="40" t="e">
        <f t="shared" ca="1" si="62"/>
        <v>#N/A</v>
      </c>
      <c r="AA232" s="310">
        <f t="shared" ca="1" si="63"/>
        <v>999</v>
      </c>
      <c r="AB232" s="40" t="e">
        <f ca="1">IF(ISNUMBER($A232),VLOOKUP('Berechnungen 2'!AI235,Matrix_Empfehlung.Stromkosten.ID.BOText,3,1),"")</f>
        <v>#VALUE!</v>
      </c>
      <c r="AC232" s="40">
        <f t="shared" ca="1" si="67"/>
        <v>999</v>
      </c>
      <c r="AD232" s="40">
        <f t="shared" ca="1" si="67"/>
        <v>220</v>
      </c>
      <c r="AE232" s="311">
        <f t="shared" ca="1" si="68"/>
        <v>0</v>
      </c>
    </row>
    <row r="233" spans="1:31" x14ac:dyDescent="0.2">
      <c r="A233" s="201">
        <f t="shared" ca="1" si="60"/>
        <v>221</v>
      </c>
      <c r="B233" s="193">
        <f t="shared" si="64"/>
        <v>221</v>
      </c>
      <c r="C233" s="192">
        <f ca="1">IF(ISERROR(LARGE('Berechnungen 2'!$E$16:$E$315,B233)),"",LARGE('Berechnungen 2'!$E$16:$E$315,B233))</f>
        <v>80</v>
      </c>
      <c r="D233" s="201" t="str">
        <f t="shared" ref="D233:O242" ca="1" si="70">IF($AC233&gt;0,VLOOKUP($C233,Matrix_Berechnungen2.Rang.Pumpendaten.Endresultate,D$9,0),"")</f>
        <v/>
      </c>
      <c r="E233" s="201" t="str">
        <f t="shared" ca="1" si="70"/>
        <v/>
      </c>
      <c r="F233" s="201" t="str">
        <f t="shared" ca="1" si="70"/>
        <v/>
      </c>
      <c r="G233" s="205" t="str">
        <f t="shared" ca="1" si="70"/>
        <v/>
      </c>
      <c r="H233" s="202" t="str">
        <f t="shared" ca="1" si="70"/>
        <v/>
      </c>
      <c r="I233" s="201" t="str">
        <f t="shared" ca="1" si="70"/>
        <v/>
      </c>
      <c r="J233" s="93" t="str">
        <f t="shared" ca="1" si="70"/>
        <v/>
      </c>
      <c r="K233" s="93" t="str">
        <f t="shared" ca="1" si="70"/>
        <v/>
      </c>
      <c r="L233" s="93" t="str">
        <f t="shared" ca="1" si="70"/>
        <v/>
      </c>
      <c r="M233" s="93" t="str">
        <f t="shared" ca="1" si="70"/>
        <v/>
      </c>
      <c r="N233" s="93" t="str">
        <f t="shared" ca="1" si="70"/>
        <v/>
      </c>
      <c r="O233" s="93" t="str">
        <f t="shared" ca="1" si="70"/>
        <v/>
      </c>
      <c r="P233" s="312" t="str">
        <f t="shared" ref="P233:R252" ca="1" si="71">IF(AND($AC233&gt;0,$AC233&lt;&gt;999),VLOOKUP($C233,Matrix_Berechnungen2.Rang.Pumpendaten.Endresultate,P$9,0),"")</f>
        <v/>
      </c>
      <c r="Q233" s="93" t="str">
        <f t="shared" ca="1" si="71"/>
        <v/>
      </c>
      <c r="R233" s="93" t="str">
        <f t="shared" ca="1" si="71"/>
        <v/>
      </c>
      <c r="S233" s="201" t="str">
        <f t="shared" ca="1" si="61"/>
        <v/>
      </c>
      <c r="T233" s="201"/>
      <c r="Z233" s="40" t="e">
        <f t="shared" ca="1" si="62"/>
        <v>#N/A</v>
      </c>
      <c r="AA233" s="310">
        <f t="shared" ca="1" si="63"/>
        <v>999</v>
      </c>
      <c r="AB233" s="40" t="e">
        <f ca="1">IF(ISNUMBER($A233),VLOOKUP('Berechnungen 2'!AI236,Matrix_Empfehlung.Stromkosten.ID.BOText,3,1),"")</f>
        <v>#VALUE!</v>
      </c>
      <c r="AC233" s="40">
        <f t="shared" ref="AC233:AD252" ca="1" si="72">IF(VLOOKUP($C233,Matrix_Berechnungen2.Rang.Pumpendaten.Endresultate,$C$9,0)&gt;0,VLOOKUP($C233,Matrix_Berechnungen2.Rang.Pumpendaten.Endresultate,AC$9,0),"")</f>
        <v>999</v>
      </c>
      <c r="AD233" s="40">
        <f t="shared" ca="1" si="72"/>
        <v>221</v>
      </c>
      <c r="AE233" s="311">
        <f t="shared" ca="1" si="68"/>
        <v>0</v>
      </c>
    </row>
    <row r="234" spans="1:31" x14ac:dyDescent="0.2">
      <c r="A234" s="201">
        <f t="shared" ca="1" si="60"/>
        <v>222</v>
      </c>
      <c r="B234" s="193">
        <f t="shared" si="64"/>
        <v>222</v>
      </c>
      <c r="C234" s="192">
        <f ca="1">IF(ISERROR(LARGE('Berechnungen 2'!$E$16:$E$315,B234)),"",LARGE('Berechnungen 2'!$E$16:$E$315,B234))</f>
        <v>79</v>
      </c>
      <c r="D234" s="201" t="str">
        <f t="shared" ca="1" si="70"/>
        <v/>
      </c>
      <c r="E234" s="201" t="str">
        <f t="shared" ca="1" si="70"/>
        <v/>
      </c>
      <c r="F234" s="201" t="str">
        <f t="shared" ca="1" si="70"/>
        <v/>
      </c>
      <c r="G234" s="205" t="str">
        <f t="shared" ca="1" si="70"/>
        <v/>
      </c>
      <c r="H234" s="202" t="str">
        <f t="shared" ca="1" si="70"/>
        <v/>
      </c>
      <c r="I234" s="201" t="str">
        <f t="shared" ca="1" si="70"/>
        <v/>
      </c>
      <c r="J234" s="93" t="str">
        <f t="shared" ca="1" si="70"/>
        <v/>
      </c>
      <c r="K234" s="93" t="str">
        <f t="shared" ca="1" si="70"/>
        <v/>
      </c>
      <c r="L234" s="93" t="str">
        <f t="shared" ca="1" si="70"/>
        <v/>
      </c>
      <c r="M234" s="93" t="str">
        <f t="shared" ca="1" si="70"/>
        <v/>
      </c>
      <c r="N234" s="93" t="str">
        <f t="shared" ca="1" si="70"/>
        <v/>
      </c>
      <c r="O234" s="93" t="str">
        <f t="shared" ca="1" si="70"/>
        <v/>
      </c>
      <c r="P234" s="312" t="str">
        <f t="shared" ca="1" si="71"/>
        <v/>
      </c>
      <c r="Q234" s="93" t="str">
        <f t="shared" ca="1" si="71"/>
        <v/>
      </c>
      <c r="R234" s="93" t="str">
        <f t="shared" ca="1" si="71"/>
        <v/>
      </c>
      <c r="S234" s="201" t="str">
        <f t="shared" ca="1" si="61"/>
        <v/>
      </c>
      <c r="T234" s="201"/>
      <c r="Z234" s="40" t="e">
        <f t="shared" ca="1" si="62"/>
        <v>#N/A</v>
      </c>
      <c r="AA234" s="310">
        <f t="shared" ca="1" si="63"/>
        <v>999</v>
      </c>
      <c r="AB234" s="40" t="e">
        <f ca="1">IF(ISNUMBER($A234),VLOOKUP('Berechnungen 2'!AI237,Matrix_Empfehlung.Stromkosten.ID.BOText,3,1),"")</f>
        <v>#VALUE!</v>
      </c>
      <c r="AC234" s="40">
        <f t="shared" ca="1" si="72"/>
        <v>999</v>
      </c>
      <c r="AD234" s="40">
        <f t="shared" ca="1" si="72"/>
        <v>222</v>
      </c>
      <c r="AE234" s="311">
        <f t="shared" ca="1" si="68"/>
        <v>0</v>
      </c>
    </row>
    <row r="235" spans="1:31" x14ac:dyDescent="0.2">
      <c r="A235" s="201">
        <f t="shared" ca="1" si="60"/>
        <v>223</v>
      </c>
      <c r="B235" s="193">
        <f t="shared" si="64"/>
        <v>223</v>
      </c>
      <c r="C235" s="192">
        <f ca="1">IF(ISERROR(LARGE('Berechnungen 2'!$E$16:$E$315,B235)),"",LARGE('Berechnungen 2'!$E$16:$E$315,B235))</f>
        <v>78</v>
      </c>
      <c r="D235" s="201" t="str">
        <f t="shared" ca="1" si="70"/>
        <v/>
      </c>
      <c r="E235" s="201" t="str">
        <f t="shared" ca="1" si="70"/>
        <v/>
      </c>
      <c r="F235" s="201" t="str">
        <f t="shared" ca="1" si="70"/>
        <v/>
      </c>
      <c r="G235" s="205" t="str">
        <f t="shared" ca="1" si="70"/>
        <v/>
      </c>
      <c r="H235" s="202" t="str">
        <f t="shared" ca="1" si="70"/>
        <v/>
      </c>
      <c r="I235" s="201" t="str">
        <f t="shared" ca="1" si="70"/>
        <v/>
      </c>
      <c r="J235" s="93" t="str">
        <f t="shared" ca="1" si="70"/>
        <v/>
      </c>
      <c r="K235" s="93" t="str">
        <f t="shared" ca="1" si="70"/>
        <v/>
      </c>
      <c r="L235" s="93" t="str">
        <f t="shared" ca="1" si="70"/>
        <v/>
      </c>
      <c r="M235" s="93" t="str">
        <f t="shared" ca="1" si="70"/>
        <v/>
      </c>
      <c r="N235" s="93" t="str">
        <f t="shared" ca="1" si="70"/>
        <v/>
      </c>
      <c r="O235" s="93" t="str">
        <f t="shared" ca="1" si="70"/>
        <v/>
      </c>
      <c r="P235" s="312" t="str">
        <f t="shared" ca="1" si="71"/>
        <v/>
      </c>
      <c r="Q235" s="93" t="str">
        <f t="shared" ca="1" si="71"/>
        <v/>
      </c>
      <c r="R235" s="93" t="str">
        <f t="shared" ca="1" si="71"/>
        <v/>
      </c>
      <c r="S235" s="201" t="str">
        <f t="shared" ca="1" si="61"/>
        <v/>
      </c>
      <c r="T235" s="201"/>
      <c r="Z235" s="40" t="e">
        <f t="shared" ca="1" si="62"/>
        <v>#N/A</v>
      </c>
      <c r="AA235" s="310">
        <f t="shared" ca="1" si="63"/>
        <v>999</v>
      </c>
      <c r="AB235" s="40" t="e">
        <f ca="1">IF(ISNUMBER($A235),VLOOKUP('Berechnungen 2'!AI238,Matrix_Empfehlung.Stromkosten.ID.BOText,3,1),"")</f>
        <v>#VALUE!</v>
      </c>
      <c r="AC235" s="40">
        <f t="shared" ca="1" si="72"/>
        <v>999</v>
      </c>
      <c r="AD235" s="40">
        <f t="shared" ca="1" si="72"/>
        <v>223</v>
      </c>
      <c r="AE235" s="311">
        <f t="shared" ca="1" si="68"/>
        <v>0</v>
      </c>
    </row>
    <row r="236" spans="1:31" x14ac:dyDescent="0.2">
      <c r="A236" s="201">
        <f t="shared" ca="1" si="60"/>
        <v>224</v>
      </c>
      <c r="B236" s="193">
        <f t="shared" si="64"/>
        <v>224</v>
      </c>
      <c r="C236" s="192">
        <f ca="1">IF(ISERROR(LARGE('Berechnungen 2'!$E$16:$E$315,B236)),"",LARGE('Berechnungen 2'!$E$16:$E$315,B236))</f>
        <v>77</v>
      </c>
      <c r="D236" s="201" t="str">
        <f t="shared" ca="1" si="70"/>
        <v/>
      </c>
      <c r="E236" s="201" t="str">
        <f t="shared" ca="1" si="70"/>
        <v/>
      </c>
      <c r="F236" s="201" t="str">
        <f t="shared" ca="1" si="70"/>
        <v/>
      </c>
      <c r="G236" s="205" t="str">
        <f t="shared" ca="1" si="70"/>
        <v/>
      </c>
      <c r="H236" s="202" t="str">
        <f t="shared" ca="1" si="70"/>
        <v/>
      </c>
      <c r="I236" s="201" t="str">
        <f t="shared" ca="1" si="70"/>
        <v/>
      </c>
      <c r="J236" s="93" t="str">
        <f t="shared" ca="1" si="70"/>
        <v/>
      </c>
      <c r="K236" s="93" t="str">
        <f t="shared" ca="1" si="70"/>
        <v/>
      </c>
      <c r="L236" s="93" t="str">
        <f t="shared" ca="1" si="70"/>
        <v/>
      </c>
      <c r="M236" s="93" t="str">
        <f t="shared" ca="1" si="70"/>
        <v/>
      </c>
      <c r="N236" s="93" t="str">
        <f t="shared" ca="1" si="70"/>
        <v/>
      </c>
      <c r="O236" s="93" t="str">
        <f t="shared" ca="1" si="70"/>
        <v/>
      </c>
      <c r="P236" s="312" t="str">
        <f t="shared" ca="1" si="71"/>
        <v/>
      </c>
      <c r="Q236" s="93" t="str">
        <f t="shared" ca="1" si="71"/>
        <v/>
      </c>
      <c r="R236" s="93" t="str">
        <f t="shared" ca="1" si="71"/>
        <v/>
      </c>
      <c r="S236" s="201" t="str">
        <f t="shared" ca="1" si="61"/>
        <v/>
      </c>
      <c r="T236" s="201"/>
      <c r="Z236" s="40" t="e">
        <f t="shared" ca="1" si="62"/>
        <v>#N/A</v>
      </c>
      <c r="AA236" s="310">
        <f t="shared" ca="1" si="63"/>
        <v>999</v>
      </c>
      <c r="AB236" s="40" t="e">
        <f ca="1">IF(ISNUMBER($A236),VLOOKUP('Berechnungen 2'!AI239,Matrix_Empfehlung.Stromkosten.ID.BOText,3,1),"")</f>
        <v>#VALUE!</v>
      </c>
      <c r="AC236" s="40">
        <f t="shared" ca="1" si="72"/>
        <v>999</v>
      </c>
      <c r="AD236" s="40">
        <f t="shared" ca="1" si="72"/>
        <v>224</v>
      </c>
      <c r="AE236" s="311">
        <f t="shared" ca="1" si="68"/>
        <v>0</v>
      </c>
    </row>
    <row r="237" spans="1:31" x14ac:dyDescent="0.2">
      <c r="A237" s="201">
        <f t="shared" ca="1" si="60"/>
        <v>225</v>
      </c>
      <c r="B237" s="193">
        <f t="shared" si="64"/>
        <v>225</v>
      </c>
      <c r="C237" s="192">
        <f ca="1">IF(ISERROR(LARGE('Berechnungen 2'!$E$16:$E$315,B237)),"",LARGE('Berechnungen 2'!$E$16:$E$315,B237))</f>
        <v>76</v>
      </c>
      <c r="D237" s="201" t="str">
        <f t="shared" ca="1" si="70"/>
        <v/>
      </c>
      <c r="E237" s="201" t="str">
        <f t="shared" ca="1" si="70"/>
        <v/>
      </c>
      <c r="F237" s="201" t="str">
        <f t="shared" ca="1" si="70"/>
        <v/>
      </c>
      <c r="G237" s="205" t="str">
        <f t="shared" ca="1" si="70"/>
        <v/>
      </c>
      <c r="H237" s="202" t="str">
        <f t="shared" ca="1" si="70"/>
        <v/>
      </c>
      <c r="I237" s="201" t="str">
        <f t="shared" ca="1" si="70"/>
        <v/>
      </c>
      <c r="J237" s="93" t="str">
        <f t="shared" ca="1" si="70"/>
        <v/>
      </c>
      <c r="K237" s="93" t="str">
        <f t="shared" ca="1" si="70"/>
        <v/>
      </c>
      <c r="L237" s="93" t="str">
        <f t="shared" ca="1" si="70"/>
        <v/>
      </c>
      <c r="M237" s="93" t="str">
        <f t="shared" ca="1" si="70"/>
        <v/>
      </c>
      <c r="N237" s="93" t="str">
        <f t="shared" ca="1" si="70"/>
        <v/>
      </c>
      <c r="O237" s="93" t="str">
        <f t="shared" ca="1" si="70"/>
        <v/>
      </c>
      <c r="P237" s="312" t="str">
        <f t="shared" ca="1" si="71"/>
        <v/>
      </c>
      <c r="Q237" s="93" t="str">
        <f t="shared" ca="1" si="71"/>
        <v/>
      </c>
      <c r="R237" s="93" t="str">
        <f t="shared" ca="1" si="71"/>
        <v/>
      </c>
      <c r="S237" s="201" t="str">
        <f t="shared" ca="1" si="61"/>
        <v/>
      </c>
      <c r="T237" s="201"/>
      <c r="Z237" s="40" t="e">
        <f t="shared" ca="1" si="62"/>
        <v>#N/A</v>
      </c>
      <c r="AA237" s="310">
        <f t="shared" ca="1" si="63"/>
        <v>999</v>
      </c>
      <c r="AB237" s="40" t="e">
        <f ca="1">IF(ISNUMBER($A237),VLOOKUP('Berechnungen 2'!AI240,Matrix_Empfehlung.Stromkosten.ID.BOText,3,1),"")</f>
        <v>#VALUE!</v>
      </c>
      <c r="AC237" s="40">
        <f t="shared" ca="1" si="72"/>
        <v>999</v>
      </c>
      <c r="AD237" s="40">
        <f t="shared" ca="1" si="72"/>
        <v>225</v>
      </c>
      <c r="AE237" s="311">
        <f t="shared" ca="1" si="68"/>
        <v>0</v>
      </c>
    </row>
    <row r="238" spans="1:31" x14ac:dyDescent="0.2">
      <c r="A238" s="201">
        <f t="shared" ca="1" si="60"/>
        <v>226</v>
      </c>
      <c r="B238" s="193">
        <f t="shared" si="64"/>
        <v>226</v>
      </c>
      <c r="C238" s="192">
        <f ca="1">IF(ISERROR(LARGE('Berechnungen 2'!$E$16:$E$315,B238)),"",LARGE('Berechnungen 2'!$E$16:$E$315,B238))</f>
        <v>75</v>
      </c>
      <c r="D238" s="201" t="str">
        <f t="shared" ca="1" si="70"/>
        <v/>
      </c>
      <c r="E238" s="201" t="str">
        <f t="shared" ca="1" si="70"/>
        <v/>
      </c>
      <c r="F238" s="201" t="str">
        <f t="shared" ca="1" si="70"/>
        <v/>
      </c>
      <c r="G238" s="205" t="str">
        <f t="shared" ca="1" si="70"/>
        <v/>
      </c>
      <c r="H238" s="202" t="str">
        <f t="shared" ca="1" si="70"/>
        <v/>
      </c>
      <c r="I238" s="201" t="str">
        <f t="shared" ca="1" si="70"/>
        <v/>
      </c>
      <c r="J238" s="93" t="str">
        <f t="shared" ca="1" si="70"/>
        <v/>
      </c>
      <c r="K238" s="93" t="str">
        <f t="shared" ca="1" si="70"/>
        <v/>
      </c>
      <c r="L238" s="93" t="str">
        <f t="shared" ca="1" si="70"/>
        <v/>
      </c>
      <c r="M238" s="93" t="str">
        <f t="shared" ca="1" si="70"/>
        <v/>
      </c>
      <c r="N238" s="93" t="str">
        <f t="shared" ca="1" si="70"/>
        <v/>
      </c>
      <c r="O238" s="93" t="str">
        <f t="shared" ca="1" si="70"/>
        <v/>
      </c>
      <c r="P238" s="312" t="str">
        <f t="shared" ca="1" si="71"/>
        <v/>
      </c>
      <c r="Q238" s="93" t="str">
        <f t="shared" ca="1" si="71"/>
        <v/>
      </c>
      <c r="R238" s="93" t="str">
        <f t="shared" ca="1" si="71"/>
        <v/>
      </c>
      <c r="S238" s="201" t="str">
        <f t="shared" ca="1" si="61"/>
        <v/>
      </c>
      <c r="T238" s="201"/>
      <c r="Z238" s="40" t="e">
        <f t="shared" ca="1" si="62"/>
        <v>#N/A</v>
      </c>
      <c r="AA238" s="310">
        <f t="shared" ca="1" si="63"/>
        <v>999</v>
      </c>
      <c r="AB238" s="40" t="e">
        <f ca="1">IF(ISNUMBER($A238),VLOOKUP('Berechnungen 2'!AI241,Matrix_Empfehlung.Stromkosten.ID.BOText,3,1),"")</f>
        <v>#VALUE!</v>
      </c>
      <c r="AC238" s="40">
        <f t="shared" ca="1" si="72"/>
        <v>999</v>
      </c>
      <c r="AD238" s="40">
        <f t="shared" ca="1" si="72"/>
        <v>226</v>
      </c>
      <c r="AE238" s="311">
        <f t="shared" ca="1" si="68"/>
        <v>0</v>
      </c>
    </row>
    <row r="239" spans="1:31" x14ac:dyDescent="0.2">
      <c r="A239" s="201">
        <f t="shared" ca="1" si="60"/>
        <v>227</v>
      </c>
      <c r="B239" s="193">
        <f t="shared" si="64"/>
        <v>227</v>
      </c>
      <c r="C239" s="192">
        <f ca="1">IF(ISERROR(LARGE('Berechnungen 2'!$E$16:$E$315,B239)),"",LARGE('Berechnungen 2'!$E$16:$E$315,B239))</f>
        <v>74</v>
      </c>
      <c r="D239" s="201" t="str">
        <f t="shared" ca="1" si="70"/>
        <v/>
      </c>
      <c r="E239" s="201" t="str">
        <f t="shared" ca="1" si="70"/>
        <v/>
      </c>
      <c r="F239" s="201" t="str">
        <f t="shared" ca="1" si="70"/>
        <v/>
      </c>
      <c r="G239" s="205" t="str">
        <f t="shared" ca="1" si="70"/>
        <v/>
      </c>
      <c r="H239" s="202" t="str">
        <f t="shared" ca="1" si="70"/>
        <v/>
      </c>
      <c r="I239" s="201" t="str">
        <f t="shared" ca="1" si="70"/>
        <v/>
      </c>
      <c r="J239" s="93" t="str">
        <f t="shared" ca="1" si="70"/>
        <v/>
      </c>
      <c r="K239" s="93" t="str">
        <f t="shared" ca="1" si="70"/>
        <v/>
      </c>
      <c r="L239" s="93" t="str">
        <f t="shared" ca="1" si="70"/>
        <v/>
      </c>
      <c r="M239" s="93" t="str">
        <f t="shared" ca="1" si="70"/>
        <v/>
      </c>
      <c r="N239" s="93" t="str">
        <f t="shared" ca="1" si="70"/>
        <v/>
      </c>
      <c r="O239" s="93" t="str">
        <f t="shared" ca="1" si="70"/>
        <v/>
      </c>
      <c r="P239" s="312" t="str">
        <f t="shared" ca="1" si="71"/>
        <v/>
      </c>
      <c r="Q239" s="93" t="str">
        <f t="shared" ca="1" si="71"/>
        <v/>
      </c>
      <c r="R239" s="93" t="str">
        <f t="shared" ca="1" si="71"/>
        <v/>
      </c>
      <c r="S239" s="201" t="str">
        <f t="shared" ca="1" si="61"/>
        <v/>
      </c>
      <c r="T239" s="201"/>
      <c r="Z239" s="40" t="e">
        <f t="shared" ca="1" si="62"/>
        <v>#N/A</v>
      </c>
      <c r="AA239" s="310">
        <f t="shared" ca="1" si="63"/>
        <v>999</v>
      </c>
      <c r="AB239" s="40" t="e">
        <f ca="1">IF(ISNUMBER($A239),VLOOKUP('Berechnungen 2'!AI242,Matrix_Empfehlung.Stromkosten.ID.BOText,3,1),"")</f>
        <v>#VALUE!</v>
      </c>
      <c r="AC239" s="40">
        <f t="shared" ca="1" si="72"/>
        <v>999</v>
      </c>
      <c r="AD239" s="40">
        <f t="shared" ca="1" si="72"/>
        <v>227</v>
      </c>
      <c r="AE239" s="311">
        <f t="shared" ca="1" si="68"/>
        <v>0</v>
      </c>
    </row>
    <row r="240" spans="1:31" x14ac:dyDescent="0.2">
      <c r="A240" s="201">
        <f t="shared" ca="1" si="60"/>
        <v>228</v>
      </c>
      <c r="B240" s="193">
        <f t="shared" si="64"/>
        <v>228</v>
      </c>
      <c r="C240" s="192">
        <f ca="1">IF(ISERROR(LARGE('Berechnungen 2'!$E$16:$E$315,B240)),"",LARGE('Berechnungen 2'!$E$16:$E$315,B240))</f>
        <v>73</v>
      </c>
      <c r="D240" s="201" t="str">
        <f t="shared" ca="1" si="70"/>
        <v/>
      </c>
      <c r="E240" s="201" t="str">
        <f t="shared" ca="1" si="70"/>
        <v/>
      </c>
      <c r="F240" s="201" t="str">
        <f t="shared" ca="1" si="70"/>
        <v/>
      </c>
      <c r="G240" s="205" t="str">
        <f t="shared" ca="1" si="70"/>
        <v/>
      </c>
      <c r="H240" s="202" t="str">
        <f t="shared" ca="1" si="70"/>
        <v/>
      </c>
      <c r="I240" s="201" t="str">
        <f t="shared" ca="1" si="70"/>
        <v/>
      </c>
      <c r="J240" s="93" t="str">
        <f t="shared" ca="1" si="70"/>
        <v/>
      </c>
      <c r="K240" s="93" t="str">
        <f t="shared" ca="1" si="70"/>
        <v/>
      </c>
      <c r="L240" s="93" t="str">
        <f t="shared" ca="1" si="70"/>
        <v/>
      </c>
      <c r="M240" s="93" t="str">
        <f t="shared" ca="1" si="70"/>
        <v/>
      </c>
      <c r="N240" s="93" t="str">
        <f t="shared" ca="1" si="70"/>
        <v/>
      </c>
      <c r="O240" s="93" t="str">
        <f t="shared" ca="1" si="70"/>
        <v/>
      </c>
      <c r="P240" s="312" t="str">
        <f t="shared" ca="1" si="71"/>
        <v/>
      </c>
      <c r="Q240" s="93" t="str">
        <f t="shared" ca="1" si="71"/>
        <v/>
      </c>
      <c r="R240" s="93" t="str">
        <f t="shared" ca="1" si="71"/>
        <v/>
      </c>
      <c r="S240" s="201" t="str">
        <f t="shared" ca="1" si="61"/>
        <v/>
      </c>
      <c r="T240" s="201"/>
      <c r="Z240" s="40" t="e">
        <f t="shared" ca="1" si="62"/>
        <v>#N/A</v>
      </c>
      <c r="AA240" s="310">
        <f t="shared" ca="1" si="63"/>
        <v>999</v>
      </c>
      <c r="AB240" s="40" t="e">
        <f ca="1">IF(ISNUMBER($A240),VLOOKUP('Berechnungen 2'!AI243,Matrix_Empfehlung.Stromkosten.ID.BOText,3,1),"")</f>
        <v>#VALUE!</v>
      </c>
      <c r="AC240" s="40">
        <f t="shared" ca="1" si="72"/>
        <v>999</v>
      </c>
      <c r="AD240" s="40">
        <f t="shared" ca="1" si="72"/>
        <v>228</v>
      </c>
      <c r="AE240" s="311">
        <f t="shared" ca="1" si="68"/>
        <v>0</v>
      </c>
    </row>
    <row r="241" spans="1:31" x14ac:dyDescent="0.2">
      <c r="A241" s="201">
        <f t="shared" ca="1" si="60"/>
        <v>229</v>
      </c>
      <c r="B241" s="193">
        <f t="shared" si="64"/>
        <v>229</v>
      </c>
      <c r="C241" s="192">
        <f ca="1">IF(ISERROR(LARGE('Berechnungen 2'!$E$16:$E$315,B241)),"",LARGE('Berechnungen 2'!$E$16:$E$315,B241))</f>
        <v>72</v>
      </c>
      <c r="D241" s="201" t="str">
        <f t="shared" ca="1" si="70"/>
        <v/>
      </c>
      <c r="E241" s="201" t="str">
        <f t="shared" ca="1" si="70"/>
        <v/>
      </c>
      <c r="F241" s="201" t="str">
        <f t="shared" ca="1" si="70"/>
        <v/>
      </c>
      <c r="G241" s="205" t="str">
        <f t="shared" ca="1" si="70"/>
        <v/>
      </c>
      <c r="H241" s="202" t="str">
        <f t="shared" ca="1" si="70"/>
        <v/>
      </c>
      <c r="I241" s="201" t="str">
        <f t="shared" ca="1" si="70"/>
        <v/>
      </c>
      <c r="J241" s="93" t="str">
        <f t="shared" ca="1" si="70"/>
        <v/>
      </c>
      <c r="K241" s="93" t="str">
        <f t="shared" ca="1" si="70"/>
        <v/>
      </c>
      <c r="L241" s="93" t="str">
        <f t="shared" ca="1" si="70"/>
        <v/>
      </c>
      <c r="M241" s="93" t="str">
        <f t="shared" ca="1" si="70"/>
        <v/>
      </c>
      <c r="N241" s="93" t="str">
        <f t="shared" ca="1" si="70"/>
        <v/>
      </c>
      <c r="O241" s="93" t="str">
        <f t="shared" ca="1" si="70"/>
        <v/>
      </c>
      <c r="P241" s="312" t="str">
        <f t="shared" ca="1" si="71"/>
        <v/>
      </c>
      <c r="Q241" s="93" t="str">
        <f t="shared" ca="1" si="71"/>
        <v/>
      </c>
      <c r="R241" s="93" t="str">
        <f t="shared" ca="1" si="71"/>
        <v/>
      </c>
      <c r="S241" s="201" t="str">
        <f t="shared" ca="1" si="61"/>
        <v/>
      </c>
      <c r="T241" s="201"/>
      <c r="Z241" s="40" t="e">
        <f t="shared" ca="1" si="62"/>
        <v>#N/A</v>
      </c>
      <c r="AA241" s="310">
        <f t="shared" ca="1" si="63"/>
        <v>999</v>
      </c>
      <c r="AB241" s="40" t="e">
        <f ca="1">IF(ISNUMBER($A241),VLOOKUP('Berechnungen 2'!AI244,Matrix_Empfehlung.Stromkosten.ID.BOText,3,1),"")</f>
        <v>#VALUE!</v>
      </c>
      <c r="AC241" s="40">
        <f t="shared" ca="1" si="72"/>
        <v>999</v>
      </c>
      <c r="AD241" s="40">
        <f t="shared" ca="1" si="72"/>
        <v>229</v>
      </c>
      <c r="AE241" s="311">
        <f t="shared" ca="1" si="68"/>
        <v>0</v>
      </c>
    </row>
    <row r="242" spans="1:31" x14ac:dyDescent="0.2">
      <c r="A242" s="201">
        <f t="shared" ca="1" si="60"/>
        <v>230</v>
      </c>
      <c r="B242" s="193">
        <f t="shared" si="64"/>
        <v>230</v>
      </c>
      <c r="C242" s="192">
        <f ca="1">IF(ISERROR(LARGE('Berechnungen 2'!$E$16:$E$315,B242)),"",LARGE('Berechnungen 2'!$E$16:$E$315,B242))</f>
        <v>71</v>
      </c>
      <c r="D242" s="201" t="str">
        <f t="shared" ca="1" si="70"/>
        <v/>
      </c>
      <c r="E242" s="201" t="str">
        <f t="shared" ca="1" si="70"/>
        <v/>
      </c>
      <c r="F242" s="201" t="str">
        <f t="shared" ca="1" si="70"/>
        <v/>
      </c>
      <c r="G242" s="205" t="str">
        <f t="shared" ca="1" si="70"/>
        <v/>
      </c>
      <c r="H242" s="202" t="str">
        <f t="shared" ca="1" si="70"/>
        <v/>
      </c>
      <c r="I242" s="201" t="str">
        <f t="shared" ca="1" si="70"/>
        <v/>
      </c>
      <c r="J242" s="93" t="str">
        <f t="shared" ca="1" si="70"/>
        <v/>
      </c>
      <c r="K242" s="93" t="str">
        <f t="shared" ca="1" si="70"/>
        <v/>
      </c>
      <c r="L242" s="93" t="str">
        <f t="shared" ca="1" si="70"/>
        <v/>
      </c>
      <c r="M242" s="93" t="str">
        <f t="shared" ca="1" si="70"/>
        <v/>
      </c>
      <c r="N242" s="93" t="str">
        <f t="shared" ca="1" si="70"/>
        <v/>
      </c>
      <c r="O242" s="93" t="str">
        <f t="shared" ca="1" si="70"/>
        <v/>
      </c>
      <c r="P242" s="312" t="str">
        <f t="shared" ca="1" si="71"/>
        <v/>
      </c>
      <c r="Q242" s="93" t="str">
        <f t="shared" ca="1" si="71"/>
        <v/>
      </c>
      <c r="R242" s="93" t="str">
        <f t="shared" ca="1" si="71"/>
        <v/>
      </c>
      <c r="S242" s="201" t="str">
        <f t="shared" ca="1" si="61"/>
        <v/>
      </c>
      <c r="T242" s="201"/>
      <c r="Z242" s="40" t="e">
        <f t="shared" ca="1" si="62"/>
        <v>#N/A</v>
      </c>
      <c r="AA242" s="310">
        <f t="shared" ca="1" si="63"/>
        <v>999</v>
      </c>
      <c r="AB242" s="40" t="e">
        <f ca="1">IF(ISNUMBER($A242),VLOOKUP('Berechnungen 2'!AI245,Matrix_Empfehlung.Stromkosten.ID.BOText,3,1),"")</f>
        <v>#VALUE!</v>
      </c>
      <c r="AC242" s="40">
        <f t="shared" ca="1" si="72"/>
        <v>999</v>
      </c>
      <c r="AD242" s="40">
        <f t="shared" ca="1" si="72"/>
        <v>230</v>
      </c>
      <c r="AE242" s="311">
        <f t="shared" ca="1" si="68"/>
        <v>0</v>
      </c>
    </row>
    <row r="243" spans="1:31" x14ac:dyDescent="0.2">
      <c r="A243" s="201">
        <f t="shared" ca="1" si="60"/>
        <v>231</v>
      </c>
      <c r="B243" s="193">
        <f t="shared" si="64"/>
        <v>231</v>
      </c>
      <c r="C243" s="192">
        <f ca="1">IF(ISERROR(LARGE('Berechnungen 2'!$E$16:$E$315,B243)),"",LARGE('Berechnungen 2'!$E$16:$E$315,B243))</f>
        <v>70</v>
      </c>
      <c r="D243" s="201" t="str">
        <f t="shared" ref="D243:O252" ca="1" si="73">IF($AC243&gt;0,VLOOKUP($C243,Matrix_Berechnungen2.Rang.Pumpendaten.Endresultate,D$9,0),"")</f>
        <v/>
      </c>
      <c r="E243" s="201" t="str">
        <f t="shared" ca="1" si="73"/>
        <v/>
      </c>
      <c r="F243" s="201" t="str">
        <f t="shared" ca="1" si="73"/>
        <v/>
      </c>
      <c r="G243" s="205" t="str">
        <f t="shared" ca="1" si="73"/>
        <v/>
      </c>
      <c r="H243" s="202" t="str">
        <f t="shared" ca="1" si="73"/>
        <v/>
      </c>
      <c r="I243" s="201" t="str">
        <f t="shared" ca="1" si="73"/>
        <v/>
      </c>
      <c r="J243" s="93" t="str">
        <f t="shared" ca="1" si="73"/>
        <v/>
      </c>
      <c r="K243" s="93" t="str">
        <f t="shared" ca="1" si="73"/>
        <v/>
      </c>
      <c r="L243" s="93" t="str">
        <f t="shared" ca="1" si="73"/>
        <v/>
      </c>
      <c r="M243" s="93" t="str">
        <f t="shared" ca="1" si="73"/>
        <v/>
      </c>
      <c r="N243" s="93" t="str">
        <f t="shared" ca="1" si="73"/>
        <v/>
      </c>
      <c r="O243" s="93" t="str">
        <f t="shared" ca="1" si="73"/>
        <v/>
      </c>
      <c r="P243" s="312" t="str">
        <f t="shared" ca="1" si="71"/>
        <v/>
      </c>
      <c r="Q243" s="93" t="str">
        <f t="shared" ca="1" si="71"/>
        <v/>
      </c>
      <c r="R243" s="93" t="str">
        <f t="shared" ca="1" si="71"/>
        <v/>
      </c>
      <c r="S243" s="201" t="str">
        <f t="shared" ca="1" si="61"/>
        <v/>
      </c>
      <c r="T243" s="201"/>
      <c r="Z243" s="40" t="e">
        <f t="shared" ca="1" si="62"/>
        <v>#N/A</v>
      </c>
      <c r="AA243" s="310">
        <f t="shared" ca="1" si="63"/>
        <v>999</v>
      </c>
      <c r="AB243" s="40" t="e">
        <f ca="1">IF(ISNUMBER($A243),VLOOKUP('Berechnungen 2'!AI246,Matrix_Empfehlung.Stromkosten.ID.BOText,3,1),"")</f>
        <v>#VALUE!</v>
      </c>
      <c r="AC243" s="40">
        <f t="shared" ca="1" si="72"/>
        <v>999</v>
      </c>
      <c r="AD243" s="40">
        <f t="shared" ca="1" si="72"/>
        <v>231</v>
      </c>
      <c r="AE243" s="311">
        <f t="shared" ca="1" si="68"/>
        <v>0</v>
      </c>
    </row>
    <row r="244" spans="1:31" x14ac:dyDescent="0.2">
      <c r="A244" s="201">
        <f t="shared" ca="1" si="60"/>
        <v>232</v>
      </c>
      <c r="B244" s="193">
        <f t="shared" si="64"/>
        <v>232</v>
      </c>
      <c r="C244" s="192">
        <f ca="1">IF(ISERROR(LARGE('Berechnungen 2'!$E$16:$E$315,B244)),"",LARGE('Berechnungen 2'!$E$16:$E$315,B244))</f>
        <v>69</v>
      </c>
      <c r="D244" s="201" t="str">
        <f t="shared" ca="1" si="73"/>
        <v/>
      </c>
      <c r="E244" s="201" t="str">
        <f t="shared" ca="1" si="73"/>
        <v/>
      </c>
      <c r="F244" s="201" t="str">
        <f t="shared" ca="1" si="73"/>
        <v/>
      </c>
      <c r="G244" s="205" t="str">
        <f t="shared" ca="1" si="73"/>
        <v/>
      </c>
      <c r="H244" s="202" t="str">
        <f t="shared" ca="1" si="73"/>
        <v/>
      </c>
      <c r="I244" s="201" t="str">
        <f t="shared" ca="1" si="73"/>
        <v/>
      </c>
      <c r="J244" s="93" t="str">
        <f t="shared" ca="1" si="73"/>
        <v/>
      </c>
      <c r="K244" s="93" t="str">
        <f t="shared" ca="1" si="73"/>
        <v/>
      </c>
      <c r="L244" s="93" t="str">
        <f t="shared" ca="1" si="73"/>
        <v/>
      </c>
      <c r="M244" s="93" t="str">
        <f t="shared" ca="1" si="73"/>
        <v/>
      </c>
      <c r="N244" s="93" t="str">
        <f t="shared" ca="1" si="73"/>
        <v/>
      </c>
      <c r="O244" s="93" t="str">
        <f t="shared" ca="1" si="73"/>
        <v/>
      </c>
      <c r="P244" s="312" t="str">
        <f t="shared" ca="1" si="71"/>
        <v/>
      </c>
      <c r="Q244" s="93" t="str">
        <f t="shared" ca="1" si="71"/>
        <v/>
      </c>
      <c r="R244" s="93" t="str">
        <f t="shared" ca="1" si="71"/>
        <v/>
      </c>
      <c r="S244" s="201" t="str">
        <f t="shared" ca="1" si="61"/>
        <v/>
      </c>
      <c r="T244" s="201"/>
      <c r="Z244" s="40" t="e">
        <f t="shared" ca="1" si="62"/>
        <v>#N/A</v>
      </c>
      <c r="AA244" s="310">
        <f t="shared" ca="1" si="63"/>
        <v>999</v>
      </c>
      <c r="AB244" s="40" t="e">
        <f ca="1">IF(ISNUMBER($A244),VLOOKUP('Berechnungen 2'!AI247,Matrix_Empfehlung.Stromkosten.ID.BOText,3,1),"")</f>
        <v>#VALUE!</v>
      </c>
      <c r="AC244" s="40">
        <f t="shared" ca="1" si="72"/>
        <v>999</v>
      </c>
      <c r="AD244" s="40">
        <f t="shared" ca="1" si="72"/>
        <v>232</v>
      </c>
      <c r="AE244" s="311">
        <f t="shared" ca="1" si="68"/>
        <v>0</v>
      </c>
    </row>
    <row r="245" spans="1:31" x14ac:dyDescent="0.2">
      <c r="A245" s="201">
        <f t="shared" ca="1" si="60"/>
        <v>233</v>
      </c>
      <c r="B245" s="193">
        <f t="shared" si="64"/>
        <v>233</v>
      </c>
      <c r="C245" s="192">
        <f ca="1">IF(ISERROR(LARGE('Berechnungen 2'!$E$16:$E$315,B245)),"",LARGE('Berechnungen 2'!$E$16:$E$315,B245))</f>
        <v>68</v>
      </c>
      <c r="D245" s="201" t="str">
        <f t="shared" ca="1" si="73"/>
        <v/>
      </c>
      <c r="E245" s="201" t="str">
        <f t="shared" ca="1" si="73"/>
        <v/>
      </c>
      <c r="F245" s="201" t="str">
        <f t="shared" ca="1" si="73"/>
        <v/>
      </c>
      <c r="G245" s="205" t="str">
        <f t="shared" ca="1" si="73"/>
        <v/>
      </c>
      <c r="H245" s="202" t="str">
        <f t="shared" ca="1" si="73"/>
        <v/>
      </c>
      <c r="I245" s="201" t="str">
        <f t="shared" ca="1" si="73"/>
        <v/>
      </c>
      <c r="J245" s="93" t="str">
        <f t="shared" ca="1" si="73"/>
        <v/>
      </c>
      <c r="K245" s="93" t="str">
        <f t="shared" ca="1" si="73"/>
        <v/>
      </c>
      <c r="L245" s="93" t="str">
        <f t="shared" ca="1" si="73"/>
        <v/>
      </c>
      <c r="M245" s="93" t="str">
        <f t="shared" ca="1" si="73"/>
        <v/>
      </c>
      <c r="N245" s="93" t="str">
        <f t="shared" ca="1" si="73"/>
        <v/>
      </c>
      <c r="O245" s="93" t="str">
        <f t="shared" ca="1" si="73"/>
        <v/>
      </c>
      <c r="P245" s="312" t="str">
        <f t="shared" ca="1" si="71"/>
        <v/>
      </c>
      <c r="Q245" s="93" t="str">
        <f t="shared" ca="1" si="71"/>
        <v/>
      </c>
      <c r="R245" s="93" t="str">
        <f t="shared" ca="1" si="71"/>
        <v/>
      </c>
      <c r="S245" s="201" t="str">
        <f t="shared" ca="1" si="61"/>
        <v/>
      </c>
      <c r="T245" s="201"/>
      <c r="Z245" s="40" t="e">
        <f t="shared" ca="1" si="62"/>
        <v>#N/A</v>
      </c>
      <c r="AA245" s="310">
        <f t="shared" ca="1" si="63"/>
        <v>999</v>
      </c>
      <c r="AB245" s="40" t="e">
        <f ca="1">IF(ISNUMBER($A245),VLOOKUP('Berechnungen 2'!AI248,Matrix_Empfehlung.Stromkosten.ID.BOText,3,1),"")</f>
        <v>#VALUE!</v>
      </c>
      <c r="AC245" s="40">
        <f t="shared" ca="1" si="72"/>
        <v>999</v>
      </c>
      <c r="AD245" s="40">
        <f t="shared" ca="1" si="72"/>
        <v>233</v>
      </c>
      <c r="AE245" s="311">
        <f t="shared" ca="1" si="68"/>
        <v>0</v>
      </c>
    </row>
    <row r="246" spans="1:31" x14ac:dyDescent="0.2">
      <c r="A246" s="201">
        <f t="shared" ca="1" si="60"/>
        <v>234</v>
      </c>
      <c r="B246" s="193">
        <f t="shared" si="64"/>
        <v>234</v>
      </c>
      <c r="C246" s="192">
        <f ca="1">IF(ISERROR(LARGE('Berechnungen 2'!$E$16:$E$315,B246)),"",LARGE('Berechnungen 2'!$E$16:$E$315,B246))</f>
        <v>67</v>
      </c>
      <c r="D246" s="201" t="str">
        <f t="shared" ca="1" si="73"/>
        <v/>
      </c>
      <c r="E246" s="201" t="str">
        <f t="shared" ca="1" si="73"/>
        <v/>
      </c>
      <c r="F246" s="201" t="str">
        <f t="shared" ca="1" si="73"/>
        <v/>
      </c>
      <c r="G246" s="205" t="str">
        <f t="shared" ca="1" si="73"/>
        <v/>
      </c>
      <c r="H246" s="202" t="str">
        <f t="shared" ca="1" si="73"/>
        <v/>
      </c>
      <c r="I246" s="201" t="str">
        <f t="shared" ca="1" si="73"/>
        <v/>
      </c>
      <c r="J246" s="93" t="str">
        <f t="shared" ca="1" si="73"/>
        <v/>
      </c>
      <c r="K246" s="93" t="str">
        <f t="shared" ca="1" si="73"/>
        <v/>
      </c>
      <c r="L246" s="93" t="str">
        <f t="shared" ca="1" si="73"/>
        <v/>
      </c>
      <c r="M246" s="93" t="str">
        <f t="shared" ca="1" si="73"/>
        <v/>
      </c>
      <c r="N246" s="93" t="str">
        <f t="shared" ca="1" si="73"/>
        <v/>
      </c>
      <c r="O246" s="93" t="str">
        <f t="shared" ca="1" si="73"/>
        <v/>
      </c>
      <c r="P246" s="312" t="str">
        <f t="shared" ca="1" si="71"/>
        <v/>
      </c>
      <c r="Q246" s="93" t="str">
        <f t="shared" ca="1" si="71"/>
        <v/>
      </c>
      <c r="R246" s="93" t="str">
        <f t="shared" ca="1" si="71"/>
        <v/>
      </c>
      <c r="S246" s="201" t="str">
        <f t="shared" ca="1" si="61"/>
        <v/>
      </c>
      <c r="T246" s="201"/>
      <c r="Z246" s="40" t="e">
        <f t="shared" ca="1" si="62"/>
        <v>#N/A</v>
      </c>
      <c r="AA246" s="310">
        <f t="shared" ca="1" si="63"/>
        <v>999</v>
      </c>
      <c r="AB246" s="40" t="e">
        <f ca="1">IF(ISNUMBER($A246),VLOOKUP('Berechnungen 2'!AI249,Matrix_Empfehlung.Stromkosten.ID.BOText,3,1),"")</f>
        <v>#VALUE!</v>
      </c>
      <c r="AC246" s="40">
        <f t="shared" ca="1" si="72"/>
        <v>999</v>
      </c>
      <c r="AD246" s="40">
        <f t="shared" ca="1" si="72"/>
        <v>234</v>
      </c>
      <c r="AE246" s="311">
        <f t="shared" ca="1" si="68"/>
        <v>0</v>
      </c>
    </row>
    <row r="247" spans="1:31" x14ac:dyDescent="0.2">
      <c r="A247" s="201">
        <f t="shared" ca="1" si="60"/>
        <v>235</v>
      </c>
      <c r="B247" s="193">
        <f t="shared" si="64"/>
        <v>235</v>
      </c>
      <c r="C247" s="192">
        <f ca="1">IF(ISERROR(LARGE('Berechnungen 2'!$E$16:$E$315,B247)),"",LARGE('Berechnungen 2'!$E$16:$E$315,B247))</f>
        <v>66</v>
      </c>
      <c r="D247" s="201" t="str">
        <f t="shared" ca="1" si="73"/>
        <v/>
      </c>
      <c r="E247" s="201" t="str">
        <f t="shared" ca="1" si="73"/>
        <v/>
      </c>
      <c r="F247" s="201" t="str">
        <f t="shared" ca="1" si="73"/>
        <v/>
      </c>
      <c r="G247" s="205" t="str">
        <f t="shared" ca="1" si="73"/>
        <v/>
      </c>
      <c r="H247" s="202" t="str">
        <f t="shared" ca="1" si="73"/>
        <v/>
      </c>
      <c r="I247" s="201" t="str">
        <f t="shared" ca="1" si="73"/>
        <v/>
      </c>
      <c r="J247" s="93" t="str">
        <f t="shared" ca="1" si="73"/>
        <v/>
      </c>
      <c r="K247" s="93" t="str">
        <f t="shared" ca="1" si="73"/>
        <v/>
      </c>
      <c r="L247" s="93" t="str">
        <f t="shared" ca="1" si="73"/>
        <v/>
      </c>
      <c r="M247" s="93" t="str">
        <f t="shared" ca="1" si="73"/>
        <v/>
      </c>
      <c r="N247" s="93" t="str">
        <f t="shared" ca="1" si="73"/>
        <v/>
      </c>
      <c r="O247" s="93" t="str">
        <f t="shared" ca="1" si="73"/>
        <v/>
      </c>
      <c r="P247" s="312" t="str">
        <f t="shared" ca="1" si="71"/>
        <v/>
      </c>
      <c r="Q247" s="93" t="str">
        <f t="shared" ca="1" si="71"/>
        <v/>
      </c>
      <c r="R247" s="93" t="str">
        <f t="shared" ca="1" si="71"/>
        <v/>
      </c>
      <c r="S247" s="201" t="str">
        <f t="shared" ca="1" si="61"/>
        <v/>
      </c>
      <c r="T247" s="201"/>
      <c r="Z247" s="40" t="e">
        <f t="shared" ca="1" si="62"/>
        <v>#N/A</v>
      </c>
      <c r="AA247" s="310">
        <f t="shared" ca="1" si="63"/>
        <v>999</v>
      </c>
      <c r="AB247" s="40" t="e">
        <f ca="1">IF(ISNUMBER($A247),VLOOKUP('Berechnungen 2'!AI250,Matrix_Empfehlung.Stromkosten.ID.BOText,3,1),"")</f>
        <v>#VALUE!</v>
      </c>
      <c r="AC247" s="40">
        <f t="shared" ca="1" si="72"/>
        <v>999</v>
      </c>
      <c r="AD247" s="40">
        <f t="shared" ca="1" si="72"/>
        <v>235</v>
      </c>
      <c r="AE247" s="311">
        <f t="shared" ca="1" si="68"/>
        <v>0</v>
      </c>
    </row>
    <row r="248" spans="1:31" x14ac:dyDescent="0.2">
      <c r="A248" s="201">
        <f t="shared" ca="1" si="60"/>
        <v>236</v>
      </c>
      <c r="B248" s="193">
        <f t="shared" si="64"/>
        <v>236</v>
      </c>
      <c r="C248" s="192">
        <f ca="1">IF(ISERROR(LARGE('Berechnungen 2'!$E$16:$E$315,B248)),"",LARGE('Berechnungen 2'!$E$16:$E$315,B248))</f>
        <v>65</v>
      </c>
      <c r="D248" s="201" t="str">
        <f t="shared" ca="1" si="73"/>
        <v/>
      </c>
      <c r="E248" s="201" t="str">
        <f t="shared" ca="1" si="73"/>
        <v/>
      </c>
      <c r="F248" s="201" t="str">
        <f t="shared" ca="1" si="73"/>
        <v/>
      </c>
      <c r="G248" s="205" t="str">
        <f t="shared" ca="1" si="73"/>
        <v/>
      </c>
      <c r="H248" s="202" t="str">
        <f t="shared" ca="1" si="73"/>
        <v/>
      </c>
      <c r="I248" s="201" t="str">
        <f t="shared" ca="1" si="73"/>
        <v/>
      </c>
      <c r="J248" s="93" t="str">
        <f t="shared" ca="1" si="73"/>
        <v/>
      </c>
      <c r="K248" s="93" t="str">
        <f t="shared" ca="1" si="73"/>
        <v/>
      </c>
      <c r="L248" s="93" t="str">
        <f t="shared" ca="1" si="73"/>
        <v/>
      </c>
      <c r="M248" s="93" t="str">
        <f t="shared" ca="1" si="73"/>
        <v/>
      </c>
      <c r="N248" s="93" t="str">
        <f t="shared" ca="1" si="73"/>
        <v/>
      </c>
      <c r="O248" s="93" t="str">
        <f t="shared" ca="1" si="73"/>
        <v/>
      </c>
      <c r="P248" s="312" t="str">
        <f t="shared" ca="1" si="71"/>
        <v/>
      </c>
      <c r="Q248" s="93" t="str">
        <f t="shared" ca="1" si="71"/>
        <v/>
      </c>
      <c r="R248" s="93" t="str">
        <f t="shared" ca="1" si="71"/>
        <v/>
      </c>
      <c r="S248" s="201" t="str">
        <f t="shared" ca="1" si="61"/>
        <v/>
      </c>
      <c r="T248" s="201"/>
      <c r="Z248" s="40" t="e">
        <f t="shared" ca="1" si="62"/>
        <v>#N/A</v>
      </c>
      <c r="AA248" s="310">
        <f t="shared" ca="1" si="63"/>
        <v>999</v>
      </c>
      <c r="AB248" s="40" t="e">
        <f ca="1">IF(ISNUMBER($A248),VLOOKUP('Berechnungen 2'!AI251,Matrix_Empfehlung.Stromkosten.ID.BOText,3,1),"")</f>
        <v>#VALUE!</v>
      </c>
      <c r="AC248" s="40">
        <f t="shared" ca="1" si="72"/>
        <v>999</v>
      </c>
      <c r="AD248" s="40">
        <f t="shared" ca="1" si="72"/>
        <v>236</v>
      </c>
      <c r="AE248" s="311">
        <f t="shared" ca="1" si="68"/>
        <v>0</v>
      </c>
    </row>
    <row r="249" spans="1:31" x14ac:dyDescent="0.2">
      <c r="A249" s="201">
        <f t="shared" ca="1" si="60"/>
        <v>237</v>
      </c>
      <c r="B249" s="193">
        <f t="shared" si="64"/>
        <v>237</v>
      </c>
      <c r="C249" s="192">
        <f ca="1">IF(ISERROR(LARGE('Berechnungen 2'!$E$16:$E$315,B249)),"",LARGE('Berechnungen 2'!$E$16:$E$315,B249))</f>
        <v>64</v>
      </c>
      <c r="D249" s="201" t="str">
        <f t="shared" ca="1" si="73"/>
        <v/>
      </c>
      <c r="E249" s="201" t="str">
        <f t="shared" ca="1" si="73"/>
        <v/>
      </c>
      <c r="F249" s="201" t="str">
        <f t="shared" ca="1" si="73"/>
        <v/>
      </c>
      <c r="G249" s="205" t="str">
        <f t="shared" ca="1" si="73"/>
        <v/>
      </c>
      <c r="H249" s="202" t="str">
        <f t="shared" ca="1" si="73"/>
        <v/>
      </c>
      <c r="I249" s="201" t="str">
        <f t="shared" ca="1" si="73"/>
        <v/>
      </c>
      <c r="J249" s="93" t="str">
        <f t="shared" ca="1" si="73"/>
        <v/>
      </c>
      <c r="K249" s="93" t="str">
        <f t="shared" ca="1" si="73"/>
        <v/>
      </c>
      <c r="L249" s="93" t="str">
        <f t="shared" ca="1" si="73"/>
        <v/>
      </c>
      <c r="M249" s="93" t="str">
        <f t="shared" ca="1" si="73"/>
        <v/>
      </c>
      <c r="N249" s="93" t="str">
        <f t="shared" ca="1" si="73"/>
        <v/>
      </c>
      <c r="O249" s="93" t="str">
        <f t="shared" ca="1" si="73"/>
        <v/>
      </c>
      <c r="P249" s="312" t="str">
        <f t="shared" ca="1" si="71"/>
        <v/>
      </c>
      <c r="Q249" s="93" t="str">
        <f t="shared" ca="1" si="71"/>
        <v/>
      </c>
      <c r="R249" s="93" t="str">
        <f t="shared" ca="1" si="71"/>
        <v/>
      </c>
      <c r="S249" s="201" t="str">
        <f t="shared" ca="1" si="61"/>
        <v/>
      </c>
      <c r="T249" s="201"/>
      <c r="Z249" s="40" t="e">
        <f t="shared" ca="1" si="62"/>
        <v>#N/A</v>
      </c>
      <c r="AA249" s="310">
        <f t="shared" ca="1" si="63"/>
        <v>999</v>
      </c>
      <c r="AB249" s="40" t="e">
        <f ca="1">IF(ISNUMBER($A249),VLOOKUP('Berechnungen 2'!AI252,Matrix_Empfehlung.Stromkosten.ID.BOText,3,1),"")</f>
        <v>#VALUE!</v>
      </c>
      <c r="AC249" s="40">
        <f t="shared" ca="1" si="72"/>
        <v>999</v>
      </c>
      <c r="AD249" s="40">
        <f t="shared" ca="1" si="72"/>
        <v>237</v>
      </c>
      <c r="AE249" s="311">
        <f t="shared" ca="1" si="68"/>
        <v>0</v>
      </c>
    </row>
    <row r="250" spans="1:31" x14ac:dyDescent="0.2">
      <c r="A250" s="201">
        <f t="shared" ca="1" si="60"/>
        <v>238</v>
      </c>
      <c r="B250" s="193">
        <f t="shared" si="64"/>
        <v>238</v>
      </c>
      <c r="C250" s="192">
        <f ca="1">IF(ISERROR(LARGE('Berechnungen 2'!$E$16:$E$315,B250)),"",LARGE('Berechnungen 2'!$E$16:$E$315,B250))</f>
        <v>63</v>
      </c>
      <c r="D250" s="201" t="str">
        <f t="shared" ca="1" si="73"/>
        <v/>
      </c>
      <c r="E250" s="201" t="str">
        <f t="shared" ca="1" si="73"/>
        <v/>
      </c>
      <c r="F250" s="201" t="str">
        <f t="shared" ca="1" si="73"/>
        <v/>
      </c>
      <c r="G250" s="205" t="str">
        <f t="shared" ca="1" si="73"/>
        <v/>
      </c>
      <c r="H250" s="202" t="str">
        <f t="shared" ca="1" si="73"/>
        <v/>
      </c>
      <c r="I250" s="201" t="str">
        <f t="shared" ca="1" si="73"/>
        <v/>
      </c>
      <c r="J250" s="93" t="str">
        <f t="shared" ca="1" si="73"/>
        <v/>
      </c>
      <c r="K250" s="93" t="str">
        <f t="shared" ca="1" si="73"/>
        <v/>
      </c>
      <c r="L250" s="93" t="str">
        <f t="shared" ca="1" si="73"/>
        <v/>
      </c>
      <c r="M250" s="93" t="str">
        <f t="shared" ca="1" si="73"/>
        <v/>
      </c>
      <c r="N250" s="93" t="str">
        <f t="shared" ca="1" si="73"/>
        <v/>
      </c>
      <c r="O250" s="93" t="str">
        <f t="shared" ca="1" si="73"/>
        <v/>
      </c>
      <c r="P250" s="312" t="str">
        <f t="shared" ca="1" si="71"/>
        <v/>
      </c>
      <c r="Q250" s="93" t="str">
        <f t="shared" ca="1" si="71"/>
        <v/>
      </c>
      <c r="R250" s="93" t="str">
        <f t="shared" ca="1" si="71"/>
        <v/>
      </c>
      <c r="S250" s="201" t="str">
        <f t="shared" ca="1" si="61"/>
        <v/>
      </c>
      <c r="T250" s="201"/>
      <c r="Z250" s="40" t="e">
        <f t="shared" ca="1" si="62"/>
        <v>#N/A</v>
      </c>
      <c r="AA250" s="310">
        <f t="shared" ca="1" si="63"/>
        <v>999</v>
      </c>
      <c r="AB250" s="40" t="e">
        <f ca="1">IF(ISNUMBER($A250),VLOOKUP('Berechnungen 2'!AI253,Matrix_Empfehlung.Stromkosten.ID.BOText,3,1),"")</f>
        <v>#VALUE!</v>
      </c>
      <c r="AC250" s="40">
        <f t="shared" ca="1" si="72"/>
        <v>999</v>
      </c>
      <c r="AD250" s="40">
        <f t="shared" ca="1" si="72"/>
        <v>238</v>
      </c>
      <c r="AE250" s="311">
        <f t="shared" ca="1" si="68"/>
        <v>0</v>
      </c>
    </row>
    <row r="251" spans="1:31" x14ac:dyDescent="0.2">
      <c r="A251" s="201">
        <f t="shared" ca="1" si="60"/>
        <v>239</v>
      </c>
      <c r="B251" s="193">
        <f t="shared" si="64"/>
        <v>239</v>
      </c>
      <c r="C251" s="192">
        <f ca="1">IF(ISERROR(LARGE('Berechnungen 2'!$E$16:$E$315,B251)),"",LARGE('Berechnungen 2'!$E$16:$E$315,B251))</f>
        <v>62</v>
      </c>
      <c r="D251" s="201" t="str">
        <f t="shared" ca="1" si="73"/>
        <v/>
      </c>
      <c r="E251" s="201" t="str">
        <f t="shared" ca="1" si="73"/>
        <v/>
      </c>
      <c r="F251" s="201" t="str">
        <f t="shared" ca="1" si="73"/>
        <v/>
      </c>
      <c r="G251" s="205" t="str">
        <f t="shared" ca="1" si="73"/>
        <v/>
      </c>
      <c r="H251" s="202" t="str">
        <f t="shared" ca="1" si="73"/>
        <v/>
      </c>
      <c r="I251" s="201" t="str">
        <f t="shared" ca="1" si="73"/>
        <v/>
      </c>
      <c r="J251" s="93" t="str">
        <f t="shared" ca="1" si="73"/>
        <v/>
      </c>
      <c r="K251" s="93" t="str">
        <f t="shared" ca="1" si="73"/>
        <v/>
      </c>
      <c r="L251" s="93" t="str">
        <f t="shared" ca="1" si="73"/>
        <v/>
      </c>
      <c r="M251" s="93" t="str">
        <f t="shared" ca="1" si="73"/>
        <v/>
      </c>
      <c r="N251" s="93" t="str">
        <f t="shared" ca="1" si="73"/>
        <v/>
      </c>
      <c r="O251" s="93" t="str">
        <f t="shared" ca="1" si="73"/>
        <v/>
      </c>
      <c r="P251" s="312" t="str">
        <f t="shared" ca="1" si="71"/>
        <v/>
      </c>
      <c r="Q251" s="93" t="str">
        <f t="shared" ca="1" si="71"/>
        <v/>
      </c>
      <c r="R251" s="93" t="str">
        <f t="shared" ca="1" si="71"/>
        <v/>
      </c>
      <c r="S251" s="201" t="str">
        <f t="shared" ca="1" si="61"/>
        <v/>
      </c>
      <c r="T251" s="201"/>
      <c r="Z251" s="40" t="e">
        <f t="shared" ca="1" si="62"/>
        <v>#N/A</v>
      </c>
      <c r="AA251" s="310">
        <f t="shared" ca="1" si="63"/>
        <v>999</v>
      </c>
      <c r="AB251" s="40" t="e">
        <f ca="1">IF(ISNUMBER($A251),VLOOKUP('Berechnungen 2'!AI254,Matrix_Empfehlung.Stromkosten.ID.BOText,3,1),"")</f>
        <v>#VALUE!</v>
      </c>
      <c r="AC251" s="40">
        <f t="shared" ca="1" si="72"/>
        <v>999</v>
      </c>
      <c r="AD251" s="40">
        <f t="shared" ca="1" si="72"/>
        <v>239</v>
      </c>
      <c r="AE251" s="311">
        <f t="shared" ca="1" si="68"/>
        <v>0</v>
      </c>
    </row>
    <row r="252" spans="1:31" x14ac:dyDescent="0.2">
      <c r="A252" s="201">
        <f t="shared" ca="1" si="60"/>
        <v>240</v>
      </c>
      <c r="B252" s="193">
        <f t="shared" si="64"/>
        <v>240</v>
      </c>
      <c r="C252" s="192">
        <f ca="1">IF(ISERROR(LARGE('Berechnungen 2'!$E$16:$E$315,B252)),"",LARGE('Berechnungen 2'!$E$16:$E$315,B252))</f>
        <v>61</v>
      </c>
      <c r="D252" s="201" t="str">
        <f t="shared" ca="1" si="73"/>
        <v/>
      </c>
      <c r="E252" s="201" t="str">
        <f t="shared" ca="1" si="73"/>
        <v/>
      </c>
      <c r="F252" s="201" t="str">
        <f t="shared" ca="1" si="73"/>
        <v/>
      </c>
      <c r="G252" s="205" t="str">
        <f t="shared" ca="1" si="73"/>
        <v/>
      </c>
      <c r="H252" s="202" t="str">
        <f t="shared" ca="1" si="73"/>
        <v/>
      </c>
      <c r="I252" s="201" t="str">
        <f t="shared" ca="1" si="73"/>
        <v/>
      </c>
      <c r="J252" s="93" t="str">
        <f t="shared" ca="1" si="73"/>
        <v/>
      </c>
      <c r="K252" s="93" t="str">
        <f t="shared" ca="1" si="73"/>
        <v/>
      </c>
      <c r="L252" s="93" t="str">
        <f t="shared" ca="1" si="73"/>
        <v/>
      </c>
      <c r="M252" s="93" t="str">
        <f t="shared" ca="1" si="73"/>
        <v/>
      </c>
      <c r="N252" s="93" t="str">
        <f t="shared" ca="1" si="73"/>
        <v/>
      </c>
      <c r="O252" s="93" t="str">
        <f t="shared" ca="1" si="73"/>
        <v/>
      </c>
      <c r="P252" s="312" t="str">
        <f t="shared" ca="1" si="71"/>
        <v/>
      </c>
      <c r="Q252" s="93" t="str">
        <f t="shared" ca="1" si="71"/>
        <v/>
      </c>
      <c r="R252" s="93" t="str">
        <f t="shared" ca="1" si="71"/>
        <v/>
      </c>
      <c r="S252" s="201" t="str">
        <f t="shared" ca="1" si="61"/>
        <v/>
      </c>
      <c r="T252" s="201"/>
      <c r="Z252" s="40" t="e">
        <f t="shared" ca="1" si="62"/>
        <v>#N/A</v>
      </c>
      <c r="AA252" s="310">
        <f t="shared" ca="1" si="63"/>
        <v>999</v>
      </c>
      <c r="AB252" s="40" t="e">
        <f ca="1">IF(ISNUMBER($A252),VLOOKUP('Berechnungen 2'!AI255,Matrix_Empfehlung.Stromkosten.ID.BOText,3,1),"")</f>
        <v>#VALUE!</v>
      </c>
      <c r="AC252" s="40">
        <f t="shared" ca="1" si="72"/>
        <v>999</v>
      </c>
      <c r="AD252" s="40">
        <f t="shared" ca="1" si="72"/>
        <v>240</v>
      </c>
      <c r="AE252" s="311">
        <f t="shared" ca="1" si="68"/>
        <v>0</v>
      </c>
    </row>
    <row r="253" spans="1:31" x14ac:dyDescent="0.2">
      <c r="A253" s="201">
        <f t="shared" ca="1" si="60"/>
        <v>241</v>
      </c>
      <c r="B253" s="193">
        <f t="shared" si="64"/>
        <v>241</v>
      </c>
      <c r="C253" s="192">
        <f ca="1">IF(ISERROR(LARGE('Berechnungen 2'!$E$16:$E$315,B253)),"",LARGE('Berechnungen 2'!$E$16:$E$315,B253))</f>
        <v>60</v>
      </c>
      <c r="D253" s="201" t="str">
        <f t="shared" ref="D253:O262" ca="1" si="74">IF($AC253&gt;0,VLOOKUP($C253,Matrix_Berechnungen2.Rang.Pumpendaten.Endresultate,D$9,0),"")</f>
        <v/>
      </c>
      <c r="E253" s="201" t="str">
        <f t="shared" ca="1" si="74"/>
        <v/>
      </c>
      <c r="F253" s="201" t="str">
        <f t="shared" ca="1" si="74"/>
        <v/>
      </c>
      <c r="G253" s="205" t="str">
        <f t="shared" ca="1" si="74"/>
        <v/>
      </c>
      <c r="H253" s="202" t="str">
        <f t="shared" ca="1" si="74"/>
        <v/>
      </c>
      <c r="I253" s="201" t="str">
        <f t="shared" ca="1" si="74"/>
        <v/>
      </c>
      <c r="J253" s="93" t="str">
        <f t="shared" ca="1" si="74"/>
        <v/>
      </c>
      <c r="K253" s="93" t="str">
        <f t="shared" ca="1" si="74"/>
        <v/>
      </c>
      <c r="L253" s="93" t="str">
        <f t="shared" ca="1" si="74"/>
        <v/>
      </c>
      <c r="M253" s="93" t="str">
        <f t="shared" ca="1" si="74"/>
        <v/>
      </c>
      <c r="N253" s="93" t="str">
        <f t="shared" ca="1" si="74"/>
        <v/>
      </c>
      <c r="O253" s="93" t="str">
        <f t="shared" ca="1" si="74"/>
        <v/>
      </c>
      <c r="P253" s="312" t="str">
        <f t="shared" ref="P253:R272" ca="1" si="75">IF(AND($AC253&gt;0,$AC253&lt;&gt;999),VLOOKUP($C253,Matrix_Berechnungen2.Rang.Pumpendaten.Endresultate,P$9,0),"")</f>
        <v/>
      </c>
      <c r="Q253" s="93" t="str">
        <f t="shared" ca="1" si="75"/>
        <v/>
      </c>
      <c r="R253" s="93" t="str">
        <f t="shared" ca="1" si="75"/>
        <v/>
      </c>
      <c r="S253" s="201" t="str">
        <f t="shared" ca="1" si="61"/>
        <v/>
      </c>
      <c r="T253" s="201"/>
      <c r="Z253" s="40" t="e">
        <f t="shared" ca="1" si="62"/>
        <v>#N/A</v>
      </c>
      <c r="AA253" s="310">
        <f t="shared" ca="1" si="63"/>
        <v>999</v>
      </c>
      <c r="AB253" s="40" t="e">
        <f ca="1">IF(ISNUMBER($A253),VLOOKUP('Berechnungen 2'!AI256,Matrix_Empfehlung.Stromkosten.ID.BOText,3,1),"")</f>
        <v>#VALUE!</v>
      </c>
      <c r="AC253" s="40">
        <f t="shared" ref="AC253:AD272" ca="1" si="76">IF(VLOOKUP($C253,Matrix_Berechnungen2.Rang.Pumpendaten.Endresultate,$C$9,0)&gt;0,VLOOKUP($C253,Matrix_Berechnungen2.Rang.Pumpendaten.Endresultate,AC$9,0),"")</f>
        <v>999</v>
      </c>
      <c r="AD253" s="40">
        <f t="shared" ca="1" si="76"/>
        <v>241</v>
      </c>
      <c r="AE253" s="311">
        <f t="shared" ca="1" si="68"/>
        <v>0</v>
      </c>
    </row>
    <row r="254" spans="1:31" x14ac:dyDescent="0.2">
      <c r="A254" s="201">
        <f t="shared" ca="1" si="60"/>
        <v>242</v>
      </c>
      <c r="B254" s="193">
        <f t="shared" si="64"/>
        <v>242</v>
      </c>
      <c r="C254" s="192">
        <f ca="1">IF(ISERROR(LARGE('Berechnungen 2'!$E$16:$E$315,B254)),"",LARGE('Berechnungen 2'!$E$16:$E$315,B254))</f>
        <v>59</v>
      </c>
      <c r="D254" s="201" t="str">
        <f t="shared" ca="1" si="74"/>
        <v/>
      </c>
      <c r="E254" s="201" t="str">
        <f t="shared" ca="1" si="74"/>
        <v/>
      </c>
      <c r="F254" s="201" t="str">
        <f t="shared" ca="1" si="74"/>
        <v/>
      </c>
      <c r="G254" s="205" t="str">
        <f t="shared" ca="1" si="74"/>
        <v/>
      </c>
      <c r="H254" s="202" t="str">
        <f t="shared" ca="1" si="74"/>
        <v/>
      </c>
      <c r="I254" s="201" t="str">
        <f t="shared" ca="1" si="74"/>
        <v/>
      </c>
      <c r="J254" s="93" t="str">
        <f t="shared" ca="1" si="74"/>
        <v/>
      </c>
      <c r="K254" s="93" t="str">
        <f t="shared" ca="1" si="74"/>
        <v/>
      </c>
      <c r="L254" s="93" t="str">
        <f t="shared" ca="1" si="74"/>
        <v/>
      </c>
      <c r="M254" s="93" t="str">
        <f t="shared" ca="1" si="74"/>
        <v/>
      </c>
      <c r="N254" s="93" t="str">
        <f t="shared" ca="1" si="74"/>
        <v/>
      </c>
      <c r="O254" s="93" t="str">
        <f t="shared" ca="1" si="74"/>
        <v/>
      </c>
      <c r="P254" s="312" t="str">
        <f t="shared" ca="1" si="75"/>
        <v/>
      </c>
      <c r="Q254" s="93" t="str">
        <f t="shared" ca="1" si="75"/>
        <v/>
      </c>
      <c r="R254" s="93" t="str">
        <f t="shared" ca="1" si="75"/>
        <v/>
      </c>
      <c r="S254" s="201" t="str">
        <f t="shared" ca="1" si="61"/>
        <v/>
      </c>
      <c r="T254" s="201"/>
      <c r="Z254" s="40" t="e">
        <f t="shared" ca="1" si="62"/>
        <v>#N/A</v>
      </c>
      <c r="AA254" s="310">
        <f t="shared" ca="1" si="63"/>
        <v>999</v>
      </c>
      <c r="AB254" s="40" t="e">
        <f ca="1">IF(ISNUMBER($A254),VLOOKUP('Berechnungen 2'!AI257,Matrix_Empfehlung.Stromkosten.ID.BOText,3,1),"")</f>
        <v>#VALUE!</v>
      </c>
      <c r="AC254" s="40">
        <f t="shared" ca="1" si="76"/>
        <v>999</v>
      </c>
      <c r="AD254" s="40">
        <f t="shared" ca="1" si="76"/>
        <v>242</v>
      </c>
      <c r="AE254" s="311">
        <f t="shared" ca="1" si="68"/>
        <v>0</v>
      </c>
    </row>
    <row r="255" spans="1:31" x14ac:dyDescent="0.2">
      <c r="A255" s="201">
        <f t="shared" ca="1" si="60"/>
        <v>243</v>
      </c>
      <c r="B255" s="193">
        <f t="shared" si="64"/>
        <v>243</v>
      </c>
      <c r="C255" s="192">
        <f ca="1">IF(ISERROR(LARGE('Berechnungen 2'!$E$16:$E$315,B255)),"",LARGE('Berechnungen 2'!$E$16:$E$315,B255))</f>
        <v>58</v>
      </c>
      <c r="D255" s="201" t="str">
        <f t="shared" ca="1" si="74"/>
        <v/>
      </c>
      <c r="E255" s="201" t="str">
        <f t="shared" ca="1" si="74"/>
        <v/>
      </c>
      <c r="F255" s="201" t="str">
        <f t="shared" ca="1" si="74"/>
        <v/>
      </c>
      <c r="G255" s="205" t="str">
        <f t="shared" ca="1" si="74"/>
        <v/>
      </c>
      <c r="H255" s="202" t="str">
        <f t="shared" ca="1" si="74"/>
        <v/>
      </c>
      <c r="I255" s="201" t="str">
        <f t="shared" ca="1" si="74"/>
        <v/>
      </c>
      <c r="J255" s="93" t="str">
        <f t="shared" ca="1" si="74"/>
        <v/>
      </c>
      <c r="K255" s="93" t="str">
        <f t="shared" ca="1" si="74"/>
        <v/>
      </c>
      <c r="L255" s="93" t="str">
        <f t="shared" ca="1" si="74"/>
        <v/>
      </c>
      <c r="M255" s="93" t="str">
        <f t="shared" ca="1" si="74"/>
        <v/>
      </c>
      <c r="N255" s="93" t="str">
        <f t="shared" ca="1" si="74"/>
        <v/>
      </c>
      <c r="O255" s="93" t="str">
        <f t="shared" ca="1" si="74"/>
        <v/>
      </c>
      <c r="P255" s="312" t="str">
        <f t="shared" ca="1" si="75"/>
        <v/>
      </c>
      <c r="Q255" s="93" t="str">
        <f t="shared" ca="1" si="75"/>
        <v/>
      </c>
      <c r="R255" s="93" t="str">
        <f t="shared" ca="1" si="75"/>
        <v/>
      </c>
      <c r="S255" s="201" t="str">
        <f t="shared" ca="1" si="61"/>
        <v/>
      </c>
      <c r="T255" s="201"/>
      <c r="Z255" s="40" t="e">
        <f t="shared" ca="1" si="62"/>
        <v>#N/A</v>
      </c>
      <c r="AA255" s="310">
        <f t="shared" ca="1" si="63"/>
        <v>999</v>
      </c>
      <c r="AB255" s="40" t="e">
        <f ca="1">IF(ISNUMBER($A255),VLOOKUP('Berechnungen 2'!AI258,Matrix_Empfehlung.Stromkosten.ID.BOText,3,1),"")</f>
        <v>#VALUE!</v>
      </c>
      <c r="AC255" s="40">
        <f t="shared" ca="1" si="76"/>
        <v>999</v>
      </c>
      <c r="AD255" s="40">
        <f t="shared" ca="1" si="76"/>
        <v>243</v>
      </c>
      <c r="AE255" s="311">
        <f t="shared" ca="1" si="68"/>
        <v>0</v>
      </c>
    </row>
    <row r="256" spans="1:31" x14ac:dyDescent="0.2">
      <c r="A256" s="201">
        <f t="shared" ca="1" si="60"/>
        <v>244</v>
      </c>
      <c r="B256" s="193">
        <f t="shared" si="64"/>
        <v>244</v>
      </c>
      <c r="C256" s="192">
        <f ca="1">IF(ISERROR(LARGE('Berechnungen 2'!$E$16:$E$315,B256)),"",LARGE('Berechnungen 2'!$E$16:$E$315,B256))</f>
        <v>57</v>
      </c>
      <c r="D256" s="201" t="str">
        <f t="shared" ca="1" si="74"/>
        <v/>
      </c>
      <c r="E256" s="201" t="str">
        <f t="shared" ca="1" si="74"/>
        <v/>
      </c>
      <c r="F256" s="201" t="str">
        <f t="shared" ca="1" si="74"/>
        <v/>
      </c>
      <c r="G256" s="205" t="str">
        <f t="shared" ca="1" si="74"/>
        <v/>
      </c>
      <c r="H256" s="202" t="str">
        <f t="shared" ca="1" si="74"/>
        <v/>
      </c>
      <c r="I256" s="201" t="str">
        <f t="shared" ca="1" si="74"/>
        <v/>
      </c>
      <c r="J256" s="93" t="str">
        <f t="shared" ca="1" si="74"/>
        <v/>
      </c>
      <c r="K256" s="93" t="str">
        <f t="shared" ca="1" si="74"/>
        <v/>
      </c>
      <c r="L256" s="93" t="str">
        <f t="shared" ca="1" si="74"/>
        <v/>
      </c>
      <c r="M256" s="93" t="str">
        <f t="shared" ca="1" si="74"/>
        <v/>
      </c>
      <c r="N256" s="93" t="str">
        <f t="shared" ca="1" si="74"/>
        <v/>
      </c>
      <c r="O256" s="93" t="str">
        <f t="shared" ca="1" si="74"/>
        <v/>
      </c>
      <c r="P256" s="312" t="str">
        <f t="shared" ca="1" si="75"/>
        <v/>
      </c>
      <c r="Q256" s="93" t="str">
        <f t="shared" ca="1" si="75"/>
        <v/>
      </c>
      <c r="R256" s="93" t="str">
        <f t="shared" ca="1" si="75"/>
        <v/>
      </c>
      <c r="S256" s="201" t="str">
        <f t="shared" ca="1" si="61"/>
        <v/>
      </c>
      <c r="T256" s="201"/>
      <c r="Z256" s="40" t="e">
        <f t="shared" ca="1" si="62"/>
        <v>#N/A</v>
      </c>
      <c r="AA256" s="310">
        <f t="shared" ca="1" si="63"/>
        <v>999</v>
      </c>
      <c r="AB256" s="40" t="e">
        <f ca="1">IF(ISNUMBER($A256),VLOOKUP('Berechnungen 2'!AI259,Matrix_Empfehlung.Stromkosten.ID.BOText,3,1),"")</f>
        <v>#VALUE!</v>
      </c>
      <c r="AC256" s="40">
        <f t="shared" ca="1" si="76"/>
        <v>999</v>
      </c>
      <c r="AD256" s="40">
        <f t="shared" ca="1" si="76"/>
        <v>244</v>
      </c>
      <c r="AE256" s="311">
        <f t="shared" ca="1" si="68"/>
        <v>0</v>
      </c>
    </row>
    <row r="257" spans="1:31" x14ac:dyDescent="0.2">
      <c r="A257" s="201">
        <f t="shared" ca="1" si="60"/>
        <v>245</v>
      </c>
      <c r="B257" s="193">
        <f t="shared" si="64"/>
        <v>245</v>
      </c>
      <c r="C257" s="192">
        <f ca="1">IF(ISERROR(LARGE('Berechnungen 2'!$E$16:$E$315,B257)),"",LARGE('Berechnungen 2'!$E$16:$E$315,B257))</f>
        <v>56</v>
      </c>
      <c r="D257" s="201" t="str">
        <f t="shared" ca="1" si="74"/>
        <v/>
      </c>
      <c r="E257" s="201" t="str">
        <f t="shared" ca="1" si="74"/>
        <v/>
      </c>
      <c r="F257" s="201" t="str">
        <f t="shared" ca="1" si="74"/>
        <v/>
      </c>
      <c r="G257" s="205" t="str">
        <f t="shared" ca="1" si="74"/>
        <v/>
      </c>
      <c r="H257" s="202" t="str">
        <f t="shared" ca="1" si="74"/>
        <v/>
      </c>
      <c r="I257" s="201" t="str">
        <f t="shared" ca="1" si="74"/>
        <v/>
      </c>
      <c r="J257" s="93" t="str">
        <f t="shared" ca="1" si="74"/>
        <v/>
      </c>
      <c r="K257" s="93" t="str">
        <f t="shared" ca="1" si="74"/>
        <v/>
      </c>
      <c r="L257" s="93" t="str">
        <f t="shared" ca="1" si="74"/>
        <v/>
      </c>
      <c r="M257" s="93" t="str">
        <f t="shared" ca="1" si="74"/>
        <v/>
      </c>
      <c r="N257" s="93" t="str">
        <f t="shared" ca="1" si="74"/>
        <v/>
      </c>
      <c r="O257" s="93" t="str">
        <f t="shared" ca="1" si="74"/>
        <v/>
      </c>
      <c r="P257" s="312" t="str">
        <f t="shared" ca="1" si="75"/>
        <v/>
      </c>
      <c r="Q257" s="93" t="str">
        <f t="shared" ca="1" si="75"/>
        <v/>
      </c>
      <c r="R257" s="93" t="str">
        <f t="shared" ca="1" si="75"/>
        <v/>
      </c>
      <c r="S257" s="201" t="str">
        <f t="shared" ca="1" si="61"/>
        <v/>
      </c>
      <c r="T257" s="201"/>
      <c r="Z257" s="40" t="e">
        <f t="shared" ca="1" si="62"/>
        <v>#N/A</v>
      </c>
      <c r="AA257" s="310">
        <f t="shared" ca="1" si="63"/>
        <v>999</v>
      </c>
      <c r="AB257" s="40" t="e">
        <f ca="1">IF(ISNUMBER($A257),VLOOKUP('Berechnungen 2'!AI260,Matrix_Empfehlung.Stromkosten.ID.BOText,3,1),"")</f>
        <v>#VALUE!</v>
      </c>
      <c r="AC257" s="40">
        <f t="shared" ca="1" si="76"/>
        <v>999</v>
      </c>
      <c r="AD257" s="40">
        <f t="shared" ca="1" si="76"/>
        <v>245</v>
      </c>
      <c r="AE257" s="311">
        <f t="shared" ca="1" si="68"/>
        <v>0</v>
      </c>
    </row>
    <row r="258" spans="1:31" x14ac:dyDescent="0.2">
      <c r="A258" s="201">
        <f t="shared" ca="1" si="60"/>
        <v>246</v>
      </c>
      <c r="B258" s="193">
        <f t="shared" si="64"/>
        <v>246</v>
      </c>
      <c r="C258" s="192">
        <f ca="1">IF(ISERROR(LARGE('Berechnungen 2'!$E$16:$E$315,B258)),"",LARGE('Berechnungen 2'!$E$16:$E$315,B258))</f>
        <v>55</v>
      </c>
      <c r="D258" s="201" t="str">
        <f t="shared" ca="1" si="74"/>
        <v/>
      </c>
      <c r="E258" s="201" t="str">
        <f t="shared" ca="1" si="74"/>
        <v/>
      </c>
      <c r="F258" s="201" t="str">
        <f t="shared" ca="1" si="74"/>
        <v/>
      </c>
      <c r="G258" s="205" t="str">
        <f t="shared" ca="1" si="74"/>
        <v/>
      </c>
      <c r="H258" s="202" t="str">
        <f t="shared" ca="1" si="74"/>
        <v/>
      </c>
      <c r="I258" s="201" t="str">
        <f t="shared" ca="1" si="74"/>
        <v/>
      </c>
      <c r="J258" s="93" t="str">
        <f t="shared" ca="1" si="74"/>
        <v/>
      </c>
      <c r="K258" s="93" t="str">
        <f t="shared" ca="1" si="74"/>
        <v/>
      </c>
      <c r="L258" s="93" t="str">
        <f t="shared" ca="1" si="74"/>
        <v/>
      </c>
      <c r="M258" s="93" t="str">
        <f t="shared" ca="1" si="74"/>
        <v/>
      </c>
      <c r="N258" s="93" t="str">
        <f t="shared" ca="1" si="74"/>
        <v/>
      </c>
      <c r="O258" s="93" t="str">
        <f t="shared" ca="1" si="74"/>
        <v/>
      </c>
      <c r="P258" s="312" t="str">
        <f t="shared" ca="1" si="75"/>
        <v/>
      </c>
      <c r="Q258" s="93" t="str">
        <f t="shared" ca="1" si="75"/>
        <v/>
      </c>
      <c r="R258" s="93" t="str">
        <f t="shared" ca="1" si="75"/>
        <v/>
      </c>
      <c r="S258" s="201" t="str">
        <f t="shared" ca="1" si="61"/>
        <v/>
      </c>
      <c r="T258" s="201"/>
      <c r="Z258" s="40" t="e">
        <f t="shared" ca="1" si="62"/>
        <v>#N/A</v>
      </c>
      <c r="AA258" s="310">
        <f t="shared" ca="1" si="63"/>
        <v>999</v>
      </c>
      <c r="AB258" s="40" t="e">
        <f ca="1">IF(ISNUMBER($A258),VLOOKUP('Berechnungen 2'!AI261,Matrix_Empfehlung.Stromkosten.ID.BOText,3,1),"")</f>
        <v>#VALUE!</v>
      </c>
      <c r="AC258" s="40">
        <f t="shared" ca="1" si="76"/>
        <v>999</v>
      </c>
      <c r="AD258" s="40">
        <f t="shared" ca="1" si="76"/>
        <v>246</v>
      </c>
      <c r="AE258" s="311">
        <f t="shared" ca="1" si="68"/>
        <v>0</v>
      </c>
    </row>
    <row r="259" spans="1:31" x14ac:dyDescent="0.2">
      <c r="A259" s="201">
        <f t="shared" ca="1" si="60"/>
        <v>247</v>
      </c>
      <c r="B259" s="193">
        <f t="shared" si="64"/>
        <v>247</v>
      </c>
      <c r="C259" s="192">
        <f ca="1">IF(ISERROR(LARGE('Berechnungen 2'!$E$16:$E$315,B259)),"",LARGE('Berechnungen 2'!$E$16:$E$315,B259))</f>
        <v>54</v>
      </c>
      <c r="D259" s="201" t="str">
        <f t="shared" ca="1" si="74"/>
        <v/>
      </c>
      <c r="E259" s="201" t="str">
        <f t="shared" ca="1" si="74"/>
        <v/>
      </c>
      <c r="F259" s="201" t="str">
        <f t="shared" ca="1" si="74"/>
        <v/>
      </c>
      <c r="G259" s="205" t="str">
        <f t="shared" ca="1" si="74"/>
        <v/>
      </c>
      <c r="H259" s="202" t="str">
        <f t="shared" ca="1" si="74"/>
        <v/>
      </c>
      <c r="I259" s="201" t="str">
        <f t="shared" ca="1" si="74"/>
        <v/>
      </c>
      <c r="J259" s="93" t="str">
        <f t="shared" ca="1" si="74"/>
        <v/>
      </c>
      <c r="K259" s="93" t="str">
        <f t="shared" ca="1" si="74"/>
        <v/>
      </c>
      <c r="L259" s="93" t="str">
        <f t="shared" ca="1" si="74"/>
        <v/>
      </c>
      <c r="M259" s="93" t="str">
        <f t="shared" ca="1" si="74"/>
        <v/>
      </c>
      <c r="N259" s="93" t="str">
        <f t="shared" ca="1" si="74"/>
        <v/>
      </c>
      <c r="O259" s="93" t="str">
        <f t="shared" ca="1" si="74"/>
        <v/>
      </c>
      <c r="P259" s="312" t="str">
        <f t="shared" ca="1" si="75"/>
        <v/>
      </c>
      <c r="Q259" s="93" t="str">
        <f t="shared" ca="1" si="75"/>
        <v/>
      </c>
      <c r="R259" s="93" t="str">
        <f t="shared" ca="1" si="75"/>
        <v/>
      </c>
      <c r="S259" s="201" t="str">
        <f t="shared" ca="1" si="61"/>
        <v/>
      </c>
      <c r="T259" s="201"/>
      <c r="Z259" s="40" t="e">
        <f t="shared" ca="1" si="62"/>
        <v>#N/A</v>
      </c>
      <c r="AA259" s="310">
        <f t="shared" ca="1" si="63"/>
        <v>999</v>
      </c>
      <c r="AB259" s="40" t="e">
        <f ca="1">IF(ISNUMBER($A259),VLOOKUP('Berechnungen 2'!AI262,Matrix_Empfehlung.Stromkosten.ID.BOText,3,1),"")</f>
        <v>#VALUE!</v>
      </c>
      <c r="AC259" s="40">
        <f t="shared" ca="1" si="76"/>
        <v>999</v>
      </c>
      <c r="AD259" s="40">
        <f t="shared" ca="1" si="76"/>
        <v>247</v>
      </c>
      <c r="AE259" s="311">
        <f t="shared" ca="1" si="68"/>
        <v>0</v>
      </c>
    </row>
    <row r="260" spans="1:31" x14ac:dyDescent="0.2">
      <c r="A260" s="201">
        <f t="shared" ca="1" si="60"/>
        <v>248</v>
      </c>
      <c r="B260" s="193">
        <f t="shared" si="64"/>
        <v>248</v>
      </c>
      <c r="C260" s="192">
        <f ca="1">IF(ISERROR(LARGE('Berechnungen 2'!$E$16:$E$315,B260)),"",LARGE('Berechnungen 2'!$E$16:$E$315,B260))</f>
        <v>53</v>
      </c>
      <c r="D260" s="201" t="str">
        <f t="shared" ca="1" si="74"/>
        <v/>
      </c>
      <c r="E260" s="201" t="str">
        <f t="shared" ca="1" si="74"/>
        <v/>
      </c>
      <c r="F260" s="201" t="str">
        <f t="shared" ca="1" si="74"/>
        <v/>
      </c>
      <c r="G260" s="205" t="str">
        <f t="shared" ca="1" si="74"/>
        <v/>
      </c>
      <c r="H260" s="202" t="str">
        <f t="shared" ca="1" si="74"/>
        <v/>
      </c>
      <c r="I260" s="201" t="str">
        <f t="shared" ca="1" si="74"/>
        <v/>
      </c>
      <c r="J260" s="93" t="str">
        <f t="shared" ca="1" si="74"/>
        <v/>
      </c>
      <c r="K260" s="93" t="str">
        <f t="shared" ca="1" si="74"/>
        <v/>
      </c>
      <c r="L260" s="93" t="str">
        <f t="shared" ca="1" si="74"/>
        <v/>
      </c>
      <c r="M260" s="93" t="str">
        <f t="shared" ca="1" si="74"/>
        <v/>
      </c>
      <c r="N260" s="93" t="str">
        <f t="shared" ca="1" si="74"/>
        <v/>
      </c>
      <c r="O260" s="93" t="str">
        <f t="shared" ca="1" si="74"/>
        <v/>
      </c>
      <c r="P260" s="312" t="str">
        <f t="shared" ca="1" si="75"/>
        <v/>
      </c>
      <c r="Q260" s="93" t="str">
        <f t="shared" ca="1" si="75"/>
        <v/>
      </c>
      <c r="R260" s="93" t="str">
        <f t="shared" ca="1" si="75"/>
        <v/>
      </c>
      <c r="S260" s="201" t="str">
        <f t="shared" ca="1" si="61"/>
        <v/>
      </c>
      <c r="T260" s="201"/>
      <c r="Z260" s="40" t="e">
        <f t="shared" ca="1" si="62"/>
        <v>#N/A</v>
      </c>
      <c r="AA260" s="310">
        <f t="shared" ca="1" si="63"/>
        <v>999</v>
      </c>
      <c r="AB260" s="40" t="e">
        <f ca="1">IF(ISNUMBER($A260),VLOOKUP('Berechnungen 2'!AI263,Matrix_Empfehlung.Stromkosten.ID.BOText,3,1),"")</f>
        <v>#VALUE!</v>
      </c>
      <c r="AC260" s="40">
        <f t="shared" ca="1" si="76"/>
        <v>999</v>
      </c>
      <c r="AD260" s="40">
        <f t="shared" ca="1" si="76"/>
        <v>248</v>
      </c>
      <c r="AE260" s="311">
        <f t="shared" ca="1" si="68"/>
        <v>0</v>
      </c>
    </row>
    <row r="261" spans="1:31" x14ac:dyDescent="0.2">
      <c r="A261" s="201">
        <f t="shared" ca="1" si="60"/>
        <v>249</v>
      </c>
      <c r="B261" s="193">
        <f t="shared" si="64"/>
        <v>249</v>
      </c>
      <c r="C261" s="192">
        <f ca="1">IF(ISERROR(LARGE('Berechnungen 2'!$E$16:$E$315,B261)),"",LARGE('Berechnungen 2'!$E$16:$E$315,B261))</f>
        <v>52</v>
      </c>
      <c r="D261" s="201" t="str">
        <f t="shared" ca="1" si="74"/>
        <v/>
      </c>
      <c r="E261" s="201" t="str">
        <f t="shared" ca="1" si="74"/>
        <v/>
      </c>
      <c r="F261" s="201" t="str">
        <f t="shared" ca="1" si="74"/>
        <v/>
      </c>
      <c r="G261" s="205" t="str">
        <f t="shared" ca="1" si="74"/>
        <v/>
      </c>
      <c r="H261" s="202" t="str">
        <f t="shared" ca="1" si="74"/>
        <v/>
      </c>
      <c r="I261" s="201" t="str">
        <f t="shared" ca="1" si="74"/>
        <v/>
      </c>
      <c r="J261" s="93" t="str">
        <f t="shared" ca="1" si="74"/>
        <v/>
      </c>
      <c r="K261" s="93" t="str">
        <f t="shared" ca="1" si="74"/>
        <v/>
      </c>
      <c r="L261" s="93" t="str">
        <f t="shared" ca="1" si="74"/>
        <v/>
      </c>
      <c r="M261" s="93" t="str">
        <f t="shared" ca="1" si="74"/>
        <v/>
      </c>
      <c r="N261" s="93" t="str">
        <f t="shared" ca="1" si="74"/>
        <v/>
      </c>
      <c r="O261" s="93" t="str">
        <f t="shared" ca="1" si="74"/>
        <v/>
      </c>
      <c r="P261" s="312" t="str">
        <f t="shared" ca="1" si="75"/>
        <v/>
      </c>
      <c r="Q261" s="93" t="str">
        <f t="shared" ca="1" si="75"/>
        <v/>
      </c>
      <c r="R261" s="93" t="str">
        <f t="shared" ca="1" si="75"/>
        <v/>
      </c>
      <c r="S261" s="201" t="str">
        <f t="shared" ca="1" si="61"/>
        <v/>
      </c>
      <c r="T261" s="201"/>
      <c r="Z261" s="40" t="e">
        <f t="shared" ca="1" si="62"/>
        <v>#N/A</v>
      </c>
      <c r="AA261" s="310">
        <f t="shared" ca="1" si="63"/>
        <v>999</v>
      </c>
      <c r="AB261" s="40" t="e">
        <f ca="1">IF(ISNUMBER($A261),VLOOKUP('Berechnungen 2'!AI264,Matrix_Empfehlung.Stromkosten.ID.BOText,3,1),"")</f>
        <v>#VALUE!</v>
      </c>
      <c r="AC261" s="40">
        <f t="shared" ca="1" si="76"/>
        <v>999</v>
      </c>
      <c r="AD261" s="40">
        <f t="shared" ca="1" si="76"/>
        <v>249</v>
      </c>
      <c r="AE261" s="311">
        <f t="shared" ca="1" si="68"/>
        <v>0</v>
      </c>
    </row>
    <row r="262" spans="1:31" x14ac:dyDescent="0.2">
      <c r="A262" s="201">
        <f t="shared" ca="1" si="60"/>
        <v>250</v>
      </c>
      <c r="B262" s="193">
        <f t="shared" si="64"/>
        <v>250</v>
      </c>
      <c r="C262" s="192">
        <f ca="1">IF(ISERROR(LARGE('Berechnungen 2'!$E$16:$E$315,B262)),"",LARGE('Berechnungen 2'!$E$16:$E$315,B262))</f>
        <v>51</v>
      </c>
      <c r="D262" s="201" t="str">
        <f t="shared" ca="1" si="74"/>
        <v/>
      </c>
      <c r="E262" s="201" t="str">
        <f t="shared" ca="1" si="74"/>
        <v/>
      </c>
      <c r="F262" s="201" t="str">
        <f t="shared" ca="1" si="74"/>
        <v/>
      </c>
      <c r="G262" s="205" t="str">
        <f t="shared" ca="1" si="74"/>
        <v/>
      </c>
      <c r="H262" s="202" t="str">
        <f t="shared" ca="1" si="74"/>
        <v/>
      </c>
      <c r="I262" s="201" t="str">
        <f t="shared" ca="1" si="74"/>
        <v/>
      </c>
      <c r="J262" s="93" t="str">
        <f t="shared" ca="1" si="74"/>
        <v/>
      </c>
      <c r="K262" s="93" t="str">
        <f t="shared" ca="1" si="74"/>
        <v/>
      </c>
      <c r="L262" s="93" t="str">
        <f t="shared" ca="1" si="74"/>
        <v/>
      </c>
      <c r="M262" s="93" t="str">
        <f t="shared" ca="1" si="74"/>
        <v/>
      </c>
      <c r="N262" s="93" t="str">
        <f t="shared" ca="1" si="74"/>
        <v/>
      </c>
      <c r="O262" s="93" t="str">
        <f t="shared" ca="1" si="74"/>
        <v/>
      </c>
      <c r="P262" s="312" t="str">
        <f t="shared" ca="1" si="75"/>
        <v/>
      </c>
      <c r="Q262" s="93" t="str">
        <f t="shared" ca="1" si="75"/>
        <v/>
      </c>
      <c r="R262" s="93" t="str">
        <f t="shared" ca="1" si="75"/>
        <v/>
      </c>
      <c r="S262" s="201" t="str">
        <f t="shared" ca="1" si="61"/>
        <v/>
      </c>
      <c r="T262" s="201"/>
      <c r="Z262" s="40" t="e">
        <f t="shared" ca="1" si="62"/>
        <v>#N/A</v>
      </c>
      <c r="AA262" s="310">
        <f t="shared" ca="1" si="63"/>
        <v>999</v>
      </c>
      <c r="AB262" s="40" t="e">
        <f ca="1">IF(ISNUMBER($A262),VLOOKUP('Berechnungen 2'!AI265,Matrix_Empfehlung.Stromkosten.ID.BOText,3,1),"")</f>
        <v>#VALUE!</v>
      </c>
      <c r="AC262" s="40">
        <f t="shared" ca="1" si="76"/>
        <v>999</v>
      </c>
      <c r="AD262" s="40">
        <f t="shared" ca="1" si="76"/>
        <v>250</v>
      </c>
      <c r="AE262" s="311">
        <f t="shared" ca="1" si="68"/>
        <v>0</v>
      </c>
    </row>
    <row r="263" spans="1:31" x14ac:dyDescent="0.2">
      <c r="A263" s="201">
        <f t="shared" ca="1" si="60"/>
        <v>251</v>
      </c>
      <c r="B263" s="193">
        <f t="shared" si="64"/>
        <v>251</v>
      </c>
      <c r="C263" s="192">
        <f ca="1">IF(ISERROR(LARGE('Berechnungen 2'!$E$16:$E$315,B263)),"",LARGE('Berechnungen 2'!$E$16:$E$315,B263))</f>
        <v>50</v>
      </c>
      <c r="D263" s="201" t="str">
        <f t="shared" ref="D263:O272" ca="1" si="77">IF($AC263&gt;0,VLOOKUP($C263,Matrix_Berechnungen2.Rang.Pumpendaten.Endresultate,D$9,0),"")</f>
        <v/>
      </c>
      <c r="E263" s="201" t="str">
        <f t="shared" ca="1" si="77"/>
        <v/>
      </c>
      <c r="F263" s="201" t="str">
        <f t="shared" ca="1" si="77"/>
        <v/>
      </c>
      <c r="G263" s="205" t="str">
        <f t="shared" ca="1" si="77"/>
        <v/>
      </c>
      <c r="H263" s="202" t="str">
        <f t="shared" ca="1" si="77"/>
        <v/>
      </c>
      <c r="I263" s="201" t="str">
        <f t="shared" ca="1" si="77"/>
        <v/>
      </c>
      <c r="J263" s="93" t="str">
        <f t="shared" ca="1" si="77"/>
        <v/>
      </c>
      <c r="K263" s="93" t="str">
        <f t="shared" ca="1" si="77"/>
        <v/>
      </c>
      <c r="L263" s="93" t="str">
        <f t="shared" ca="1" si="77"/>
        <v/>
      </c>
      <c r="M263" s="93" t="str">
        <f t="shared" ca="1" si="77"/>
        <v/>
      </c>
      <c r="N263" s="93" t="str">
        <f t="shared" ca="1" si="77"/>
        <v/>
      </c>
      <c r="O263" s="93" t="str">
        <f t="shared" ca="1" si="77"/>
        <v/>
      </c>
      <c r="P263" s="312" t="str">
        <f t="shared" ca="1" si="75"/>
        <v/>
      </c>
      <c r="Q263" s="93" t="str">
        <f t="shared" ca="1" si="75"/>
        <v/>
      </c>
      <c r="R263" s="93" t="str">
        <f t="shared" ca="1" si="75"/>
        <v/>
      </c>
      <c r="S263" s="201" t="str">
        <f t="shared" ca="1" si="61"/>
        <v/>
      </c>
      <c r="T263" s="201"/>
      <c r="Z263" s="40" t="e">
        <f t="shared" ca="1" si="62"/>
        <v>#N/A</v>
      </c>
      <c r="AA263" s="310">
        <f t="shared" ca="1" si="63"/>
        <v>999</v>
      </c>
      <c r="AB263" s="40" t="e">
        <f ca="1">IF(ISNUMBER($A263),VLOOKUP('Berechnungen 2'!AI266,Matrix_Empfehlung.Stromkosten.ID.BOText,3,1),"")</f>
        <v>#VALUE!</v>
      </c>
      <c r="AC263" s="40">
        <f t="shared" ca="1" si="76"/>
        <v>999</v>
      </c>
      <c r="AD263" s="40">
        <f t="shared" ca="1" si="76"/>
        <v>251</v>
      </c>
      <c r="AE263" s="311">
        <f t="shared" ca="1" si="68"/>
        <v>0</v>
      </c>
    </row>
    <row r="264" spans="1:31" x14ac:dyDescent="0.2">
      <c r="A264" s="201">
        <f t="shared" ca="1" si="60"/>
        <v>252</v>
      </c>
      <c r="B264" s="193">
        <f t="shared" si="64"/>
        <v>252</v>
      </c>
      <c r="C264" s="192">
        <f ca="1">IF(ISERROR(LARGE('Berechnungen 2'!$E$16:$E$315,B264)),"",LARGE('Berechnungen 2'!$E$16:$E$315,B264))</f>
        <v>49</v>
      </c>
      <c r="D264" s="201" t="str">
        <f t="shared" ca="1" si="77"/>
        <v/>
      </c>
      <c r="E264" s="201" t="str">
        <f t="shared" ca="1" si="77"/>
        <v/>
      </c>
      <c r="F264" s="201" t="str">
        <f t="shared" ca="1" si="77"/>
        <v/>
      </c>
      <c r="G264" s="205" t="str">
        <f t="shared" ca="1" si="77"/>
        <v/>
      </c>
      <c r="H264" s="202" t="str">
        <f t="shared" ca="1" si="77"/>
        <v/>
      </c>
      <c r="I264" s="201" t="str">
        <f t="shared" ca="1" si="77"/>
        <v/>
      </c>
      <c r="J264" s="93" t="str">
        <f t="shared" ca="1" si="77"/>
        <v/>
      </c>
      <c r="K264" s="93" t="str">
        <f t="shared" ca="1" si="77"/>
        <v/>
      </c>
      <c r="L264" s="93" t="str">
        <f t="shared" ca="1" si="77"/>
        <v/>
      </c>
      <c r="M264" s="93" t="str">
        <f t="shared" ca="1" si="77"/>
        <v/>
      </c>
      <c r="N264" s="93" t="str">
        <f t="shared" ca="1" si="77"/>
        <v/>
      </c>
      <c r="O264" s="93" t="str">
        <f t="shared" ca="1" si="77"/>
        <v/>
      </c>
      <c r="P264" s="312" t="str">
        <f t="shared" ca="1" si="75"/>
        <v/>
      </c>
      <c r="Q264" s="93" t="str">
        <f t="shared" ca="1" si="75"/>
        <v/>
      </c>
      <c r="R264" s="93" t="str">
        <f t="shared" ca="1" si="75"/>
        <v/>
      </c>
      <c r="S264" s="201" t="str">
        <f t="shared" ca="1" si="61"/>
        <v/>
      </c>
      <c r="T264" s="201"/>
      <c r="Z264" s="40" t="e">
        <f t="shared" ca="1" si="62"/>
        <v>#N/A</v>
      </c>
      <c r="AA264" s="310">
        <f t="shared" ca="1" si="63"/>
        <v>999</v>
      </c>
      <c r="AB264" s="40" t="e">
        <f ca="1">IF(ISNUMBER($A264),VLOOKUP('Berechnungen 2'!AI267,Matrix_Empfehlung.Stromkosten.ID.BOText,3,1),"")</f>
        <v>#VALUE!</v>
      </c>
      <c r="AC264" s="40">
        <f t="shared" ca="1" si="76"/>
        <v>999</v>
      </c>
      <c r="AD264" s="40">
        <f t="shared" ca="1" si="76"/>
        <v>252</v>
      </c>
      <c r="AE264" s="311">
        <f t="shared" ca="1" si="68"/>
        <v>0</v>
      </c>
    </row>
    <row r="265" spans="1:31" x14ac:dyDescent="0.2">
      <c r="A265" s="201">
        <f t="shared" ca="1" si="60"/>
        <v>253</v>
      </c>
      <c r="B265" s="193">
        <f t="shared" si="64"/>
        <v>253</v>
      </c>
      <c r="C265" s="192">
        <f ca="1">IF(ISERROR(LARGE('Berechnungen 2'!$E$16:$E$315,B265)),"",LARGE('Berechnungen 2'!$E$16:$E$315,B265))</f>
        <v>48</v>
      </c>
      <c r="D265" s="201" t="str">
        <f t="shared" ca="1" si="77"/>
        <v/>
      </c>
      <c r="E265" s="201" t="str">
        <f t="shared" ca="1" si="77"/>
        <v/>
      </c>
      <c r="F265" s="201" t="str">
        <f t="shared" ca="1" si="77"/>
        <v/>
      </c>
      <c r="G265" s="205" t="str">
        <f t="shared" ca="1" si="77"/>
        <v/>
      </c>
      <c r="H265" s="202" t="str">
        <f t="shared" ca="1" si="77"/>
        <v/>
      </c>
      <c r="I265" s="201" t="str">
        <f t="shared" ca="1" si="77"/>
        <v/>
      </c>
      <c r="J265" s="93" t="str">
        <f t="shared" ca="1" si="77"/>
        <v/>
      </c>
      <c r="K265" s="93" t="str">
        <f t="shared" ca="1" si="77"/>
        <v/>
      </c>
      <c r="L265" s="93" t="str">
        <f t="shared" ca="1" si="77"/>
        <v/>
      </c>
      <c r="M265" s="93" t="str">
        <f t="shared" ca="1" si="77"/>
        <v/>
      </c>
      <c r="N265" s="93" t="str">
        <f t="shared" ca="1" si="77"/>
        <v/>
      </c>
      <c r="O265" s="93" t="str">
        <f t="shared" ca="1" si="77"/>
        <v/>
      </c>
      <c r="P265" s="312" t="str">
        <f t="shared" ca="1" si="75"/>
        <v/>
      </c>
      <c r="Q265" s="93" t="str">
        <f t="shared" ca="1" si="75"/>
        <v/>
      </c>
      <c r="R265" s="93" t="str">
        <f t="shared" ca="1" si="75"/>
        <v/>
      </c>
      <c r="S265" s="201" t="str">
        <f t="shared" ca="1" si="61"/>
        <v/>
      </c>
      <c r="T265" s="201"/>
      <c r="Z265" s="40" t="e">
        <f t="shared" ca="1" si="62"/>
        <v>#N/A</v>
      </c>
      <c r="AA265" s="310">
        <f t="shared" ca="1" si="63"/>
        <v>999</v>
      </c>
      <c r="AB265" s="40" t="e">
        <f ca="1">IF(ISNUMBER($A265),VLOOKUP('Berechnungen 2'!AI268,Matrix_Empfehlung.Stromkosten.ID.BOText,3,1),"")</f>
        <v>#VALUE!</v>
      </c>
      <c r="AC265" s="40">
        <f t="shared" ca="1" si="76"/>
        <v>999</v>
      </c>
      <c r="AD265" s="40">
        <f t="shared" ca="1" si="76"/>
        <v>253</v>
      </c>
      <c r="AE265" s="311">
        <f t="shared" ca="1" si="68"/>
        <v>0</v>
      </c>
    </row>
    <row r="266" spans="1:31" x14ac:dyDescent="0.2">
      <c r="A266" s="201">
        <f t="shared" ca="1" si="60"/>
        <v>254</v>
      </c>
      <c r="B266" s="193">
        <f t="shared" si="64"/>
        <v>254</v>
      </c>
      <c r="C266" s="192">
        <f ca="1">IF(ISERROR(LARGE('Berechnungen 2'!$E$16:$E$315,B266)),"",LARGE('Berechnungen 2'!$E$16:$E$315,B266))</f>
        <v>47</v>
      </c>
      <c r="D266" s="201" t="str">
        <f t="shared" ca="1" si="77"/>
        <v/>
      </c>
      <c r="E266" s="201" t="str">
        <f t="shared" ca="1" si="77"/>
        <v/>
      </c>
      <c r="F266" s="201" t="str">
        <f t="shared" ca="1" si="77"/>
        <v/>
      </c>
      <c r="G266" s="205" t="str">
        <f t="shared" ca="1" si="77"/>
        <v/>
      </c>
      <c r="H266" s="202" t="str">
        <f t="shared" ca="1" si="77"/>
        <v/>
      </c>
      <c r="I266" s="201" t="str">
        <f t="shared" ca="1" si="77"/>
        <v/>
      </c>
      <c r="J266" s="93" t="str">
        <f t="shared" ca="1" si="77"/>
        <v/>
      </c>
      <c r="K266" s="93" t="str">
        <f t="shared" ca="1" si="77"/>
        <v/>
      </c>
      <c r="L266" s="93" t="str">
        <f t="shared" ca="1" si="77"/>
        <v/>
      </c>
      <c r="M266" s="93" t="str">
        <f t="shared" ca="1" si="77"/>
        <v/>
      </c>
      <c r="N266" s="93" t="str">
        <f t="shared" ca="1" si="77"/>
        <v/>
      </c>
      <c r="O266" s="93" t="str">
        <f t="shared" ca="1" si="77"/>
        <v/>
      </c>
      <c r="P266" s="312" t="str">
        <f t="shared" ca="1" si="75"/>
        <v/>
      </c>
      <c r="Q266" s="93" t="str">
        <f t="shared" ca="1" si="75"/>
        <v/>
      </c>
      <c r="R266" s="93" t="str">
        <f t="shared" ca="1" si="75"/>
        <v/>
      </c>
      <c r="S266" s="201" t="str">
        <f t="shared" ca="1" si="61"/>
        <v/>
      </c>
      <c r="T266" s="201"/>
      <c r="Z266" s="40" t="e">
        <f t="shared" ca="1" si="62"/>
        <v>#N/A</v>
      </c>
      <c r="AA266" s="310">
        <f t="shared" ca="1" si="63"/>
        <v>999</v>
      </c>
      <c r="AB266" s="40" t="e">
        <f ca="1">IF(ISNUMBER($A266),VLOOKUP('Berechnungen 2'!AI269,Matrix_Empfehlung.Stromkosten.ID.BOText,3,1),"")</f>
        <v>#VALUE!</v>
      </c>
      <c r="AC266" s="40">
        <f t="shared" ca="1" si="76"/>
        <v>999</v>
      </c>
      <c r="AD266" s="40">
        <f t="shared" ca="1" si="76"/>
        <v>254</v>
      </c>
      <c r="AE266" s="311">
        <f t="shared" ca="1" si="68"/>
        <v>0</v>
      </c>
    </row>
    <row r="267" spans="1:31" x14ac:dyDescent="0.2">
      <c r="A267" s="201">
        <f t="shared" ca="1" si="60"/>
        <v>255</v>
      </c>
      <c r="B267" s="193">
        <f t="shared" si="64"/>
        <v>255</v>
      </c>
      <c r="C267" s="192">
        <f ca="1">IF(ISERROR(LARGE('Berechnungen 2'!$E$16:$E$315,B267)),"",LARGE('Berechnungen 2'!$E$16:$E$315,B267))</f>
        <v>46</v>
      </c>
      <c r="D267" s="201" t="str">
        <f t="shared" ca="1" si="77"/>
        <v/>
      </c>
      <c r="E267" s="201" t="str">
        <f t="shared" ca="1" si="77"/>
        <v/>
      </c>
      <c r="F267" s="201" t="str">
        <f t="shared" ca="1" si="77"/>
        <v/>
      </c>
      <c r="G267" s="205" t="str">
        <f t="shared" ca="1" si="77"/>
        <v/>
      </c>
      <c r="H267" s="202" t="str">
        <f t="shared" ca="1" si="77"/>
        <v/>
      </c>
      <c r="I267" s="201" t="str">
        <f t="shared" ca="1" si="77"/>
        <v/>
      </c>
      <c r="J267" s="93" t="str">
        <f t="shared" ca="1" si="77"/>
        <v/>
      </c>
      <c r="K267" s="93" t="str">
        <f t="shared" ca="1" si="77"/>
        <v/>
      </c>
      <c r="L267" s="93" t="str">
        <f t="shared" ca="1" si="77"/>
        <v/>
      </c>
      <c r="M267" s="93" t="str">
        <f t="shared" ca="1" si="77"/>
        <v/>
      </c>
      <c r="N267" s="93" t="str">
        <f t="shared" ca="1" si="77"/>
        <v/>
      </c>
      <c r="O267" s="93" t="str">
        <f t="shared" ca="1" si="77"/>
        <v/>
      </c>
      <c r="P267" s="312" t="str">
        <f t="shared" ca="1" si="75"/>
        <v/>
      </c>
      <c r="Q267" s="93" t="str">
        <f t="shared" ca="1" si="75"/>
        <v/>
      </c>
      <c r="R267" s="93" t="str">
        <f t="shared" ca="1" si="75"/>
        <v/>
      </c>
      <c r="S267" s="201" t="str">
        <f t="shared" ca="1" si="61"/>
        <v/>
      </c>
      <c r="T267" s="201"/>
      <c r="Z267" s="40" t="e">
        <f t="shared" ca="1" si="62"/>
        <v>#N/A</v>
      </c>
      <c r="AA267" s="310">
        <f t="shared" ca="1" si="63"/>
        <v>999</v>
      </c>
      <c r="AB267" s="40" t="e">
        <f ca="1">IF(ISNUMBER($A267),VLOOKUP('Berechnungen 2'!AI270,Matrix_Empfehlung.Stromkosten.ID.BOText,3,1),"")</f>
        <v>#VALUE!</v>
      </c>
      <c r="AC267" s="40">
        <f t="shared" ca="1" si="76"/>
        <v>999</v>
      </c>
      <c r="AD267" s="40">
        <f t="shared" ca="1" si="76"/>
        <v>255</v>
      </c>
      <c r="AE267" s="311">
        <f t="shared" ca="1" si="68"/>
        <v>0</v>
      </c>
    </row>
    <row r="268" spans="1:31" x14ac:dyDescent="0.2">
      <c r="A268" s="201">
        <f t="shared" ca="1" si="60"/>
        <v>256</v>
      </c>
      <c r="B268" s="193">
        <f t="shared" si="64"/>
        <v>256</v>
      </c>
      <c r="C268" s="192">
        <f ca="1">IF(ISERROR(LARGE('Berechnungen 2'!$E$16:$E$315,B268)),"",LARGE('Berechnungen 2'!$E$16:$E$315,B268))</f>
        <v>45</v>
      </c>
      <c r="D268" s="201" t="str">
        <f t="shared" ca="1" si="77"/>
        <v/>
      </c>
      <c r="E268" s="201" t="str">
        <f t="shared" ca="1" si="77"/>
        <v/>
      </c>
      <c r="F268" s="201" t="str">
        <f t="shared" ca="1" si="77"/>
        <v/>
      </c>
      <c r="G268" s="205" t="str">
        <f t="shared" ca="1" si="77"/>
        <v/>
      </c>
      <c r="H268" s="202" t="str">
        <f t="shared" ca="1" si="77"/>
        <v/>
      </c>
      <c r="I268" s="201" t="str">
        <f t="shared" ca="1" si="77"/>
        <v/>
      </c>
      <c r="J268" s="93" t="str">
        <f t="shared" ca="1" si="77"/>
        <v/>
      </c>
      <c r="K268" s="93" t="str">
        <f t="shared" ca="1" si="77"/>
        <v/>
      </c>
      <c r="L268" s="93" t="str">
        <f t="shared" ca="1" si="77"/>
        <v/>
      </c>
      <c r="M268" s="93" t="str">
        <f t="shared" ca="1" si="77"/>
        <v/>
      </c>
      <c r="N268" s="93" t="str">
        <f t="shared" ca="1" si="77"/>
        <v/>
      </c>
      <c r="O268" s="93" t="str">
        <f t="shared" ca="1" si="77"/>
        <v/>
      </c>
      <c r="P268" s="312" t="str">
        <f t="shared" ca="1" si="75"/>
        <v/>
      </c>
      <c r="Q268" s="93" t="str">
        <f t="shared" ca="1" si="75"/>
        <v/>
      </c>
      <c r="R268" s="93" t="str">
        <f t="shared" ca="1" si="75"/>
        <v/>
      </c>
      <c r="S268" s="201" t="str">
        <f t="shared" ca="1" si="61"/>
        <v/>
      </c>
      <c r="T268" s="201"/>
      <c r="Z268" s="40" t="e">
        <f t="shared" ca="1" si="62"/>
        <v>#N/A</v>
      </c>
      <c r="AA268" s="310">
        <f t="shared" ca="1" si="63"/>
        <v>999</v>
      </c>
      <c r="AB268" s="40" t="e">
        <f ca="1">IF(ISNUMBER($A268),VLOOKUP('Berechnungen 2'!AI271,Matrix_Empfehlung.Stromkosten.ID.BOText,3,1),"")</f>
        <v>#VALUE!</v>
      </c>
      <c r="AC268" s="40">
        <f t="shared" ca="1" si="76"/>
        <v>999</v>
      </c>
      <c r="AD268" s="40">
        <f t="shared" ca="1" si="76"/>
        <v>256</v>
      </c>
      <c r="AE268" s="311">
        <f t="shared" ca="1" si="68"/>
        <v>0</v>
      </c>
    </row>
    <row r="269" spans="1:31" x14ac:dyDescent="0.2">
      <c r="A269" s="201">
        <f t="shared" ref="A269:A312" ca="1" si="78">VLOOKUP($C269,Matrix_Berechnungen2.Rang.Pumpendaten.Endresultate,A$9,0)</f>
        <v>257</v>
      </c>
      <c r="B269" s="193">
        <f t="shared" si="64"/>
        <v>257</v>
      </c>
      <c r="C269" s="192">
        <f ca="1">IF(ISERROR(LARGE('Berechnungen 2'!$E$16:$E$315,B269)),"",LARGE('Berechnungen 2'!$E$16:$E$315,B269))</f>
        <v>44</v>
      </c>
      <c r="D269" s="201" t="str">
        <f t="shared" ca="1" si="77"/>
        <v/>
      </c>
      <c r="E269" s="201" t="str">
        <f t="shared" ca="1" si="77"/>
        <v/>
      </c>
      <c r="F269" s="201" t="str">
        <f t="shared" ca="1" si="77"/>
        <v/>
      </c>
      <c r="G269" s="205" t="str">
        <f t="shared" ca="1" si="77"/>
        <v/>
      </c>
      <c r="H269" s="202" t="str">
        <f t="shared" ca="1" si="77"/>
        <v/>
      </c>
      <c r="I269" s="201" t="str">
        <f t="shared" ca="1" si="77"/>
        <v/>
      </c>
      <c r="J269" s="93" t="str">
        <f t="shared" ca="1" si="77"/>
        <v/>
      </c>
      <c r="K269" s="93" t="str">
        <f t="shared" ca="1" si="77"/>
        <v/>
      </c>
      <c r="L269" s="93" t="str">
        <f t="shared" ca="1" si="77"/>
        <v/>
      </c>
      <c r="M269" s="93" t="str">
        <f t="shared" ca="1" si="77"/>
        <v/>
      </c>
      <c r="N269" s="93" t="str">
        <f t="shared" ca="1" si="77"/>
        <v/>
      </c>
      <c r="O269" s="93" t="str">
        <f t="shared" ca="1" si="77"/>
        <v/>
      </c>
      <c r="P269" s="312" t="str">
        <f t="shared" ca="1" si="75"/>
        <v/>
      </c>
      <c r="Q269" s="93" t="str">
        <f t="shared" ca="1" si="75"/>
        <v/>
      </c>
      <c r="R269" s="93" t="str">
        <f t="shared" ca="1" si="75"/>
        <v/>
      </c>
      <c r="S269" s="201" t="str">
        <f t="shared" ref="S269:S312" ca="1" si="79">IF(AND($AC269&gt;0,$AC269&lt;&gt;999,$AC269&lt;&gt;9999,$AA269&gt;0),VLOOKUP(R269,Matrix_Empfehlung.Potential.ID.DetailanalyseText,3,1),"")</f>
        <v/>
      </c>
      <c r="T269" s="201"/>
      <c r="Z269" s="40" t="e">
        <f t="shared" ref="Z269:Z312" ca="1" si="80">IF(ISNUMBER($A269),VLOOKUP(R269,Matrix_Empfehlung.Potential.ID.DetailanalyseText,4,1),0)</f>
        <v>#N/A</v>
      </c>
      <c r="AA269" s="310">
        <f t="shared" ref="AA269:AA312" ca="1" si="81">VLOOKUP($C269,Matrix_Berechnungen2.Rang.Pumpendaten.Endresultate,AA$9,0)</f>
        <v>999</v>
      </c>
      <c r="AB269" s="40" t="e">
        <f ca="1">IF(ISNUMBER($A269),VLOOKUP('Berechnungen 2'!AI272,Matrix_Empfehlung.Stromkosten.ID.BOText,3,1),"")</f>
        <v>#VALUE!</v>
      </c>
      <c r="AC269" s="40">
        <f t="shared" ca="1" si="76"/>
        <v>999</v>
      </c>
      <c r="AD269" s="40">
        <f t="shared" ca="1" si="76"/>
        <v>257</v>
      </c>
      <c r="AE269" s="311">
        <f t="shared" ca="1" si="68"/>
        <v>0</v>
      </c>
    </row>
    <row r="270" spans="1:31" x14ac:dyDescent="0.2">
      <c r="A270" s="201">
        <f t="shared" ca="1" si="78"/>
        <v>258</v>
      </c>
      <c r="B270" s="193">
        <f t="shared" si="64"/>
        <v>258</v>
      </c>
      <c r="C270" s="192">
        <f ca="1">IF(ISERROR(LARGE('Berechnungen 2'!$E$16:$E$315,B270)),"",LARGE('Berechnungen 2'!$E$16:$E$315,B270))</f>
        <v>43</v>
      </c>
      <c r="D270" s="201" t="str">
        <f t="shared" ca="1" si="77"/>
        <v/>
      </c>
      <c r="E270" s="201" t="str">
        <f t="shared" ca="1" si="77"/>
        <v/>
      </c>
      <c r="F270" s="201" t="str">
        <f t="shared" ca="1" si="77"/>
        <v/>
      </c>
      <c r="G270" s="205" t="str">
        <f t="shared" ca="1" si="77"/>
        <v/>
      </c>
      <c r="H270" s="202" t="str">
        <f t="shared" ca="1" si="77"/>
        <v/>
      </c>
      <c r="I270" s="201" t="str">
        <f t="shared" ca="1" si="77"/>
        <v/>
      </c>
      <c r="J270" s="93" t="str">
        <f t="shared" ca="1" si="77"/>
        <v/>
      </c>
      <c r="K270" s="93" t="str">
        <f t="shared" ca="1" si="77"/>
        <v/>
      </c>
      <c r="L270" s="93" t="str">
        <f t="shared" ca="1" si="77"/>
        <v/>
      </c>
      <c r="M270" s="93" t="str">
        <f t="shared" ca="1" si="77"/>
        <v/>
      </c>
      <c r="N270" s="93" t="str">
        <f t="shared" ca="1" si="77"/>
        <v/>
      </c>
      <c r="O270" s="93" t="str">
        <f t="shared" ca="1" si="77"/>
        <v/>
      </c>
      <c r="P270" s="312" t="str">
        <f t="shared" ca="1" si="75"/>
        <v/>
      </c>
      <c r="Q270" s="93" t="str">
        <f t="shared" ca="1" si="75"/>
        <v/>
      </c>
      <c r="R270" s="93" t="str">
        <f t="shared" ca="1" si="75"/>
        <v/>
      </c>
      <c r="S270" s="201" t="str">
        <f t="shared" ca="1" si="79"/>
        <v/>
      </c>
      <c r="T270" s="201"/>
      <c r="Z270" s="40" t="e">
        <f t="shared" ca="1" si="80"/>
        <v>#N/A</v>
      </c>
      <c r="AA270" s="310">
        <f t="shared" ca="1" si="81"/>
        <v>999</v>
      </c>
      <c r="AB270" s="40" t="e">
        <f ca="1">IF(ISNUMBER($A270),VLOOKUP('Berechnungen 2'!AI273,Matrix_Empfehlung.Stromkosten.ID.BOText,3,1),"")</f>
        <v>#VALUE!</v>
      </c>
      <c r="AC270" s="40">
        <f t="shared" ca="1" si="76"/>
        <v>999</v>
      </c>
      <c r="AD270" s="40">
        <f t="shared" ca="1" si="76"/>
        <v>258</v>
      </c>
      <c r="AE270" s="311">
        <f t="shared" ca="1" si="68"/>
        <v>0</v>
      </c>
    </row>
    <row r="271" spans="1:31" x14ac:dyDescent="0.2">
      <c r="A271" s="201">
        <f t="shared" ca="1" si="78"/>
        <v>259</v>
      </c>
      <c r="B271" s="193">
        <f t="shared" ref="B271:B312" si="82">B270+1</f>
        <v>259</v>
      </c>
      <c r="C271" s="192">
        <f ca="1">IF(ISERROR(LARGE('Berechnungen 2'!$E$16:$E$315,B271)),"",LARGE('Berechnungen 2'!$E$16:$E$315,B271))</f>
        <v>42</v>
      </c>
      <c r="D271" s="201" t="str">
        <f t="shared" ca="1" si="77"/>
        <v/>
      </c>
      <c r="E271" s="201" t="str">
        <f t="shared" ca="1" si="77"/>
        <v/>
      </c>
      <c r="F271" s="201" t="str">
        <f t="shared" ca="1" si="77"/>
        <v/>
      </c>
      <c r="G271" s="205" t="str">
        <f t="shared" ca="1" si="77"/>
        <v/>
      </c>
      <c r="H271" s="202" t="str">
        <f t="shared" ca="1" si="77"/>
        <v/>
      </c>
      <c r="I271" s="201" t="str">
        <f t="shared" ca="1" si="77"/>
        <v/>
      </c>
      <c r="J271" s="93" t="str">
        <f t="shared" ca="1" si="77"/>
        <v/>
      </c>
      <c r="K271" s="93" t="str">
        <f t="shared" ca="1" si="77"/>
        <v/>
      </c>
      <c r="L271" s="93" t="str">
        <f t="shared" ca="1" si="77"/>
        <v/>
      </c>
      <c r="M271" s="93" t="str">
        <f t="shared" ca="1" si="77"/>
        <v/>
      </c>
      <c r="N271" s="93" t="str">
        <f t="shared" ca="1" si="77"/>
        <v/>
      </c>
      <c r="O271" s="93" t="str">
        <f t="shared" ca="1" si="77"/>
        <v/>
      </c>
      <c r="P271" s="312" t="str">
        <f t="shared" ca="1" si="75"/>
        <v/>
      </c>
      <c r="Q271" s="93" t="str">
        <f t="shared" ca="1" si="75"/>
        <v/>
      </c>
      <c r="R271" s="93" t="str">
        <f t="shared" ca="1" si="75"/>
        <v/>
      </c>
      <c r="S271" s="201" t="str">
        <f t="shared" ca="1" si="79"/>
        <v/>
      </c>
      <c r="T271" s="201"/>
      <c r="Z271" s="40" t="e">
        <f t="shared" ca="1" si="80"/>
        <v>#N/A</v>
      </c>
      <c r="AA271" s="310">
        <f t="shared" ca="1" si="81"/>
        <v>999</v>
      </c>
      <c r="AB271" s="40" t="e">
        <f ca="1">IF(ISNUMBER($A271),VLOOKUP('Berechnungen 2'!AI274,Matrix_Empfehlung.Stromkosten.ID.BOText,3,1),"")</f>
        <v>#VALUE!</v>
      </c>
      <c r="AC271" s="40">
        <f t="shared" ca="1" si="76"/>
        <v>999</v>
      </c>
      <c r="AD271" s="40">
        <f t="shared" ca="1" si="76"/>
        <v>259</v>
      </c>
      <c r="AE271" s="311">
        <f t="shared" ca="1" si="68"/>
        <v>0</v>
      </c>
    </row>
    <row r="272" spans="1:31" x14ac:dyDescent="0.2">
      <c r="A272" s="201">
        <f t="shared" ca="1" si="78"/>
        <v>260</v>
      </c>
      <c r="B272" s="193">
        <f t="shared" si="82"/>
        <v>260</v>
      </c>
      <c r="C272" s="192">
        <f ca="1">IF(ISERROR(LARGE('Berechnungen 2'!$E$16:$E$315,B272)),"",LARGE('Berechnungen 2'!$E$16:$E$315,B272))</f>
        <v>41</v>
      </c>
      <c r="D272" s="201" t="str">
        <f t="shared" ca="1" si="77"/>
        <v/>
      </c>
      <c r="E272" s="201" t="str">
        <f t="shared" ca="1" si="77"/>
        <v/>
      </c>
      <c r="F272" s="201" t="str">
        <f t="shared" ca="1" si="77"/>
        <v/>
      </c>
      <c r="G272" s="205" t="str">
        <f t="shared" ca="1" si="77"/>
        <v/>
      </c>
      <c r="H272" s="202" t="str">
        <f t="shared" ca="1" si="77"/>
        <v/>
      </c>
      <c r="I272" s="201" t="str">
        <f t="shared" ca="1" si="77"/>
        <v/>
      </c>
      <c r="J272" s="93" t="str">
        <f t="shared" ca="1" si="77"/>
        <v/>
      </c>
      <c r="K272" s="93" t="str">
        <f t="shared" ca="1" si="77"/>
        <v/>
      </c>
      <c r="L272" s="93" t="str">
        <f t="shared" ca="1" si="77"/>
        <v/>
      </c>
      <c r="M272" s="93" t="str">
        <f t="shared" ca="1" si="77"/>
        <v/>
      </c>
      <c r="N272" s="93" t="str">
        <f t="shared" ca="1" si="77"/>
        <v/>
      </c>
      <c r="O272" s="93" t="str">
        <f t="shared" ca="1" si="77"/>
        <v/>
      </c>
      <c r="P272" s="312" t="str">
        <f t="shared" ca="1" si="75"/>
        <v/>
      </c>
      <c r="Q272" s="93" t="str">
        <f t="shared" ca="1" si="75"/>
        <v/>
      </c>
      <c r="R272" s="93" t="str">
        <f t="shared" ca="1" si="75"/>
        <v/>
      </c>
      <c r="S272" s="201" t="str">
        <f t="shared" ca="1" si="79"/>
        <v/>
      </c>
      <c r="T272" s="201"/>
      <c r="Z272" s="40" t="e">
        <f t="shared" ca="1" si="80"/>
        <v>#N/A</v>
      </c>
      <c r="AA272" s="310">
        <f t="shared" ca="1" si="81"/>
        <v>999</v>
      </c>
      <c r="AB272" s="40" t="e">
        <f ca="1">IF(ISNUMBER($A272),VLOOKUP('Berechnungen 2'!AI275,Matrix_Empfehlung.Stromkosten.ID.BOText,3,1),"")</f>
        <v>#VALUE!</v>
      </c>
      <c r="AC272" s="40">
        <f t="shared" ca="1" si="76"/>
        <v>999</v>
      </c>
      <c r="AD272" s="40">
        <f t="shared" ca="1" si="76"/>
        <v>260</v>
      </c>
      <c r="AE272" s="311">
        <f t="shared" ca="1" si="68"/>
        <v>0</v>
      </c>
    </row>
    <row r="273" spans="1:31" x14ac:dyDescent="0.2">
      <c r="A273" s="201">
        <f t="shared" ca="1" si="78"/>
        <v>261</v>
      </c>
      <c r="B273" s="193">
        <f t="shared" si="82"/>
        <v>261</v>
      </c>
      <c r="C273" s="192">
        <f ca="1">IF(ISERROR(LARGE('Berechnungen 2'!$E$16:$E$315,B273)),"",LARGE('Berechnungen 2'!$E$16:$E$315,B273))</f>
        <v>40</v>
      </c>
      <c r="D273" s="201" t="str">
        <f t="shared" ref="D273:O282" ca="1" si="83">IF($AC273&gt;0,VLOOKUP($C273,Matrix_Berechnungen2.Rang.Pumpendaten.Endresultate,D$9,0),"")</f>
        <v/>
      </c>
      <c r="E273" s="201" t="str">
        <f t="shared" ca="1" si="83"/>
        <v/>
      </c>
      <c r="F273" s="201" t="str">
        <f t="shared" ca="1" si="83"/>
        <v/>
      </c>
      <c r="G273" s="205" t="str">
        <f t="shared" ca="1" si="83"/>
        <v/>
      </c>
      <c r="H273" s="202" t="str">
        <f t="shared" ca="1" si="83"/>
        <v/>
      </c>
      <c r="I273" s="201" t="str">
        <f t="shared" ca="1" si="83"/>
        <v/>
      </c>
      <c r="J273" s="93" t="str">
        <f t="shared" ca="1" si="83"/>
        <v/>
      </c>
      <c r="K273" s="93" t="str">
        <f t="shared" ca="1" si="83"/>
        <v/>
      </c>
      <c r="L273" s="93" t="str">
        <f t="shared" ca="1" si="83"/>
        <v/>
      </c>
      <c r="M273" s="93" t="str">
        <f t="shared" ca="1" si="83"/>
        <v/>
      </c>
      <c r="N273" s="93" t="str">
        <f t="shared" ca="1" si="83"/>
        <v/>
      </c>
      <c r="O273" s="93" t="str">
        <f t="shared" ca="1" si="83"/>
        <v/>
      </c>
      <c r="P273" s="312" t="str">
        <f t="shared" ref="P273:R292" ca="1" si="84">IF(AND($AC273&gt;0,$AC273&lt;&gt;999),VLOOKUP($C273,Matrix_Berechnungen2.Rang.Pumpendaten.Endresultate,P$9,0),"")</f>
        <v/>
      </c>
      <c r="Q273" s="93" t="str">
        <f t="shared" ca="1" si="84"/>
        <v/>
      </c>
      <c r="R273" s="93" t="str">
        <f t="shared" ca="1" si="84"/>
        <v/>
      </c>
      <c r="S273" s="201" t="str">
        <f t="shared" ca="1" si="79"/>
        <v/>
      </c>
      <c r="T273" s="201"/>
      <c r="Z273" s="40" t="e">
        <f t="shared" ca="1" si="80"/>
        <v>#N/A</v>
      </c>
      <c r="AA273" s="310">
        <f t="shared" ca="1" si="81"/>
        <v>999</v>
      </c>
      <c r="AB273" s="40" t="e">
        <f ca="1">IF(ISNUMBER($A273),VLOOKUP('Berechnungen 2'!AI276,Matrix_Empfehlung.Stromkosten.ID.BOText,3,1),"")</f>
        <v>#VALUE!</v>
      </c>
      <c r="AC273" s="40">
        <f t="shared" ref="AC273:AD292" ca="1" si="85">IF(VLOOKUP($C273,Matrix_Berechnungen2.Rang.Pumpendaten.Endresultate,$C$9,0)&gt;0,VLOOKUP($C273,Matrix_Berechnungen2.Rang.Pumpendaten.Endresultate,AC$9,0),"")</f>
        <v>999</v>
      </c>
      <c r="AD273" s="40">
        <f t="shared" ca="1" si="85"/>
        <v>261</v>
      </c>
      <c r="AE273" s="311">
        <f t="shared" ca="1" si="68"/>
        <v>0</v>
      </c>
    </row>
    <row r="274" spans="1:31" x14ac:dyDescent="0.2">
      <c r="A274" s="201">
        <f t="shared" ca="1" si="78"/>
        <v>262</v>
      </c>
      <c r="B274" s="193">
        <f t="shared" si="82"/>
        <v>262</v>
      </c>
      <c r="C274" s="192">
        <f ca="1">IF(ISERROR(LARGE('Berechnungen 2'!$E$16:$E$315,B274)),"",LARGE('Berechnungen 2'!$E$16:$E$315,B274))</f>
        <v>39</v>
      </c>
      <c r="D274" s="201" t="str">
        <f t="shared" ca="1" si="83"/>
        <v/>
      </c>
      <c r="E274" s="201" t="str">
        <f t="shared" ca="1" si="83"/>
        <v/>
      </c>
      <c r="F274" s="201" t="str">
        <f t="shared" ca="1" si="83"/>
        <v/>
      </c>
      <c r="G274" s="205" t="str">
        <f t="shared" ca="1" si="83"/>
        <v/>
      </c>
      <c r="H274" s="202" t="str">
        <f t="shared" ca="1" si="83"/>
        <v/>
      </c>
      <c r="I274" s="201" t="str">
        <f t="shared" ca="1" si="83"/>
        <v/>
      </c>
      <c r="J274" s="93" t="str">
        <f t="shared" ca="1" si="83"/>
        <v/>
      </c>
      <c r="K274" s="93" t="str">
        <f t="shared" ca="1" si="83"/>
        <v/>
      </c>
      <c r="L274" s="93" t="str">
        <f t="shared" ca="1" si="83"/>
        <v/>
      </c>
      <c r="M274" s="93" t="str">
        <f t="shared" ca="1" si="83"/>
        <v/>
      </c>
      <c r="N274" s="93" t="str">
        <f t="shared" ca="1" si="83"/>
        <v/>
      </c>
      <c r="O274" s="93" t="str">
        <f t="shared" ca="1" si="83"/>
        <v/>
      </c>
      <c r="P274" s="312" t="str">
        <f t="shared" ca="1" si="84"/>
        <v/>
      </c>
      <c r="Q274" s="93" t="str">
        <f t="shared" ca="1" si="84"/>
        <v/>
      </c>
      <c r="R274" s="93" t="str">
        <f t="shared" ca="1" si="84"/>
        <v/>
      </c>
      <c r="S274" s="201" t="str">
        <f t="shared" ca="1" si="79"/>
        <v/>
      </c>
      <c r="T274" s="201"/>
      <c r="Z274" s="40" t="e">
        <f t="shared" ca="1" si="80"/>
        <v>#N/A</v>
      </c>
      <c r="AA274" s="310">
        <f t="shared" ca="1" si="81"/>
        <v>999</v>
      </c>
      <c r="AB274" s="40" t="e">
        <f ca="1">IF(ISNUMBER($A274),VLOOKUP('Berechnungen 2'!AI277,Matrix_Empfehlung.Stromkosten.ID.BOText,3,1),"")</f>
        <v>#VALUE!</v>
      </c>
      <c r="AC274" s="40">
        <f t="shared" ca="1" si="85"/>
        <v>999</v>
      </c>
      <c r="AD274" s="40">
        <f t="shared" ca="1" si="85"/>
        <v>262</v>
      </c>
      <c r="AE274" s="311">
        <f t="shared" ca="1" si="68"/>
        <v>0</v>
      </c>
    </row>
    <row r="275" spans="1:31" x14ac:dyDescent="0.2">
      <c r="A275" s="201">
        <f t="shared" ca="1" si="78"/>
        <v>263</v>
      </c>
      <c r="B275" s="193">
        <f t="shared" si="82"/>
        <v>263</v>
      </c>
      <c r="C275" s="192">
        <f ca="1">IF(ISERROR(LARGE('Berechnungen 2'!$E$16:$E$315,B275)),"",LARGE('Berechnungen 2'!$E$16:$E$315,B275))</f>
        <v>38</v>
      </c>
      <c r="D275" s="201" t="str">
        <f t="shared" ca="1" si="83"/>
        <v/>
      </c>
      <c r="E275" s="201" t="str">
        <f t="shared" ca="1" si="83"/>
        <v/>
      </c>
      <c r="F275" s="201" t="str">
        <f t="shared" ca="1" si="83"/>
        <v/>
      </c>
      <c r="G275" s="205" t="str">
        <f t="shared" ca="1" si="83"/>
        <v/>
      </c>
      <c r="H275" s="202" t="str">
        <f t="shared" ca="1" si="83"/>
        <v/>
      </c>
      <c r="I275" s="201" t="str">
        <f t="shared" ca="1" si="83"/>
        <v/>
      </c>
      <c r="J275" s="93" t="str">
        <f t="shared" ca="1" si="83"/>
        <v/>
      </c>
      <c r="K275" s="93" t="str">
        <f t="shared" ca="1" si="83"/>
        <v/>
      </c>
      <c r="L275" s="93" t="str">
        <f t="shared" ca="1" si="83"/>
        <v/>
      </c>
      <c r="M275" s="93" t="str">
        <f t="shared" ca="1" si="83"/>
        <v/>
      </c>
      <c r="N275" s="93" t="str">
        <f t="shared" ca="1" si="83"/>
        <v/>
      </c>
      <c r="O275" s="93" t="str">
        <f t="shared" ca="1" si="83"/>
        <v/>
      </c>
      <c r="P275" s="312" t="str">
        <f t="shared" ca="1" si="84"/>
        <v/>
      </c>
      <c r="Q275" s="93" t="str">
        <f t="shared" ca="1" si="84"/>
        <v/>
      </c>
      <c r="R275" s="93" t="str">
        <f t="shared" ca="1" si="84"/>
        <v/>
      </c>
      <c r="S275" s="201" t="str">
        <f t="shared" ca="1" si="79"/>
        <v/>
      </c>
      <c r="T275" s="201"/>
      <c r="Z275" s="40" t="e">
        <f t="shared" ca="1" si="80"/>
        <v>#N/A</v>
      </c>
      <c r="AA275" s="310">
        <f t="shared" ca="1" si="81"/>
        <v>999</v>
      </c>
      <c r="AB275" s="40" t="e">
        <f ca="1">IF(ISNUMBER($A275),VLOOKUP('Berechnungen 2'!AI278,Matrix_Empfehlung.Stromkosten.ID.BOText,3,1),"")</f>
        <v>#VALUE!</v>
      </c>
      <c r="AC275" s="40">
        <f t="shared" ca="1" si="85"/>
        <v>999</v>
      </c>
      <c r="AD275" s="40">
        <f t="shared" ca="1" si="85"/>
        <v>263</v>
      </c>
      <c r="AE275" s="311">
        <f t="shared" ca="1" si="68"/>
        <v>0</v>
      </c>
    </row>
    <row r="276" spans="1:31" x14ac:dyDescent="0.2">
      <c r="A276" s="201">
        <f t="shared" ca="1" si="78"/>
        <v>264</v>
      </c>
      <c r="B276" s="193">
        <f t="shared" si="82"/>
        <v>264</v>
      </c>
      <c r="C276" s="192">
        <f ca="1">IF(ISERROR(LARGE('Berechnungen 2'!$E$16:$E$315,B276)),"",LARGE('Berechnungen 2'!$E$16:$E$315,B276))</f>
        <v>37</v>
      </c>
      <c r="D276" s="201" t="str">
        <f t="shared" ca="1" si="83"/>
        <v/>
      </c>
      <c r="E276" s="201" t="str">
        <f t="shared" ca="1" si="83"/>
        <v/>
      </c>
      <c r="F276" s="201" t="str">
        <f t="shared" ca="1" si="83"/>
        <v/>
      </c>
      <c r="G276" s="205" t="str">
        <f t="shared" ca="1" si="83"/>
        <v/>
      </c>
      <c r="H276" s="202" t="str">
        <f t="shared" ca="1" si="83"/>
        <v/>
      </c>
      <c r="I276" s="201" t="str">
        <f t="shared" ca="1" si="83"/>
        <v/>
      </c>
      <c r="J276" s="93" t="str">
        <f t="shared" ca="1" si="83"/>
        <v/>
      </c>
      <c r="K276" s="93" t="str">
        <f t="shared" ca="1" si="83"/>
        <v/>
      </c>
      <c r="L276" s="93" t="str">
        <f t="shared" ca="1" si="83"/>
        <v/>
      </c>
      <c r="M276" s="93" t="str">
        <f t="shared" ca="1" si="83"/>
        <v/>
      </c>
      <c r="N276" s="93" t="str">
        <f t="shared" ca="1" si="83"/>
        <v/>
      </c>
      <c r="O276" s="93" t="str">
        <f t="shared" ca="1" si="83"/>
        <v/>
      </c>
      <c r="P276" s="312" t="str">
        <f t="shared" ca="1" si="84"/>
        <v/>
      </c>
      <c r="Q276" s="93" t="str">
        <f t="shared" ca="1" si="84"/>
        <v/>
      </c>
      <c r="R276" s="93" t="str">
        <f t="shared" ca="1" si="84"/>
        <v/>
      </c>
      <c r="S276" s="201" t="str">
        <f t="shared" ca="1" si="79"/>
        <v/>
      </c>
      <c r="T276" s="201"/>
      <c r="Z276" s="40" t="e">
        <f t="shared" ca="1" si="80"/>
        <v>#N/A</v>
      </c>
      <c r="AA276" s="310">
        <f t="shared" ca="1" si="81"/>
        <v>999</v>
      </c>
      <c r="AB276" s="40" t="e">
        <f ca="1">IF(ISNUMBER($A276),VLOOKUP('Berechnungen 2'!AI279,Matrix_Empfehlung.Stromkosten.ID.BOText,3,1),"")</f>
        <v>#VALUE!</v>
      </c>
      <c r="AC276" s="40">
        <f t="shared" ca="1" si="85"/>
        <v>999</v>
      </c>
      <c r="AD276" s="40">
        <f t="shared" ca="1" si="85"/>
        <v>264</v>
      </c>
      <c r="AE276" s="311">
        <f t="shared" ca="1" si="68"/>
        <v>0</v>
      </c>
    </row>
    <row r="277" spans="1:31" x14ac:dyDescent="0.2">
      <c r="A277" s="201">
        <f t="shared" ca="1" si="78"/>
        <v>265</v>
      </c>
      <c r="B277" s="193">
        <f t="shared" si="82"/>
        <v>265</v>
      </c>
      <c r="C277" s="192">
        <f ca="1">IF(ISERROR(LARGE('Berechnungen 2'!$E$16:$E$315,B277)),"",LARGE('Berechnungen 2'!$E$16:$E$315,B277))</f>
        <v>36</v>
      </c>
      <c r="D277" s="201" t="str">
        <f t="shared" ca="1" si="83"/>
        <v/>
      </c>
      <c r="E277" s="201" t="str">
        <f t="shared" ca="1" si="83"/>
        <v/>
      </c>
      <c r="F277" s="201" t="str">
        <f t="shared" ca="1" si="83"/>
        <v/>
      </c>
      <c r="G277" s="205" t="str">
        <f t="shared" ca="1" si="83"/>
        <v/>
      </c>
      <c r="H277" s="202" t="str">
        <f t="shared" ca="1" si="83"/>
        <v/>
      </c>
      <c r="I277" s="201" t="str">
        <f t="shared" ca="1" si="83"/>
        <v/>
      </c>
      <c r="J277" s="93" t="str">
        <f t="shared" ca="1" si="83"/>
        <v/>
      </c>
      <c r="K277" s="93" t="str">
        <f t="shared" ca="1" si="83"/>
        <v/>
      </c>
      <c r="L277" s="93" t="str">
        <f t="shared" ca="1" si="83"/>
        <v/>
      </c>
      <c r="M277" s="93" t="str">
        <f t="shared" ca="1" si="83"/>
        <v/>
      </c>
      <c r="N277" s="93" t="str">
        <f t="shared" ca="1" si="83"/>
        <v/>
      </c>
      <c r="O277" s="93" t="str">
        <f t="shared" ca="1" si="83"/>
        <v/>
      </c>
      <c r="P277" s="312" t="str">
        <f t="shared" ca="1" si="84"/>
        <v/>
      </c>
      <c r="Q277" s="93" t="str">
        <f t="shared" ca="1" si="84"/>
        <v/>
      </c>
      <c r="R277" s="93" t="str">
        <f t="shared" ca="1" si="84"/>
        <v/>
      </c>
      <c r="S277" s="201" t="str">
        <f t="shared" ca="1" si="79"/>
        <v/>
      </c>
      <c r="T277" s="201"/>
      <c r="Z277" s="40" t="e">
        <f t="shared" ca="1" si="80"/>
        <v>#N/A</v>
      </c>
      <c r="AA277" s="310">
        <f t="shared" ca="1" si="81"/>
        <v>999</v>
      </c>
      <c r="AB277" s="40" t="e">
        <f ca="1">IF(ISNUMBER($A277),VLOOKUP('Berechnungen 2'!AI280,Matrix_Empfehlung.Stromkosten.ID.BOText,3,1),"")</f>
        <v>#VALUE!</v>
      </c>
      <c r="AC277" s="40">
        <f t="shared" ca="1" si="85"/>
        <v>999</v>
      </c>
      <c r="AD277" s="40">
        <f t="shared" ca="1" si="85"/>
        <v>265</v>
      </c>
      <c r="AE277" s="311">
        <f t="shared" ca="1" si="68"/>
        <v>0</v>
      </c>
    </row>
    <row r="278" spans="1:31" x14ac:dyDescent="0.2">
      <c r="A278" s="201">
        <f t="shared" ca="1" si="78"/>
        <v>266</v>
      </c>
      <c r="B278" s="193">
        <f t="shared" si="82"/>
        <v>266</v>
      </c>
      <c r="C278" s="192">
        <f ca="1">IF(ISERROR(LARGE('Berechnungen 2'!$E$16:$E$315,B278)),"",LARGE('Berechnungen 2'!$E$16:$E$315,B278))</f>
        <v>35</v>
      </c>
      <c r="D278" s="201" t="str">
        <f t="shared" ca="1" si="83"/>
        <v/>
      </c>
      <c r="E278" s="201" t="str">
        <f t="shared" ca="1" si="83"/>
        <v/>
      </c>
      <c r="F278" s="201" t="str">
        <f t="shared" ca="1" si="83"/>
        <v/>
      </c>
      <c r="G278" s="205" t="str">
        <f t="shared" ca="1" si="83"/>
        <v/>
      </c>
      <c r="H278" s="202" t="str">
        <f t="shared" ca="1" si="83"/>
        <v/>
      </c>
      <c r="I278" s="201" t="str">
        <f t="shared" ca="1" si="83"/>
        <v/>
      </c>
      <c r="J278" s="93" t="str">
        <f t="shared" ca="1" si="83"/>
        <v/>
      </c>
      <c r="K278" s="93" t="str">
        <f t="shared" ca="1" si="83"/>
        <v/>
      </c>
      <c r="L278" s="93" t="str">
        <f t="shared" ca="1" si="83"/>
        <v/>
      </c>
      <c r="M278" s="93" t="str">
        <f t="shared" ca="1" si="83"/>
        <v/>
      </c>
      <c r="N278" s="93" t="str">
        <f t="shared" ca="1" si="83"/>
        <v/>
      </c>
      <c r="O278" s="93" t="str">
        <f t="shared" ca="1" si="83"/>
        <v/>
      </c>
      <c r="P278" s="312" t="str">
        <f t="shared" ca="1" si="84"/>
        <v/>
      </c>
      <c r="Q278" s="93" t="str">
        <f t="shared" ca="1" si="84"/>
        <v/>
      </c>
      <c r="R278" s="93" t="str">
        <f t="shared" ca="1" si="84"/>
        <v/>
      </c>
      <c r="S278" s="201" t="str">
        <f t="shared" ca="1" si="79"/>
        <v/>
      </c>
      <c r="T278" s="201"/>
      <c r="Z278" s="40" t="e">
        <f t="shared" ca="1" si="80"/>
        <v>#N/A</v>
      </c>
      <c r="AA278" s="310">
        <f t="shared" ca="1" si="81"/>
        <v>999</v>
      </c>
      <c r="AB278" s="40" t="e">
        <f ca="1">IF(ISNUMBER($A278),VLOOKUP('Berechnungen 2'!AI281,Matrix_Empfehlung.Stromkosten.ID.BOText,3,1),"")</f>
        <v>#VALUE!</v>
      </c>
      <c r="AC278" s="40">
        <f t="shared" ca="1" si="85"/>
        <v>999</v>
      </c>
      <c r="AD278" s="40">
        <f t="shared" ca="1" si="85"/>
        <v>266</v>
      </c>
      <c r="AE278" s="311">
        <f t="shared" ca="1" si="68"/>
        <v>0</v>
      </c>
    </row>
    <row r="279" spans="1:31" x14ac:dyDescent="0.2">
      <c r="A279" s="201">
        <f t="shared" ca="1" si="78"/>
        <v>267</v>
      </c>
      <c r="B279" s="193">
        <f t="shared" si="82"/>
        <v>267</v>
      </c>
      <c r="C279" s="192">
        <f ca="1">IF(ISERROR(LARGE('Berechnungen 2'!$E$16:$E$315,B279)),"",LARGE('Berechnungen 2'!$E$16:$E$315,B279))</f>
        <v>34</v>
      </c>
      <c r="D279" s="201" t="str">
        <f t="shared" ca="1" si="83"/>
        <v/>
      </c>
      <c r="E279" s="201" t="str">
        <f t="shared" ca="1" si="83"/>
        <v/>
      </c>
      <c r="F279" s="201" t="str">
        <f t="shared" ca="1" si="83"/>
        <v/>
      </c>
      <c r="G279" s="205" t="str">
        <f t="shared" ca="1" si="83"/>
        <v/>
      </c>
      <c r="H279" s="202" t="str">
        <f t="shared" ca="1" si="83"/>
        <v/>
      </c>
      <c r="I279" s="201" t="str">
        <f t="shared" ca="1" si="83"/>
        <v/>
      </c>
      <c r="J279" s="93" t="str">
        <f t="shared" ca="1" si="83"/>
        <v/>
      </c>
      <c r="K279" s="93" t="str">
        <f t="shared" ca="1" si="83"/>
        <v/>
      </c>
      <c r="L279" s="93" t="str">
        <f t="shared" ca="1" si="83"/>
        <v/>
      </c>
      <c r="M279" s="93" t="str">
        <f t="shared" ca="1" si="83"/>
        <v/>
      </c>
      <c r="N279" s="93" t="str">
        <f t="shared" ca="1" si="83"/>
        <v/>
      </c>
      <c r="O279" s="93" t="str">
        <f t="shared" ca="1" si="83"/>
        <v/>
      </c>
      <c r="P279" s="312" t="str">
        <f t="shared" ca="1" si="84"/>
        <v/>
      </c>
      <c r="Q279" s="93" t="str">
        <f t="shared" ca="1" si="84"/>
        <v/>
      </c>
      <c r="R279" s="93" t="str">
        <f t="shared" ca="1" si="84"/>
        <v/>
      </c>
      <c r="S279" s="201" t="str">
        <f t="shared" ca="1" si="79"/>
        <v/>
      </c>
      <c r="T279" s="201"/>
      <c r="Z279" s="40" t="e">
        <f t="shared" ca="1" si="80"/>
        <v>#N/A</v>
      </c>
      <c r="AA279" s="310">
        <f t="shared" ca="1" si="81"/>
        <v>999</v>
      </c>
      <c r="AB279" s="40" t="e">
        <f ca="1">IF(ISNUMBER($A279),VLOOKUP('Berechnungen 2'!AI282,Matrix_Empfehlung.Stromkosten.ID.BOText,3,1),"")</f>
        <v>#VALUE!</v>
      </c>
      <c r="AC279" s="40">
        <f t="shared" ca="1" si="85"/>
        <v>999</v>
      </c>
      <c r="AD279" s="40">
        <f t="shared" ca="1" si="85"/>
        <v>267</v>
      </c>
      <c r="AE279" s="311">
        <f t="shared" ca="1" si="68"/>
        <v>0</v>
      </c>
    </row>
    <row r="280" spans="1:31" x14ac:dyDescent="0.2">
      <c r="A280" s="201">
        <f t="shared" ca="1" si="78"/>
        <v>268</v>
      </c>
      <c r="B280" s="193">
        <f t="shared" si="82"/>
        <v>268</v>
      </c>
      <c r="C280" s="192">
        <f ca="1">IF(ISERROR(LARGE('Berechnungen 2'!$E$16:$E$315,B280)),"",LARGE('Berechnungen 2'!$E$16:$E$315,B280))</f>
        <v>33</v>
      </c>
      <c r="D280" s="201" t="str">
        <f t="shared" ca="1" si="83"/>
        <v/>
      </c>
      <c r="E280" s="201" t="str">
        <f t="shared" ca="1" si="83"/>
        <v/>
      </c>
      <c r="F280" s="201" t="str">
        <f t="shared" ca="1" si="83"/>
        <v/>
      </c>
      <c r="G280" s="205" t="str">
        <f t="shared" ca="1" si="83"/>
        <v/>
      </c>
      <c r="H280" s="202" t="str">
        <f t="shared" ca="1" si="83"/>
        <v/>
      </c>
      <c r="I280" s="201" t="str">
        <f t="shared" ca="1" si="83"/>
        <v/>
      </c>
      <c r="J280" s="93" t="str">
        <f t="shared" ca="1" si="83"/>
        <v/>
      </c>
      <c r="K280" s="93" t="str">
        <f t="shared" ca="1" si="83"/>
        <v/>
      </c>
      <c r="L280" s="93" t="str">
        <f t="shared" ca="1" si="83"/>
        <v/>
      </c>
      <c r="M280" s="93" t="str">
        <f t="shared" ca="1" si="83"/>
        <v/>
      </c>
      <c r="N280" s="93" t="str">
        <f t="shared" ca="1" si="83"/>
        <v/>
      </c>
      <c r="O280" s="93" t="str">
        <f t="shared" ca="1" si="83"/>
        <v/>
      </c>
      <c r="P280" s="312" t="str">
        <f t="shared" ca="1" si="84"/>
        <v/>
      </c>
      <c r="Q280" s="93" t="str">
        <f t="shared" ca="1" si="84"/>
        <v/>
      </c>
      <c r="R280" s="93" t="str">
        <f t="shared" ca="1" si="84"/>
        <v/>
      </c>
      <c r="S280" s="201" t="str">
        <f t="shared" ca="1" si="79"/>
        <v/>
      </c>
      <c r="T280" s="201"/>
      <c r="Z280" s="40" t="e">
        <f t="shared" ca="1" si="80"/>
        <v>#N/A</v>
      </c>
      <c r="AA280" s="310">
        <f t="shared" ca="1" si="81"/>
        <v>999</v>
      </c>
      <c r="AB280" s="40" t="e">
        <f ca="1">IF(ISNUMBER($A280),VLOOKUP('Berechnungen 2'!AI283,Matrix_Empfehlung.Stromkosten.ID.BOText,3,1),"")</f>
        <v>#VALUE!</v>
      </c>
      <c r="AC280" s="40">
        <f t="shared" ca="1" si="85"/>
        <v>999</v>
      </c>
      <c r="AD280" s="40">
        <f t="shared" ca="1" si="85"/>
        <v>268</v>
      </c>
      <c r="AE280" s="311">
        <f t="shared" ca="1" si="68"/>
        <v>0</v>
      </c>
    </row>
    <row r="281" spans="1:31" x14ac:dyDescent="0.2">
      <c r="A281" s="201">
        <f t="shared" ca="1" si="78"/>
        <v>269</v>
      </c>
      <c r="B281" s="193">
        <f t="shared" si="82"/>
        <v>269</v>
      </c>
      <c r="C281" s="192">
        <f ca="1">IF(ISERROR(LARGE('Berechnungen 2'!$E$16:$E$315,B281)),"",LARGE('Berechnungen 2'!$E$16:$E$315,B281))</f>
        <v>32</v>
      </c>
      <c r="D281" s="201" t="str">
        <f t="shared" ca="1" si="83"/>
        <v/>
      </c>
      <c r="E281" s="201" t="str">
        <f t="shared" ca="1" si="83"/>
        <v/>
      </c>
      <c r="F281" s="201" t="str">
        <f t="shared" ca="1" si="83"/>
        <v/>
      </c>
      <c r="G281" s="205" t="str">
        <f t="shared" ca="1" si="83"/>
        <v/>
      </c>
      <c r="H281" s="202" t="str">
        <f t="shared" ca="1" si="83"/>
        <v/>
      </c>
      <c r="I281" s="201" t="str">
        <f t="shared" ca="1" si="83"/>
        <v/>
      </c>
      <c r="J281" s="93" t="str">
        <f t="shared" ca="1" si="83"/>
        <v/>
      </c>
      <c r="K281" s="93" t="str">
        <f t="shared" ca="1" si="83"/>
        <v/>
      </c>
      <c r="L281" s="93" t="str">
        <f t="shared" ca="1" si="83"/>
        <v/>
      </c>
      <c r="M281" s="93" t="str">
        <f t="shared" ca="1" si="83"/>
        <v/>
      </c>
      <c r="N281" s="93" t="str">
        <f t="shared" ca="1" si="83"/>
        <v/>
      </c>
      <c r="O281" s="93" t="str">
        <f t="shared" ca="1" si="83"/>
        <v/>
      </c>
      <c r="P281" s="312" t="str">
        <f t="shared" ca="1" si="84"/>
        <v/>
      </c>
      <c r="Q281" s="93" t="str">
        <f t="shared" ca="1" si="84"/>
        <v/>
      </c>
      <c r="R281" s="93" t="str">
        <f t="shared" ca="1" si="84"/>
        <v/>
      </c>
      <c r="S281" s="201" t="str">
        <f t="shared" ca="1" si="79"/>
        <v/>
      </c>
      <c r="T281" s="201"/>
      <c r="Z281" s="40" t="e">
        <f t="shared" ca="1" si="80"/>
        <v>#N/A</v>
      </c>
      <c r="AA281" s="310">
        <f t="shared" ca="1" si="81"/>
        <v>999</v>
      </c>
      <c r="AB281" s="40" t="e">
        <f ca="1">IF(ISNUMBER($A281),VLOOKUP('Berechnungen 2'!AI284,Matrix_Empfehlung.Stromkosten.ID.BOText,3,1),"")</f>
        <v>#VALUE!</v>
      </c>
      <c r="AC281" s="40">
        <f t="shared" ca="1" si="85"/>
        <v>999</v>
      </c>
      <c r="AD281" s="40">
        <f t="shared" ca="1" si="85"/>
        <v>269</v>
      </c>
      <c r="AE281" s="311">
        <f t="shared" ref="AE281:AE312" ca="1" si="86">IF($AC281&gt;0,VLOOKUP($C281,Matrix_Berechnungen2.Rang.Pumpendaten.Endresultate,AE$9,0),"")</f>
        <v>0</v>
      </c>
    </row>
    <row r="282" spans="1:31" x14ac:dyDescent="0.2">
      <c r="A282" s="201">
        <f t="shared" ca="1" si="78"/>
        <v>270</v>
      </c>
      <c r="B282" s="193">
        <f t="shared" si="82"/>
        <v>270</v>
      </c>
      <c r="C282" s="192">
        <f ca="1">IF(ISERROR(LARGE('Berechnungen 2'!$E$16:$E$315,B282)),"",LARGE('Berechnungen 2'!$E$16:$E$315,B282))</f>
        <v>31</v>
      </c>
      <c r="D282" s="201" t="str">
        <f t="shared" ca="1" si="83"/>
        <v/>
      </c>
      <c r="E282" s="201" t="str">
        <f t="shared" ca="1" si="83"/>
        <v/>
      </c>
      <c r="F282" s="201" t="str">
        <f t="shared" ca="1" si="83"/>
        <v/>
      </c>
      <c r="G282" s="205" t="str">
        <f t="shared" ca="1" si="83"/>
        <v/>
      </c>
      <c r="H282" s="202" t="str">
        <f t="shared" ca="1" si="83"/>
        <v/>
      </c>
      <c r="I282" s="201" t="str">
        <f t="shared" ca="1" si="83"/>
        <v/>
      </c>
      <c r="J282" s="93" t="str">
        <f t="shared" ca="1" si="83"/>
        <v/>
      </c>
      <c r="K282" s="93" t="str">
        <f t="shared" ca="1" si="83"/>
        <v/>
      </c>
      <c r="L282" s="93" t="str">
        <f t="shared" ca="1" si="83"/>
        <v/>
      </c>
      <c r="M282" s="93" t="str">
        <f t="shared" ca="1" si="83"/>
        <v/>
      </c>
      <c r="N282" s="93" t="str">
        <f t="shared" ca="1" si="83"/>
        <v/>
      </c>
      <c r="O282" s="93" t="str">
        <f t="shared" ca="1" si="83"/>
        <v/>
      </c>
      <c r="P282" s="312" t="str">
        <f t="shared" ca="1" si="84"/>
        <v/>
      </c>
      <c r="Q282" s="93" t="str">
        <f t="shared" ca="1" si="84"/>
        <v/>
      </c>
      <c r="R282" s="93" t="str">
        <f t="shared" ca="1" si="84"/>
        <v/>
      </c>
      <c r="S282" s="201" t="str">
        <f t="shared" ca="1" si="79"/>
        <v/>
      </c>
      <c r="T282" s="201"/>
      <c r="Z282" s="40" t="e">
        <f t="shared" ca="1" si="80"/>
        <v>#N/A</v>
      </c>
      <c r="AA282" s="310">
        <f t="shared" ca="1" si="81"/>
        <v>999</v>
      </c>
      <c r="AB282" s="40" t="e">
        <f ca="1">IF(ISNUMBER($A282),VLOOKUP('Berechnungen 2'!AI285,Matrix_Empfehlung.Stromkosten.ID.BOText,3,1),"")</f>
        <v>#VALUE!</v>
      </c>
      <c r="AC282" s="40">
        <f t="shared" ca="1" si="85"/>
        <v>999</v>
      </c>
      <c r="AD282" s="40">
        <f t="shared" ca="1" si="85"/>
        <v>270</v>
      </c>
      <c r="AE282" s="311">
        <f t="shared" ca="1" si="86"/>
        <v>0</v>
      </c>
    </row>
    <row r="283" spans="1:31" x14ac:dyDescent="0.2">
      <c r="A283" s="201">
        <f t="shared" ca="1" si="78"/>
        <v>271</v>
      </c>
      <c r="B283" s="193">
        <f t="shared" si="82"/>
        <v>271</v>
      </c>
      <c r="C283" s="192">
        <f ca="1">IF(ISERROR(LARGE('Berechnungen 2'!$E$16:$E$315,B283)),"",LARGE('Berechnungen 2'!$E$16:$E$315,B283))</f>
        <v>30</v>
      </c>
      <c r="D283" s="201" t="str">
        <f t="shared" ref="D283:O292" ca="1" si="87">IF($AC283&gt;0,VLOOKUP($C283,Matrix_Berechnungen2.Rang.Pumpendaten.Endresultate,D$9,0),"")</f>
        <v/>
      </c>
      <c r="E283" s="201" t="str">
        <f t="shared" ca="1" si="87"/>
        <v/>
      </c>
      <c r="F283" s="201" t="str">
        <f t="shared" ca="1" si="87"/>
        <v/>
      </c>
      <c r="G283" s="205" t="str">
        <f t="shared" ca="1" si="87"/>
        <v/>
      </c>
      <c r="H283" s="202" t="str">
        <f t="shared" ca="1" si="87"/>
        <v/>
      </c>
      <c r="I283" s="201" t="str">
        <f t="shared" ca="1" si="87"/>
        <v/>
      </c>
      <c r="J283" s="93" t="str">
        <f t="shared" ca="1" si="87"/>
        <v/>
      </c>
      <c r="K283" s="93" t="str">
        <f t="shared" ca="1" si="87"/>
        <v/>
      </c>
      <c r="L283" s="93" t="str">
        <f t="shared" ca="1" si="87"/>
        <v/>
      </c>
      <c r="M283" s="93" t="str">
        <f t="shared" ca="1" si="87"/>
        <v/>
      </c>
      <c r="N283" s="93" t="str">
        <f t="shared" ca="1" si="87"/>
        <v/>
      </c>
      <c r="O283" s="93" t="str">
        <f t="shared" ca="1" si="87"/>
        <v/>
      </c>
      <c r="P283" s="312" t="str">
        <f t="shared" ca="1" si="84"/>
        <v/>
      </c>
      <c r="Q283" s="93" t="str">
        <f t="shared" ca="1" si="84"/>
        <v/>
      </c>
      <c r="R283" s="93" t="str">
        <f t="shared" ca="1" si="84"/>
        <v/>
      </c>
      <c r="S283" s="201" t="str">
        <f t="shared" ca="1" si="79"/>
        <v/>
      </c>
      <c r="T283" s="201"/>
      <c r="Z283" s="40" t="e">
        <f t="shared" ca="1" si="80"/>
        <v>#N/A</v>
      </c>
      <c r="AA283" s="310">
        <f t="shared" ca="1" si="81"/>
        <v>999</v>
      </c>
      <c r="AB283" s="40" t="e">
        <f ca="1">IF(ISNUMBER($A283),VLOOKUP('Berechnungen 2'!AI286,Matrix_Empfehlung.Stromkosten.ID.BOText,3,1),"")</f>
        <v>#VALUE!</v>
      </c>
      <c r="AC283" s="40">
        <f t="shared" ca="1" si="85"/>
        <v>999</v>
      </c>
      <c r="AD283" s="40">
        <f t="shared" ca="1" si="85"/>
        <v>271</v>
      </c>
      <c r="AE283" s="311">
        <f t="shared" ca="1" si="86"/>
        <v>0</v>
      </c>
    </row>
    <row r="284" spans="1:31" x14ac:dyDescent="0.2">
      <c r="A284" s="201">
        <f t="shared" ca="1" si="78"/>
        <v>272</v>
      </c>
      <c r="B284" s="193">
        <f t="shared" si="82"/>
        <v>272</v>
      </c>
      <c r="C284" s="192">
        <f ca="1">IF(ISERROR(LARGE('Berechnungen 2'!$E$16:$E$315,B284)),"",LARGE('Berechnungen 2'!$E$16:$E$315,B284))</f>
        <v>29</v>
      </c>
      <c r="D284" s="201" t="str">
        <f t="shared" ca="1" si="87"/>
        <v/>
      </c>
      <c r="E284" s="201" t="str">
        <f t="shared" ca="1" si="87"/>
        <v/>
      </c>
      <c r="F284" s="201" t="str">
        <f t="shared" ca="1" si="87"/>
        <v/>
      </c>
      <c r="G284" s="205" t="str">
        <f t="shared" ca="1" si="87"/>
        <v/>
      </c>
      <c r="H284" s="202" t="str">
        <f t="shared" ca="1" si="87"/>
        <v/>
      </c>
      <c r="I284" s="201" t="str">
        <f t="shared" ca="1" si="87"/>
        <v/>
      </c>
      <c r="J284" s="93" t="str">
        <f t="shared" ca="1" si="87"/>
        <v/>
      </c>
      <c r="K284" s="93" t="str">
        <f t="shared" ca="1" si="87"/>
        <v/>
      </c>
      <c r="L284" s="93" t="str">
        <f t="shared" ca="1" si="87"/>
        <v/>
      </c>
      <c r="M284" s="93" t="str">
        <f t="shared" ca="1" si="87"/>
        <v/>
      </c>
      <c r="N284" s="93" t="str">
        <f t="shared" ca="1" si="87"/>
        <v/>
      </c>
      <c r="O284" s="93" t="str">
        <f t="shared" ca="1" si="87"/>
        <v/>
      </c>
      <c r="P284" s="312" t="str">
        <f t="shared" ca="1" si="84"/>
        <v/>
      </c>
      <c r="Q284" s="93" t="str">
        <f t="shared" ca="1" si="84"/>
        <v/>
      </c>
      <c r="R284" s="93" t="str">
        <f t="shared" ca="1" si="84"/>
        <v/>
      </c>
      <c r="S284" s="201" t="str">
        <f t="shared" ca="1" si="79"/>
        <v/>
      </c>
      <c r="T284" s="201"/>
      <c r="Z284" s="40" t="e">
        <f t="shared" ca="1" si="80"/>
        <v>#N/A</v>
      </c>
      <c r="AA284" s="310">
        <f t="shared" ca="1" si="81"/>
        <v>999</v>
      </c>
      <c r="AB284" s="40" t="e">
        <f ca="1">IF(ISNUMBER($A284),VLOOKUP('Berechnungen 2'!AI287,Matrix_Empfehlung.Stromkosten.ID.BOText,3,1),"")</f>
        <v>#VALUE!</v>
      </c>
      <c r="AC284" s="40">
        <f t="shared" ca="1" si="85"/>
        <v>999</v>
      </c>
      <c r="AD284" s="40">
        <f t="shared" ca="1" si="85"/>
        <v>272</v>
      </c>
      <c r="AE284" s="311">
        <f t="shared" ca="1" si="86"/>
        <v>0</v>
      </c>
    </row>
    <row r="285" spans="1:31" x14ac:dyDescent="0.2">
      <c r="A285" s="201">
        <f t="shared" ca="1" si="78"/>
        <v>273</v>
      </c>
      <c r="B285" s="193">
        <f t="shared" si="82"/>
        <v>273</v>
      </c>
      <c r="C285" s="192">
        <f ca="1">IF(ISERROR(LARGE('Berechnungen 2'!$E$16:$E$315,B285)),"",LARGE('Berechnungen 2'!$E$16:$E$315,B285))</f>
        <v>28</v>
      </c>
      <c r="D285" s="201" t="str">
        <f t="shared" ca="1" si="87"/>
        <v/>
      </c>
      <c r="E285" s="201" t="str">
        <f t="shared" ca="1" si="87"/>
        <v/>
      </c>
      <c r="F285" s="201" t="str">
        <f t="shared" ca="1" si="87"/>
        <v/>
      </c>
      <c r="G285" s="205" t="str">
        <f t="shared" ca="1" si="87"/>
        <v/>
      </c>
      <c r="H285" s="202" t="str">
        <f t="shared" ca="1" si="87"/>
        <v/>
      </c>
      <c r="I285" s="201" t="str">
        <f t="shared" ca="1" si="87"/>
        <v/>
      </c>
      <c r="J285" s="93" t="str">
        <f t="shared" ca="1" si="87"/>
        <v/>
      </c>
      <c r="K285" s="93" t="str">
        <f t="shared" ca="1" si="87"/>
        <v/>
      </c>
      <c r="L285" s="93" t="str">
        <f t="shared" ca="1" si="87"/>
        <v/>
      </c>
      <c r="M285" s="93" t="str">
        <f t="shared" ca="1" si="87"/>
        <v/>
      </c>
      <c r="N285" s="93" t="str">
        <f t="shared" ca="1" si="87"/>
        <v/>
      </c>
      <c r="O285" s="93" t="str">
        <f t="shared" ca="1" si="87"/>
        <v/>
      </c>
      <c r="P285" s="312" t="str">
        <f t="shared" ca="1" si="84"/>
        <v/>
      </c>
      <c r="Q285" s="93" t="str">
        <f t="shared" ca="1" si="84"/>
        <v/>
      </c>
      <c r="R285" s="93" t="str">
        <f t="shared" ca="1" si="84"/>
        <v/>
      </c>
      <c r="S285" s="201" t="str">
        <f t="shared" ca="1" si="79"/>
        <v/>
      </c>
      <c r="T285" s="201"/>
      <c r="Z285" s="40" t="e">
        <f t="shared" ca="1" si="80"/>
        <v>#N/A</v>
      </c>
      <c r="AA285" s="310">
        <f t="shared" ca="1" si="81"/>
        <v>999</v>
      </c>
      <c r="AB285" s="40" t="e">
        <f ca="1">IF(ISNUMBER($A285),VLOOKUP('Berechnungen 2'!AI288,Matrix_Empfehlung.Stromkosten.ID.BOText,3,1),"")</f>
        <v>#VALUE!</v>
      </c>
      <c r="AC285" s="40">
        <f t="shared" ca="1" si="85"/>
        <v>999</v>
      </c>
      <c r="AD285" s="40">
        <f t="shared" ca="1" si="85"/>
        <v>273</v>
      </c>
      <c r="AE285" s="311">
        <f t="shared" ca="1" si="86"/>
        <v>0</v>
      </c>
    </row>
    <row r="286" spans="1:31" x14ac:dyDescent="0.2">
      <c r="A286" s="201">
        <f t="shared" ca="1" si="78"/>
        <v>274</v>
      </c>
      <c r="B286" s="193">
        <f t="shared" si="82"/>
        <v>274</v>
      </c>
      <c r="C286" s="192">
        <f ca="1">IF(ISERROR(LARGE('Berechnungen 2'!$E$16:$E$315,B286)),"",LARGE('Berechnungen 2'!$E$16:$E$315,B286))</f>
        <v>27</v>
      </c>
      <c r="D286" s="201" t="str">
        <f t="shared" ca="1" si="87"/>
        <v/>
      </c>
      <c r="E286" s="201" t="str">
        <f t="shared" ca="1" si="87"/>
        <v/>
      </c>
      <c r="F286" s="201" t="str">
        <f t="shared" ca="1" si="87"/>
        <v/>
      </c>
      <c r="G286" s="205" t="str">
        <f t="shared" ca="1" si="87"/>
        <v/>
      </c>
      <c r="H286" s="202" t="str">
        <f t="shared" ca="1" si="87"/>
        <v/>
      </c>
      <c r="I286" s="201" t="str">
        <f t="shared" ca="1" si="87"/>
        <v/>
      </c>
      <c r="J286" s="93" t="str">
        <f t="shared" ca="1" si="87"/>
        <v/>
      </c>
      <c r="K286" s="93" t="str">
        <f t="shared" ca="1" si="87"/>
        <v/>
      </c>
      <c r="L286" s="93" t="str">
        <f t="shared" ca="1" si="87"/>
        <v/>
      </c>
      <c r="M286" s="93" t="str">
        <f t="shared" ca="1" si="87"/>
        <v/>
      </c>
      <c r="N286" s="93" t="str">
        <f t="shared" ca="1" si="87"/>
        <v/>
      </c>
      <c r="O286" s="93" t="str">
        <f t="shared" ca="1" si="87"/>
        <v/>
      </c>
      <c r="P286" s="312" t="str">
        <f t="shared" ca="1" si="84"/>
        <v/>
      </c>
      <c r="Q286" s="93" t="str">
        <f t="shared" ca="1" si="84"/>
        <v/>
      </c>
      <c r="R286" s="93" t="str">
        <f t="shared" ca="1" si="84"/>
        <v/>
      </c>
      <c r="S286" s="201" t="str">
        <f t="shared" ca="1" si="79"/>
        <v/>
      </c>
      <c r="T286" s="201"/>
      <c r="Z286" s="40" t="e">
        <f t="shared" ca="1" si="80"/>
        <v>#N/A</v>
      </c>
      <c r="AA286" s="310">
        <f t="shared" ca="1" si="81"/>
        <v>999</v>
      </c>
      <c r="AB286" s="40" t="e">
        <f ca="1">IF(ISNUMBER($A286),VLOOKUP('Berechnungen 2'!AI289,Matrix_Empfehlung.Stromkosten.ID.BOText,3,1),"")</f>
        <v>#VALUE!</v>
      </c>
      <c r="AC286" s="40">
        <f t="shared" ca="1" si="85"/>
        <v>999</v>
      </c>
      <c r="AD286" s="40">
        <f t="shared" ca="1" si="85"/>
        <v>274</v>
      </c>
      <c r="AE286" s="311">
        <f t="shared" ca="1" si="86"/>
        <v>0</v>
      </c>
    </row>
    <row r="287" spans="1:31" x14ac:dyDescent="0.2">
      <c r="A287" s="201">
        <f t="shared" ca="1" si="78"/>
        <v>275</v>
      </c>
      <c r="B287" s="193">
        <f t="shared" si="82"/>
        <v>275</v>
      </c>
      <c r="C287" s="192">
        <f ca="1">IF(ISERROR(LARGE('Berechnungen 2'!$E$16:$E$315,B287)),"",LARGE('Berechnungen 2'!$E$16:$E$315,B287))</f>
        <v>26</v>
      </c>
      <c r="D287" s="201" t="str">
        <f t="shared" ca="1" si="87"/>
        <v/>
      </c>
      <c r="E287" s="201" t="str">
        <f t="shared" ca="1" si="87"/>
        <v/>
      </c>
      <c r="F287" s="201" t="str">
        <f t="shared" ca="1" si="87"/>
        <v/>
      </c>
      <c r="G287" s="205" t="str">
        <f t="shared" ca="1" si="87"/>
        <v/>
      </c>
      <c r="H287" s="202" t="str">
        <f t="shared" ca="1" si="87"/>
        <v/>
      </c>
      <c r="I287" s="201" t="str">
        <f t="shared" ca="1" si="87"/>
        <v/>
      </c>
      <c r="J287" s="93" t="str">
        <f t="shared" ca="1" si="87"/>
        <v/>
      </c>
      <c r="K287" s="93" t="str">
        <f t="shared" ca="1" si="87"/>
        <v/>
      </c>
      <c r="L287" s="93" t="str">
        <f t="shared" ca="1" si="87"/>
        <v/>
      </c>
      <c r="M287" s="93" t="str">
        <f t="shared" ca="1" si="87"/>
        <v/>
      </c>
      <c r="N287" s="93" t="str">
        <f t="shared" ca="1" si="87"/>
        <v/>
      </c>
      <c r="O287" s="93" t="str">
        <f t="shared" ca="1" si="87"/>
        <v/>
      </c>
      <c r="P287" s="312" t="str">
        <f t="shared" ca="1" si="84"/>
        <v/>
      </c>
      <c r="Q287" s="93" t="str">
        <f t="shared" ca="1" si="84"/>
        <v/>
      </c>
      <c r="R287" s="93" t="str">
        <f t="shared" ca="1" si="84"/>
        <v/>
      </c>
      <c r="S287" s="201" t="str">
        <f t="shared" ca="1" si="79"/>
        <v/>
      </c>
      <c r="T287" s="201"/>
      <c r="Z287" s="40" t="e">
        <f t="shared" ca="1" si="80"/>
        <v>#N/A</v>
      </c>
      <c r="AA287" s="310">
        <f t="shared" ca="1" si="81"/>
        <v>999</v>
      </c>
      <c r="AB287" s="40" t="e">
        <f ca="1">IF(ISNUMBER($A287),VLOOKUP('Berechnungen 2'!AI290,Matrix_Empfehlung.Stromkosten.ID.BOText,3,1),"")</f>
        <v>#VALUE!</v>
      </c>
      <c r="AC287" s="40">
        <f t="shared" ca="1" si="85"/>
        <v>999</v>
      </c>
      <c r="AD287" s="40">
        <f t="shared" ca="1" si="85"/>
        <v>275</v>
      </c>
      <c r="AE287" s="311">
        <f t="shared" ca="1" si="86"/>
        <v>0</v>
      </c>
    </row>
    <row r="288" spans="1:31" x14ac:dyDescent="0.2">
      <c r="A288" s="201">
        <f t="shared" ca="1" si="78"/>
        <v>276</v>
      </c>
      <c r="B288" s="193">
        <f t="shared" si="82"/>
        <v>276</v>
      </c>
      <c r="C288" s="192">
        <f ca="1">IF(ISERROR(LARGE('Berechnungen 2'!$E$16:$E$315,B288)),"",LARGE('Berechnungen 2'!$E$16:$E$315,B288))</f>
        <v>25</v>
      </c>
      <c r="D288" s="201" t="str">
        <f t="shared" ca="1" si="87"/>
        <v/>
      </c>
      <c r="E288" s="201" t="str">
        <f t="shared" ca="1" si="87"/>
        <v/>
      </c>
      <c r="F288" s="201" t="str">
        <f t="shared" ca="1" si="87"/>
        <v/>
      </c>
      <c r="G288" s="205" t="str">
        <f t="shared" ca="1" si="87"/>
        <v/>
      </c>
      <c r="H288" s="202" t="str">
        <f t="shared" ca="1" si="87"/>
        <v/>
      </c>
      <c r="I288" s="201" t="str">
        <f t="shared" ca="1" si="87"/>
        <v/>
      </c>
      <c r="J288" s="93" t="str">
        <f t="shared" ca="1" si="87"/>
        <v/>
      </c>
      <c r="K288" s="93" t="str">
        <f t="shared" ca="1" si="87"/>
        <v/>
      </c>
      <c r="L288" s="93" t="str">
        <f t="shared" ca="1" si="87"/>
        <v/>
      </c>
      <c r="M288" s="93" t="str">
        <f t="shared" ca="1" si="87"/>
        <v/>
      </c>
      <c r="N288" s="93" t="str">
        <f t="shared" ca="1" si="87"/>
        <v/>
      </c>
      <c r="O288" s="93" t="str">
        <f t="shared" ca="1" si="87"/>
        <v/>
      </c>
      <c r="P288" s="312" t="str">
        <f t="shared" ca="1" si="84"/>
        <v/>
      </c>
      <c r="Q288" s="93" t="str">
        <f t="shared" ca="1" si="84"/>
        <v/>
      </c>
      <c r="R288" s="93" t="str">
        <f t="shared" ca="1" si="84"/>
        <v/>
      </c>
      <c r="S288" s="201" t="str">
        <f t="shared" ca="1" si="79"/>
        <v/>
      </c>
      <c r="T288" s="201"/>
      <c r="Z288" s="40" t="e">
        <f t="shared" ca="1" si="80"/>
        <v>#N/A</v>
      </c>
      <c r="AA288" s="310">
        <f t="shared" ca="1" si="81"/>
        <v>999</v>
      </c>
      <c r="AB288" s="40" t="e">
        <f ca="1">IF(ISNUMBER($A288),VLOOKUP('Berechnungen 2'!AI291,Matrix_Empfehlung.Stromkosten.ID.BOText,3,1),"")</f>
        <v>#VALUE!</v>
      </c>
      <c r="AC288" s="40">
        <f t="shared" ca="1" si="85"/>
        <v>999</v>
      </c>
      <c r="AD288" s="40">
        <f t="shared" ca="1" si="85"/>
        <v>276</v>
      </c>
      <c r="AE288" s="311">
        <f t="shared" ca="1" si="86"/>
        <v>0</v>
      </c>
    </row>
    <row r="289" spans="1:31" x14ac:dyDescent="0.2">
      <c r="A289" s="201">
        <f t="shared" ca="1" si="78"/>
        <v>277</v>
      </c>
      <c r="B289" s="193">
        <f t="shared" si="82"/>
        <v>277</v>
      </c>
      <c r="C289" s="192">
        <f ca="1">IF(ISERROR(LARGE('Berechnungen 2'!$E$16:$E$315,B289)),"",LARGE('Berechnungen 2'!$E$16:$E$315,B289))</f>
        <v>24</v>
      </c>
      <c r="D289" s="201" t="str">
        <f t="shared" ca="1" si="87"/>
        <v/>
      </c>
      <c r="E289" s="201" t="str">
        <f t="shared" ca="1" si="87"/>
        <v/>
      </c>
      <c r="F289" s="201" t="str">
        <f t="shared" ca="1" si="87"/>
        <v/>
      </c>
      <c r="G289" s="205" t="str">
        <f t="shared" ca="1" si="87"/>
        <v/>
      </c>
      <c r="H289" s="202" t="str">
        <f t="shared" ca="1" si="87"/>
        <v/>
      </c>
      <c r="I289" s="201" t="str">
        <f t="shared" ca="1" si="87"/>
        <v/>
      </c>
      <c r="J289" s="93" t="str">
        <f t="shared" ca="1" si="87"/>
        <v/>
      </c>
      <c r="K289" s="93" t="str">
        <f t="shared" ca="1" si="87"/>
        <v/>
      </c>
      <c r="L289" s="93" t="str">
        <f t="shared" ca="1" si="87"/>
        <v/>
      </c>
      <c r="M289" s="93" t="str">
        <f t="shared" ca="1" si="87"/>
        <v/>
      </c>
      <c r="N289" s="93" t="str">
        <f t="shared" ca="1" si="87"/>
        <v/>
      </c>
      <c r="O289" s="93" t="str">
        <f t="shared" ca="1" si="87"/>
        <v/>
      </c>
      <c r="P289" s="312" t="str">
        <f t="shared" ca="1" si="84"/>
        <v/>
      </c>
      <c r="Q289" s="93" t="str">
        <f t="shared" ca="1" si="84"/>
        <v/>
      </c>
      <c r="R289" s="93" t="str">
        <f t="shared" ca="1" si="84"/>
        <v/>
      </c>
      <c r="S289" s="201" t="str">
        <f t="shared" ca="1" si="79"/>
        <v/>
      </c>
      <c r="T289" s="201"/>
      <c r="Z289" s="40" t="e">
        <f t="shared" ca="1" si="80"/>
        <v>#N/A</v>
      </c>
      <c r="AA289" s="310">
        <f t="shared" ca="1" si="81"/>
        <v>999</v>
      </c>
      <c r="AB289" s="40" t="e">
        <f ca="1">IF(ISNUMBER($A289),VLOOKUP('Berechnungen 2'!AI292,Matrix_Empfehlung.Stromkosten.ID.BOText,3,1),"")</f>
        <v>#VALUE!</v>
      </c>
      <c r="AC289" s="40">
        <f t="shared" ca="1" si="85"/>
        <v>999</v>
      </c>
      <c r="AD289" s="40">
        <f t="shared" ca="1" si="85"/>
        <v>277</v>
      </c>
      <c r="AE289" s="311">
        <f t="shared" ca="1" si="86"/>
        <v>0</v>
      </c>
    </row>
    <row r="290" spans="1:31" x14ac:dyDescent="0.2">
      <c r="A290" s="201">
        <f t="shared" ca="1" si="78"/>
        <v>278</v>
      </c>
      <c r="B290" s="193">
        <f t="shared" si="82"/>
        <v>278</v>
      </c>
      <c r="C290" s="192">
        <f ca="1">IF(ISERROR(LARGE('Berechnungen 2'!$E$16:$E$315,B290)),"",LARGE('Berechnungen 2'!$E$16:$E$315,B290))</f>
        <v>23</v>
      </c>
      <c r="D290" s="201" t="str">
        <f t="shared" ca="1" si="87"/>
        <v/>
      </c>
      <c r="E290" s="201" t="str">
        <f t="shared" ca="1" si="87"/>
        <v/>
      </c>
      <c r="F290" s="201" t="str">
        <f t="shared" ca="1" si="87"/>
        <v/>
      </c>
      <c r="G290" s="205" t="str">
        <f t="shared" ca="1" si="87"/>
        <v/>
      </c>
      <c r="H290" s="202" t="str">
        <f t="shared" ca="1" si="87"/>
        <v/>
      </c>
      <c r="I290" s="201" t="str">
        <f t="shared" ca="1" si="87"/>
        <v/>
      </c>
      <c r="J290" s="93" t="str">
        <f t="shared" ca="1" si="87"/>
        <v/>
      </c>
      <c r="K290" s="93" t="str">
        <f t="shared" ca="1" si="87"/>
        <v/>
      </c>
      <c r="L290" s="93" t="str">
        <f t="shared" ca="1" si="87"/>
        <v/>
      </c>
      <c r="M290" s="93" t="str">
        <f t="shared" ca="1" si="87"/>
        <v/>
      </c>
      <c r="N290" s="93" t="str">
        <f t="shared" ca="1" si="87"/>
        <v/>
      </c>
      <c r="O290" s="93" t="str">
        <f t="shared" ca="1" si="87"/>
        <v/>
      </c>
      <c r="P290" s="312" t="str">
        <f t="shared" ca="1" si="84"/>
        <v/>
      </c>
      <c r="Q290" s="93" t="str">
        <f t="shared" ca="1" si="84"/>
        <v/>
      </c>
      <c r="R290" s="93" t="str">
        <f t="shared" ca="1" si="84"/>
        <v/>
      </c>
      <c r="S290" s="201" t="str">
        <f t="shared" ca="1" si="79"/>
        <v/>
      </c>
      <c r="T290" s="201"/>
      <c r="Z290" s="40" t="e">
        <f t="shared" ca="1" si="80"/>
        <v>#N/A</v>
      </c>
      <c r="AA290" s="310">
        <f t="shared" ca="1" si="81"/>
        <v>999</v>
      </c>
      <c r="AB290" s="40" t="e">
        <f ca="1">IF(ISNUMBER($A290),VLOOKUP('Berechnungen 2'!AI293,Matrix_Empfehlung.Stromkosten.ID.BOText,3,1),"")</f>
        <v>#VALUE!</v>
      </c>
      <c r="AC290" s="40">
        <f t="shared" ca="1" si="85"/>
        <v>999</v>
      </c>
      <c r="AD290" s="40">
        <f t="shared" ca="1" si="85"/>
        <v>278</v>
      </c>
      <c r="AE290" s="311">
        <f t="shared" ca="1" si="86"/>
        <v>0</v>
      </c>
    </row>
    <row r="291" spans="1:31" x14ac:dyDescent="0.2">
      <c r="A291" s="201">
        <f t="shared" ca="1" si="78"/>
        <v>279</v>
      </c>
      <c r="B291" s="193">
        <f t="shared" si="82"/>
        <v>279</v>
      </c>
      <c r="C291" s="192">
        <f ca="1">IF(ISERROR(LARGE('Berechnungen 2'!$E$16:$E$315,B291)),"",LARGE('Berechnungen 2'!$E$16:$E$315,B291))</f>
        <v>22</v>
      </c>
      <c r="D291" s="201" t="str">
        <f t="shared" ca="1" si="87"/>
        <v/>
      </c>
      <c r="E291" s="201" t="str">
        <f t="shared" ca="1" si="87"/>
        <v/>
      </c>
      <c r="F291" s="201" t="str">
        <f t="shared" ca="1" si="87"/>
        <v/>
      </c>
      <c r="G291" s="205" t="str">
        <f t="shared" ca="1" si="87"/>
        <v/>
      </c>
      <c r="H291" s="202" t="str">
        <f t="shared" ca="1" si="87"/>
        <v/>
      </c>
      <c r="I291" s="201" t="str">
        <f t="shared" ca="1" si="87"/>
        <v/>
      </c>
      <c r="J291" s="93" t="str">
        <f t="shared" ca="1" si="87"/>
        <v/>
      </c>
      <c r="K291" s="93" t="str">
        <f t="shared" ca="1" si="87"/>
        <v/>
      </c>
      <c r="L291" s="93" t="str">
        <f t="shared" ca="1" si="87"/>
        <v/>
      </c>
      <c r="M291" s="93" t="str">
        <f t="shared" ca="1" si="87"/>
        <v/>
      </c>
      <c r="N291" s="93" t="str">
        <f t="shared" ca="1" si="87"/>
        <v/>
      </c>
      <c r="O291" s="93" t="str">
        <f t="shared" ca="1" si="87"/>
        <v/>
      </c>
      <c r="P291" s="312" t="str">
        <f t="shared" ca="1" si="84"/>
        <v/>
      </c>
      <c r="Q291" s="93" t="str">
        <f t="shared" ca="1" si="84"/>
        <v/>
      </c>
      <c r="R291" s="93" t="str">
        <f t="shared" ca="1" si="84"/>
        <v/>
      </c>
      <c r="S291" s="201" t="str">
        <f t="shared" ca="1" si="79"/>
        <v/>
      </c>
      <c r="T291" s="201"/>
      <c r="Z291" s="40" t="e">
        <f t="shared" ca="1" si="80"/>
        <v>#N/A</v>
      </c>
      <c r="AA291" s="310">
        <f t="shared" ca="1" si="81"/>
        <v>999</v>
      </c>
      <c r="AB291" s="40" t="e">
        <f ca="1">IF(ISNUMBER($A291),VLOOKUP('Berechnungen 2'!AI294,Matrix_Empfehlung.Stromkosten.ID.BOText,3,1),"")</f>
        <v>#VALUE!</v>
      </c>
      <c r="AC291" s="40">
        <f t="shared" ca="1" si="85"/>
        <v>999</v>
      </c>
      <c r="AD291" s="40">
        <f t="shared" ca="1" si="85"/>
        <v>279</v>
      </c>
      <c r="AE291" s="311">
        <f t="shared" ca="1" si="86"/>
        <v>0</v>
      </c>
    </row>
    <row r="292" spans="1:31" x14ac:dyDescent="0.2">
      <c r="A292" s="201">
        <f t="shared" ca="1" si="78"/>
        <v>280</v>
      </c>
      <c r="B292" s="193">
        <f t="shared" si="82"/>
        <v>280</v>
      </c>
      <c r="C292" s="192">
        <f ca="1">IF(ISERROR(LARGE('Berechnungen 2'!$E$16:$E$315,B292)),"",LARGE('Berechnungen 2'!$E$16:$E$315,B292))</f>
        <v>21</v>
      </c>
      <c r="D292" s="201" t="str">
        <f t="shared" ca="1" si="87"/>
        <v/>
      </c>
      <c r="E292" s="201" t="str">
        <f t="shared" ca="1" si="87"/>
        <v/>
      </c>
      <c r="F292" s="201" t="str">
        <f t="shared" ca="1" si="87"/>
        <v/>
      </c>
      <c r="G292" s="205" t="str">
        <f t="shared" ca="1" si="87"/>
        <v/>
      </c>
      <c r="H292" s="202" t="str">
        <f t="shared" ca="1" si="87"/>
        <v/>
      </c>
      <c r="I292" s="201" t="str">
        <f t="shared" ca="1" si="87"/>
        <v/>
      </c>
      <c r="J292" s="93" t="str">
        <f t="shared" ca="1" si="87"/>
        <v/>
      </c>
      <c r="K292" s="93" t="str">
        <f t="shared" ca="1" si="87"/>
        <v/>
      </c>
      <c r="L292" s="93" t="str">
        <f t="shared" ca="1" si="87"/>
        <v/>
      </c>
      <c r="M292" s="93" t="str">
        <f t="shared" ca="1" si="87"/>
        <v/>
      </c>
      <c r="N292" s="93" t="str">
        <f t="shared" ca="1" si="87"/>
        <v/>
      </c>
      <c r="O292" s="93" t="str">
        <f t="shared" ca="1" si="87"/>
        <v/>
      </c>
      <c r="P292" s="312" t="str">
        <f t="shared" ca="1" si="84"/>
        <v/>
      </c>
      <c r="Q292" s="93" t="str">
        <f t="shared" ca="1" si="84"/>
        <v/>
      </c>
      <c r="R292" s="93" t="str">
        <f t="shared" ca="1" si="84"/>
        <v/>
      </c>
      <c r="S292" s="201" t="str">
        <f t="shared" ca="1" si="79"/>
        <v/>
      </c>
      <c r="T292" s="201"/>
      <c r="Z292" s="40" t="e">
        <f t="shared" ca="1" si="80"/>
        <v>#N/A</v>
      </c>
      <c r="AA292" s="310">
        <f t="shared" ca="1" si="81"/>
        <v>999</v>
      </c>
      <c r="AB292" s="40" t="e">
        <f ca="1">IF(ISNUMBER($A292),VLOOKUP('Berechnungen 2'!AI295,Matrix_Empfehlung.Stromkosten.ID.BOText,3,1),"")</f>
        <v>#VALUE!</v>
      </c>
      <c r="AC292" s="40">
        <f t="shared" ca="1" si="85"/>
        <v>999</v>
      </c>
      <c r="AD292" s="40">
        <f t="shared" ca="1" si="85"/>
        <v>280</v>
      </c>
      <c r="AE292" s="311">
        <f t="shared" ca="1" si="86"/>
        <v>0</v>
      </c>
    </row>
    <row r="293" spans="1:31" x14ac:dyDescent="0.2">
      <c r="A293" s="201">
        <f t="shared" ca="1" si="78"/>
        <v>281</v>
      </c>
      <c r="B293" s="193">
        <f t="shared" si="82"/>
        <v>281</v>
      </c>
      <c r="C293" s="192">
        <f ca="1">IF(ISERROR(LARGE('Berechnungen 2'!$E$16:$E$315,B293)),"",LARGE('Berechnungen 2'!$E$16:$E$315,B293))</f>
        <v>20</v>
      </c>
      <c r="D293" s="201" t="str">
        <f t="shared" ref="D293:O302" ca="1" si="88">IF($AC293&gt;0,VLOOKUP($C293,Matrix_Berechnungen2.Rang.Pumpendaten.Endresultate,D$9,0),"")</f>
        <v/>
      </c>
      <c r="E293" s="201" t="str">
        <f t="shared" ca="1" si="88"/>
        <v/>
      </c>
      <c r="F293" s="201" t="str">
        <f t="shared" ca="1" si="88"/>
        <v/>
      </c>
      <c r="G293" s="205" t="str">
        <f t="shared" ca="1" si="88"/>
        <v/>
      </c>
      <c r="H293" s="202" t="str">
        <f t="shared" ca="1" si="88"/>
        <v/>
      </c>
      <c r="I293" s="201" t="str">
        <f t="shared" ca="1" si="88"/>
        <v/>
      </c>
      <c r="J293" s="93" t="str">
        <f t="shared" ca="1" si="88"/>
        <v/>
      </c>
      <c r="K293" s="93" t="str">
        <f t="shared" ca="1" si="88"/>
        <v/>
      </c>
      <c r="L293" s="93" t="str">
        <f t="shared" ca="1" si="88"/>
        <v/>
      </c>
      <c r="M293" s="93" t="str">
        <f t="shared" ca="1" si="88"/>
        <v/>
      </c>
      <c r="N293" s="93" t="str">
        <f t="shared" ca="1" si="88"/>
        <v/>
      </c>
      <c r="O293" s="93" t="str">
        <f t="shared" ca="1" si="88"/>
        <v/>
      </c>
      <c r="P293" s="312" t="str">
        <f t="shared" ref="P293:R312" ca="1" si="89">IF(AND($AC293&gt;0,$AC293&lt;&gt;999),VLOOKUP($C293,Matrix_Berechnungen2.Rang.Pumpendaten.Endresultate,P$9,0),"")</f>
        <v/>
      </c>
      <c r="Q293" s="93" t="str">
        <f t="shared" ca="1" si="89"/>
        <v/>
      </c>
      <c r="R293" s="93" t="str">
        <f t="shared" ca="1" si="89"/>
        <v/>
      </c>
      <c r="S293" s="201" t="str">
        <f t="shared" ca="1" si="79"/>
        <v/>
      </c>
      <c r="T293" s="201"/>
      <c r="Z293" s="40" t="e">
        <f t="shared" ca="1" si="80"/>
        <v>#N/A</v>
      </c>
      <c r="AA293" s="310">
        <f t="shared" ca="1" si="81"/>
        <v>999</v>
      </c>
      <c r="AB293" s="40" t="e">
        <f ca="1">IF(ISNUMBER($A293),VLOOKUP('Berechnungen 2'!AI296,Matrix_Empfehlung.Stromkosten.ID.BOText,3,1),"")</f>
        <v>#VALUE!</v>
      </c>
      <c r="AC293" s="40">
        <f t="shared" ref="AC293:AD312" ca="1" si="90">IF(VLOOKUP($C293,Matrix_Berechnungen2.Rang.Pumpendaten.Endresultate,$C$9,0)&gt;0,VLOOKUP($C293,Matrix_Berechnungen2.Rang.Pumpendaten.Endresultate,AC$9,0),"")</f>
        <v>999</v>
      </c>
      <c r="AD293" s="40">
        <f t="shared" ca="1" si="90"/>
        <v>281</v>
      </c>
      <c r="AE293" s="311">
        <f t="shared" ca="1" si="86"/>
        <v>0</v>
      </c>
    </row>
    <row r="294" spans="1:31" x14ac:dyDescent="0.2">
      <c r="A294" s="201">
        <f t="shared" ca="1" si="78"/>
        <v>282</v>
      </c>
      <c r="B294" s="193">
        <f t="shared" si="82"/>
        <v>282</v>
      </c>
      <c r="C294" s="192">
        <f ca="1">IF(ISERROR(LARGE('Berechnungen 2'!$E$16:$E$315,B294)),"",LARGE('Berechnungen 2'!$E$16:$E$315,B294))</f>
        <v>19</v>
      </c>
      <c r="D294" s="201" t="str">
        <f t="shared" ca="1" si="88"/>
        <v/>
      </c>
      <c r="E294" s="201" t="str">
        <f t="shared" ca="1" si="88"/>
        <v/>
      </c>
      <c r="F294" s="201" t="str">
        <f t="shared" ca="1" si="88"/>
        <v/>
      </c>
      <c r="G294" s="205" t="str">
        <f t="shared" ca="1" si="88"/>
        <v/>
      </c>
      <c r="H294" s="202" t="str">
        <f t="shared" ca="1" si="88"/>
        <v/>
      </c>
      <c r="I294" s="201" t="str">
        <f t="shared" ca="1" si="88"/>
        <v/>
      </c>
      <c r="J294" s="93" t="str">
        <f t="shared" ca="1" si="88"/>
        <v/>
      </c>
      <c r="K294" s="93" t="str">
        <f t="shared" ca="1" si="88"/>
        <v/>
      </c>
      <c r="L294" s="93" t="str">
        <f t="shared" ca="1" si="88"/>
        <v/>
      </c>
      <c r="M294" s="93" t="str">
        <f t="shared" ca="1" si="88"/>
        <v/>
      </c>
      <c r="N294" s="93" t="str">
        <f t="shared" ca="1" si="88"/>
        <v/>
      </c>
      <c r="O294" s="93" t="str">
        <f t="shared" ca="1" si="88"/>
        <v/>
      </c>
      <c r="P294" s="312" t="str">
        <f t="shared" ca="1" si="89"/>
        <v/>
      </c>
      <c r="Q294" s="93" t="str">
        <f t="shared" ca="1" si="89"/>
        <v/>
      </c>
      <c r="R294" s="93" t="str">
        <f t="shared" ca="1" si="89"/>
        <v/>
      </c>
      <c r="S294" s="201" t="str">
        <f t="shared" ca="1" si="79"/>
        <v/>
      </c>
      <c r="T294" s="201"/>
      <c r="Z294" s="40" t="e">
        <f t="shared" ca="1" si="80"/>
        <v>#N/A</v>
      </c>
      <c r="AA294" s="310">
        <f t="shared" ca="1" si="81"/>
        <v>999</v>
      </c>
      <c r="AB294" s="40" t="e">
        <f ca="1">IF(ISNUMBER($A294),VLOOKUP('Berechnungen 2'!AI297,Matrix_Empfehlung.Stromkosten.ID.BOText,3,1),"")</f>
        <v>#VALUE!</v>
      </c>
      <c r="AC294" s="40">
        <f t="shared" ca="1" si="90"/>
        <v>999</v>
      </c>
      <c r="AD294" s="40">
        <f t="shared" ca="1" si="90"/>
        <v>282</v>
      </c>
      <c r="AE294" s="311">
        <f t="shared" ca="1" si="86"/>
        <v>0</v>
      </c>
    </row>
    <row r="295" spans="1:31" x14ac:dyDescent="0.2">
      <c r="A295" s="201">
        <f t="shared" ca="1" si="78"/>
        <v>283</v>
      </c>
      <c r="B295" s="193">
        <f t="shared" si="82"/>
        <v>283</v>
      </c>
      <c r="C295" s="192">
        <f ca="1">IF(ISERROR(LARGE('Berechnungen 2'!$E$16:$E$315,B295)),"",LARGE('Berechnungen 2'!$E$16:$E$315,B295))</f>
        <v>18</v>
      </c>
      <c r="D295" s="201" t="str">
        <f t="shared" ca="1" si="88"/>
        <v/>
      </c>
      <c r="E295" s="201" t="str">
        <f t="shared" ca="1" si="88"/>
        <v/>
      </c>
      <c r="F295" s="201" t="str">
        <f t="shared" ca="1" si="88"/>
        <v/>
      </c>
      <c r="G295" s="205" t="str">
        <f t="shared" ca="1" si="88"/>
        <v/>
      </c>
      <c r="H295" s="202" t="str">
        <f t="shared" ca="1" si="88"/>
        <v/>
      </c>
      <c r="I295" s="201" t="str">
        <f t="shared" ca="1" si="88"/>
        <v/>
      </c>
      <c r="J295" s="93" t="str">
        <f t="shared" ca="1" si="88"/>
        <v/>
      </c>
      <c r="K295" s="93" t="str">
        <f t="shared" ca="1" si="88"/>
        <v/>
      </c>
      <c r="L295" s="93" t="str">
        <f t="shared" ca="1" si="88"/>
        <v/>
      </c>
      <c r="M295" s="93" t="str">
        <f t="shared" ca="1" si="88"/>
        <v/>
      </c>
      <c r="N295" s="93" t="str">
        <f t="shared" ca="1" si="88"/>
        <v/>
      </c>
      <c r="O295" s="93" t="str">
        <f t="shared" ca="1" si="88"/>
        <v/>
      </c>
      <c r="P295" s="312" t="str">
        <f t="shared" ca="1" si="89"/>
        <v/>
      </c>
      <c r="Q295" s="93" t="str">
        <f t="shared" ca="1" si="89"/>
        <v/>
      </c>
      <c r="R295" s="93" t="str">
        <f t="shared" ca="1" si="89"/>
        <v/>
      </c>
      <c r="S295" s="201" t="str">
        <f t="shared" ca="1" si="79"/>
        <v/>
      </c>
      <c r="T295" s="201"/>
      <c r="Z295" s="40" t="e">
        <f t="shared" ca="1" si="80"/>
        <v>#N/A</v>
      </c>
      <c r="AA295" s="310">
        <f t="shared" ca="1" si="81"/>
        <v>999</v>
      </c>
      <c r="AB295" s="40" t="e">
        <f ca="1">IF(ISNUMBER($A295),VLOOKUP('Berechnungen 2'!AI298,Matrix_Empfehlung.Stromkosten.ID.BOText,3,1),"")</f>
        <v>#VALUE!</v>
      </c>
      <c r="AC295" s="40">
        <f t="shared" ca="1" si="90"/>
        <v>999</v>
      </c>
      <c r="AD295" s="40">
        <f t="shared" ca="1" si="90"/>
        <v>283</v>
      </c>
      <c r="AE295" s="311">
        <f t="shared" ca="1" si="86"/>
        <v>0</v>
      </c>
    </row>
    <row r="296" spans="1:31" x14ac:dyDescent="0.2">
      <c r="A296" s="201">
        <f t="shared" ca="1" si="78"/>
        <v>284</v>
      </c>
      <c r="B296" s="193">
        <f t="shared" si="82"/>
        <v>284</v>
      </c>
      <c r="C296" s="192">
        <f ca="1">IF(ISERROR(LARGE('Berechnungen 2'!$E$16:$E$315,B296)),"",LARGE('Berechnungen 2'!$E$16:$E$315,B296))</f>
        <v>17</v>
      </c>
      <c r="D296" s="201" t="str">
        <f t="shared" ca="1" si="88"/>
        <v/>
      </c>
      <c r="E296" s="201" t="str">
        <f t="shared" ca="1" si="88"/>
        <v/>
      </c>
      <c r="F296" s="201" t="str">
        <f t="shared" ca="1" si="88"/>
        <v/>
      </c>
      <c r="G296" s="205" t="str">
        <f t="shared" ca="1" si="88"/>
        <v/>
      </c>
      <c r="H296" s="202" t="str">
        <f t="shared" ca="1" si="88"/>
        <v/>
      </c>
      <c r="I296" s="201" t="str">
        <f t="shared" ca="1" si="88"/>
        <v/>
      </c>
      <c r="J296" s="93" t="str">
        <f t="shared" ca="1" si="88"/>
        <v/>
      </c>
      <c r="K296" s="93" t="str">
        <f t="shared" ca="1" si="88"/>
        <v/>
      </c>
      <c r="L296" s="93" t="str">
        <f t="shared" ca="1" si="88"/>
        <v/>
      </c>
      <c r="M296" s="93" t="str">
        <f t="shared" ca="1" si="88"/>
        <v/>
      </c>
      <c r="N296" s="93" t="str">
        <f t="shared" ca="1" si="88"/>
        <v/>
      </c>
      <c r="O296" s="93" t="str">
        <f t="shared" ca="1" si="88"/>
        <v/>
      </c>
      <c r="P296" s="312" t="str">
        <f t="shared" ca="1" si="89"/>
        <v/>
      </c>
      <c r="Q296" s="93" t="str">
        <f t="shared" ca="1" si="89"/>
        <v/>
      </c>
      <c r="R296" s="93" t="str">
        <f t="shared" ca="1" si="89"/>
        <v/>
      </c>
      <c r="S296" s="201" t="str">
        <f t="shared" ca="1" si="79"/>
        <v/>
      </c>
      <c r="T296" s="201"/>
      <c r="Z296" s="40" t="e">
        <f t="shared" ca="1" si="80"/>
        <v>#N/A</v>
      </c>
      <c r="AA296" s="310">
        <f t="shared" ca="1" si="81"/>
        <v>999</v>
      </c>
      <c r="AB296" s="40" t="e">
        <f ca="1">IF(ISNUMBER($A296),VLOOKUP('Berechnungen 2'!AI299,Matrix_Empfehlung.Stromkosten.ID.BOText,3,1),"")</f>
        <v>#VALUE!</v>
      </c>
      <c r="AC296" s="40">
        <f t="shared" ca="1" si="90"/>
        <v>999</v>
      </c>
      <c r="AD296" s="40">
        <f t="shared" ca="1" si="90"/>
        <v>284</v>
      </c>
      <c r="AE296" s="311">
        <f t="shared" ca="1" si="86"/>
        <v>0</v>
      </c>
    </row>
    <row r="297" spans="1:31" x14ac:dyDescent="0.2">
      <c r="A297" s="201">
        <f t="shared" ca="1" si="78"/>
        <v>285</v>
      </c>
      <c r="B297" s="193">
        <f t="shared" si="82"/>
        <v>285</v>
      </c>
      <c r="C297" s="192">
        <f ca="1">IF(ISERROR(LARGE('Berechnungen 2'!$E$16:$E$315,B297)),"",LARGE('Berechnungen 2'!$E$16:$E$315,B297))</f>
        <v>16</v>
      </c>
      <c r="D297" s="201" t="str">
        <f t="shared" ca="1" si="88"/>
        <v/>
      </c>
      <c r="E297" s="201" t="str">
        <f t="shared" ca="1" si="88"/>
        <v/>
      </c>
      <c r="F297" s="201" t="str">
        <f t="shared" ca="1" si="88"/>
        <v/>
      </c>
      <c r="G297" s="205" t="str">
        <f t="shared" ca="1" si="88"/>
        <v/>
      </c>
      <c r="H297" s="202" t="str">
        <f t="shared" ca="1" si="88"/>
        <v/>
      </c>
      <c r="I297" s="201" t="str">
        <f t="shared" ca="1" si="88"/>
        <v/>
      </c>
      <c r="J297" s="93" t="str">
        <f t="shared" ca="1" si="88"/>
        <v/>
      </c>
      <c r="K297" s="93" t="str">
        <f t="shared" ca="1" si="88"/>
        <v/>
      </c>
      <c r="L297" s="93" t="str">
        <f t="shared" ca="1" si="88"/>
        <v/>
      </c>
      <c r="M297" s="93" t="str">
        <f t="shared" ca="1" si="88"/>
        <v/>
      </c>
      <c r="N297" s="93" t="str">
        <f t="shared" ca="1" si="88"/>
        <v/>
      </c>
      <c r="O297" s="93" t="str">
        <f t="shared" ca="1" si="88"/>
        <v/>
      </c>
      <c r="P297" s="312" t="str">
        <f t="shared" ca="1" si="89"/>
        <v/>
      </c>
      <c r="Q297" s="93" t="str">
        <f t="shared" ca="1" si="89"/>
        <v/>
      </c>
      <c r="R297" s="93" t="str">
        <f t="shared" ca="1" si="89"/>
        <v/>
      </c>
      <c r="S297" s="201" t="str">
        <f t="shared" ca="1" si="79"/>
        <v/>
      </c>
      <c r="T297" s="201"/>
      <c r="Z297" s="40" t="e">
        <f t="shared" ca="1" si="80"/>
        <v>#N/A</v>
      </c>
      <c r="AA297" s="310">
        <f t="shared" ca="1" si="81"/>
        <v>999</v>
      </c>
      <c r="AB297" s="40" t="e">
        <f ca="1">IF(ISNUMBER($A297),VLOOKUP('Berechnungen 2'!AI300,Matrix_Empfehlung.Stromkosten.ID.BOText,3,1),"")</f>
        <v>#VALUE!</v>
      </c>
      <c r="AC297" s="40">
        <f t="shared" ca="1" si="90"/>
        <v>999</v>
      </c>
      <c r="AD297" s="40">
        <f t="shared" ca="1" si="90"/>
        <v>285</v>
      </c>
      <c r="AE297" s="311">
        <f t="shared" ca="1" si="86"/>
        <v>0</v>
      </c>
    </row>
    <row r="298" spans="1:31" x14ac:dyDescent="0.2">
      <c r="A298" s="201">
        <f t="shared" ca="1" si="78"/>
        <v>286</v>
      </c>
      <c r="B298" s="193">
        <f t="shared" si="82"/>
        <v>286</v>
      </c>
      <c r="C298" s="192">
        <f ca="1">IF(ISERROR(LARGE('Berechnungen 2'!$E$16:$E$315,B298)),"",LARGE('Berechnungen 2'!$E$16:$E$315,B298))</f>
        <v>15</v>
      </c>
      <c r="D298" s="201" t="str">
        <f t="shared" ca="1" si="88"/>
        <v/>
      </c>
      <c r="E298" s="201" t="str">
        <f t="shared" ca="1" si="88"/>
        <v/>
      </c>
      <c r="F298" s="201" t="str">
        <f t="shared" ca="1" si="88"/>
        <v/>
      </c>
      <c r="G298" s="205" t="str">
        <f t="shared" ca="1" si="88"/>
        <v/>
      </c>
      <c r="H298" s="202" t="str">
        <f t="shared" ca="1" si="88"/>
        <v/>
      </c>
      <c r="I298" s="201" t="str">
        <f t="shared" ca="1" si="88"/>
        <v/>
      </c>
      <c r="J298" s="93" t="str">
        <f t="shared" ca="1" si="88"/>
        <v/>
      </c>
      <c r="K298" s="93" t="str">
        <f t="shared" ca="1" si="88"/>
        <v/>
      </c>
      <c r="L298" s="93" t="str">
        <f t="shared" ca="1" si="88"/>
        <v/>
      </c>
      <c r="M298" s="93" t="str">
        <f t="shared" ca="1" si="88"/>
        <v/>
      </c>
      <c r="N298" s="93" t="str">
        <f t="shared" ca="1" si="88"/>
        <v/>
      </c>
      <c r="O298" s="93" t="str">
        <f t="shared" ca="1" si="88"/>
        <v/>
      </c>
      <c r="P298" s="312" t="str">
        <f t="shared" ca="1" si="89"/>
        <v/>
      </c>
      <c r="Q298" s="93" t="str">
        <f t="shared" ca="1" si="89"/>
        <v/>
      </c>
      <c r="R298" s="93" t="str">
        <f t="shared" ca="1" si="89"/>
        <v/>
      </c>
      <c r="S298" s="201" t="str">
        <f t="shared" ca="1" si="79"/>
        <v/>
      </c>
      <c r="T298" s="201"/>
      <c r="Z298" s="40" t="e">
        <f t="shared" ca="1" si="80"/>
        <v>#N/A</v>
      </c>
      <c r="AA298" s="310">
        <f t="shared" ca="1" si="81"/>
        <v>999</v>
      </c>
      <c r="AB298" s="40" t="e">
        <f ca="1">IF(ISNUMBER($A298),VLOOKUP('Berechnungen 2'!AI301,Matrix_Empfehlung.Stromkosten.ID.BOText,3,1),"")</f>
        <v>#VALUE!</v>
      </c>
      <c r="AC298" s="40">
        <f t="shared" ca="1" si="90"/>
        <v>999</v>
      </c>
      <c r="AD298" s="40">
        <f t="shared" ca="1" si="90"/>
        <v>286</v>
      </c>
      <c r="AE298" s="311">
        <f t="shared" ca="1" si="86"/>
        <v>0</v>
      </c>
    </row>
    <row r="299" spans="1:31" x14ac:dyDescent="0.2">
      <c r="A299" s="201">
        <f t="shared" ca="1" si="78"/>
        <v>287</v>
      </c>
      <c r="B299" s="193">
        <f t="shared" si="82"/>
        <v>287</v>
      </c>
      <c r="C299" s="192">
        <f ca="1">IF(ISERROR(LARGE('Berechnungen 2'!$E$16:$E$315,B299)),"",LARGE('Berechnungen 2'!$E$16:$E$315,B299))</f>
        <v>14</v>
      </c>
      <c r="D299" s="201" t="str">
        <f t="shared" ca="1" si="88"/>
        <v/>
      </c>
      <c r="E299" s="201" t="str">
        <f t="shared" ca="1" si="88"/>
        <v/>
      </c>
      <c r="F299" s="201" t="str">
        <f t="shared" ca="1" si="88"/>
        <v/>
      </c>
      <c r="G299" s="205" t="str">
        <f t="shared" ca="1" si="88"/>
        <v/>
      </c>
      <c r="H299" s="202" t="str">
        <f t="shared" ca="1" si="88"/>
        <v/>
      </c>
      <c r="I299" s="201" t="str">
        <f t="shared" ca="1" si="88"/>
        <v/>
      </c>
      <c r="J299" s="93" t="str">
        <f t="shared" ca="1" si="88"/>
        <v/>
      </c>
      <c r="K299" s="93" t="str">
        <f t="shared" ca="1" si="88"/>
        <v/>
      </c>
      <c r="L299" s="93" t="str">
        <f t="shared" ca="1" si="88"/>
        <v/>
      </c>
      <c r="M299" s="93" t="str">
        <f t="shared" ca="1" si="88"/>
        <v/>
      </c>
      <c r="N299" s="93" t="str">
        <f t="shared" ca="1" si="88"/>
        <v/>
      </c>
      <c r="O299" s="93" t="str">
        <f t="shared" ca="1" si="88"/>
        <v/>
      </c>
      <c r="P299" s="312" t="str">
        <f t="shared" ca="1" si="89"/>
        <v/>
      </c>
      <c r="Q299" s="93" t="str">
        <f t="shared" ca="1" si="89"/>
        <v/>
      </c>
      <c r="R299" s="93" t="str">
        <f t="shared" ca="1" si="89"/>
        <v/>
      </c>
      <c r="S299" s="201" t="str">
        <f t="shared" ca="1" si="79"/>
        <v/>
      </c>
      <c r="T299" s="201"/>
      <c r="Z299" s="40" t="e">
        <f t="shared" ca="1" si="80"/>
        <v>#N/A</v>
      </c>
      <c r="AA299" s="310">
        <f t="shared" ca="1" si="81"/>
        <v>999</v>
      </c>
      <c r="AB299" s="40" t="e">
        <f ca="1">IF(ISNUMBER($A299),VLOOKUP('Berechnungen 2'!AI302,Matrix_Empfehlung.Stromkosten.ID.BOText,3,1),"")</f>
        <v>#VALUE!</v>
      </c>
      <c r="AC299" s="40">
        <f t="shared" ca="1" si="90"/>
        <v>999</v>
      </c>
      <c r="AD299" s="40">
        <f t="shared" ca="1" si="90"/>
        <v>287</v>
      </c>
      <c r="AE299" s="311">
        <f t="shared" ca="1" si="86"/>
        <v>0</v>
      </c>
    </row>
    <row r="300" spans="1:31" x14ac:dyDescent="0.2">
      <c r="A300" s="201">
        <f t="shared" ca="1" si="78"/>
        <v>288</v>
      </c>
      <c r="B300" s="193">
        <f t="shared" si="82"/>
        <v>288</v>
      </c>
      <c r="C300" s="192">
        <f ca="1">IF(ISERROR(LARGE('Berechnungen 2'!$E$16:$E$315,B300)),"",LARGE('Berechnungen 2'!$E$16:$E$315,B300))</f>
        <v>13</v>
      </c>
      <c r="D300" s="201" t="str">
        <f t="shared" ca="1" si="88"/>
        <v/>
      </c>
      <c r="E300" s="201" t="str">
        <f t="shared" ca="1" si="88"/>
        <v/>
      </c>
      <c r="F300" s="201" t="str">
        <f t="shared" ca="1" si="88"/>
        <v/>
      </c>
      <c r="G300" s="205" t="str">
        <f t="shared" ca="1" si="88"/>
        <v/>
      </c>
      <c r="H300" s="202" t="str">
        <f t="shared" ca="1" si="88"/>
        <v/>
      </c>
      <c r="I300" s="201" t="str">
        <f t="shared" ca="1" si="88"/>
        <v/>
      </c>
      <c r="J300" s="93" t="str">
        <f t="shared" ca="1" si="88"/>
        <v/>
      </c>
      <c r="K300" s="93" t="str">
        <f t="shared" ca="1" si="88"/>
        <v/>
      </c>
      <c r="L300" s="93" t="str">
        <f t="shared" ca="1" si="88"/>
        <v/>
      </c>
      <c r="M300" s="93" t="str">
        <f t="shared" ca="1" si="88"/>
        <v/>
      </c>
      <c r="N300" s="93" t="str">
        <f t="shared" ca="1" si="88"/>
        <v/>
      </c>
      <c r="O300" s="93" t="str">
        <f t="shared" ca="1" si="88"/>
        <v/>
      </c>
      <c r="P300" s="312" t="str">
        <f t="shared" ca="1" si="89"/>
        <v/>
      </c>
      <c r="Q300" s="93" t="str">
        <f t="shared" ca="1" si="89"/>
        <v/>
      </c>
      <c r="R300" s="93" t="str">
        <f t="shared" ca="1" si="89"/>
        <v/>
      </c>
      <c r="S300" s="201" t="str">
        <f t="shared" ca="1" si="79"/>
        <v/>
      </c>
      <c r="T300" s="201"/>
      <c r="Z300" s="40" t="e">
        <f t="shared" ca="1" si="80"/>
        <v>#N/A</v>
      </c>
      <c r="AA300" s="310">
        <f t="shared" ca="1" si="81"/>
        <v>999</v>
      </c>
      <c r="AB300" s="40" t="e">
        <f ca="1">IF(ISNUMBER($A300),VLOOKUP('Berechnungen 2'!AI303,Matrix_Empfehlung.Stromkosten.ID.BOText,3,1),"")</f>
        <v>#VALUE!</v>
      </c>
      <c r="AC300" s="40">
        <f t="shared" ca="1" si="90"/>
        <v>999</v>
      </c>
      <c r="AD300" s="40">
        <f t="shared" ca="1" si="90"/>
        <v>288</v>
      </c>
      <c r="AE300" s="311">
        <f t="shared" ca="1" si="86"/>
        <v>0</v>
      </c>
    </row>
    <row r="301" spans="1:31" x14ac:dyDescent="0.2">
      <c r="A301" s="201">
        <f t="shared" ca="1" si="78"/>
        <v>289</v>
      </c>
      <c r="B301" s="193">
        <f t="shared" si="82"/>
        <v>289</v>
      </c>
      <c r="C301" s="192">
        <f ca="1">IF(ISERROR(LARGE('Berechnungen 2'!$E$16:$E$315,B301)),"",LARGE('Berechnungen 2'!$E$16:$E$315,B301))</f>
        <v>12</v>
      </c>
      <c r="D301" s="201" t="str">
        <f t="shared" ca="1" si="88"/>
        <v/>
      </c>
      <c r="E301" s="201" t="str">
        <f t="shared" ca="1" si="88"/>
        <v/>
      </c>
      <c r="F301" s="201" t="str">
        <f t="shared" ca="1" si="88"/>
        <v/>
      </c>
      <c r="G301" s="205" t="str">
        <f t="shared" ca="1" si="88"/>
        <v/>
      </c>
      <c r="H301" s="202" t="str">
        <f t="shared" ca="1" si="88"/>
        <v/>
      </c>
      <c r="I301" s="201" t="str">
        <f t="shared" ca="1" si="88"/>
        <v/>
      </c>
      <c r="J301" s="93" t="str">
        <f t="shared" ca="1" si="88"/>
        <v/>
      </c>
      <c r="K301" s="93" t="str">
        <f t="shared" ca="1" si="88"/>
        <v/>
      </c>
      <c r="L301" s="93" t="str">
        <f t="shared" ca="1" si="88"/>
        <v/>
      </c>
      <c r="M301" s="93" t="str">
        <f t="shared" ca="1" si="88"/>
        <v/>
      </c>
      <c r="N301" s="93" t="str">
        <f t="shared" ca="1" si="88"/>
        <v/>
      </c>
      <c r="O301" s="93" t="str">
        <f t="shared" ca="1" si="88"/>
        <v/>
      </c>
      <c r="P301" s="312" t="str">
        <f t="shared" ca="1" si="89"/>
        <v/>
      </c>
      <c r="Q301" s="93" t="str">
        <f t="shared" ca="1" si="89"/>
        <v/>
      </c>
      <c r="R301" s="93" t="str">
        <f t="shared" ca="1" si="89"/>
        <v/>
      </c>
      <c r="S301" s="201" t="str">
        <f t="shared" ca="1" si="79"/>
        <v/>
      </c>
      <c r="T301" s="201"/>
      <c r="Z301" s="40" t="e">
        <f t="shared" ca="1" si="80"/>
        <v>#N/A</v>
      </c>
      <c r="AA301" s="310">
        <f t="shared" ca="1" si="81"/>
        <v>999</v>
      </c>
      <c r="AB301" s="40" t="e">
        <f ca="1">IF(ISNUMBER($A301),VLOOKUP('Berechnungen 2'!AI304,Matrix_Empfehlung.Stromkosten.ID.BOText,3,1),"")</f>
        <v>#VALUE!</v>
      </c>
      <c r="AC301" s="40">
        <f t="shared" ca="1" si="90"/>
        <v>999</v>
      </c>
      <c r="AD301" s="40">
        <f t="shared" ca="1" si="90"/>
        <v>289</v>
      </c>
      <c r="AE301" s="311">
        <f t="shared" ca="1" si="86"/>
        <v>0</v>
      </c>
    </row>
    <row r="302" spans="1:31" x14ac:dyDescent="0.2">
      <c r="A302" s="201">
        <f t="shared" ca="1" si="78"/>
        <v>290</v>
      </c>
      <c r="B302" s="193">
        <f t="shared" si="82"/>
        <v>290</v>
      </c>
      <c r="C302" s="192">
        <f ca="1">IF(ISERROR(LARGE('Berechnungen 2'!$E$16:$E$315,B302)),"",LARGE('Berechnungen 2'!$E$16:$E$315,B302))</f>
        <v>11</v>
      </c>
      <c r="D302" s="201" t="str">
        <f t="shared" ca="1" si="88"/>
        <v/>
      </c>
      <c r="E302" s="201" t="str">
        <f t="shared" ca="1" si="88"/>
        <v/>
      </c>
      <c r="F302" s="201" t="str">
        <f t="shared" ca="1" si="88"/>
        <v/>
      </c>
      <c r="G302" s="205" t="str">
        <f t="shared" ca="1" si="88"/>
        <v/>
      </c>
      <c r="H302" s="202" t="str">
        <f t="shared" ca="1" si="88"/>
        <v/>
      </c>
      <c r="I302" s="201" t="str">
        <f t="shared" ca="1" si="88"/>
        <v/>
      </c>
      <c r="J302" s="93" t="str">
        <f t="shared" ca="1" si="88"/>
        <v/>
      </c>
      <c r="K302" s="93" t="str">
        <f t="shared" ca="1" si="88"/>
        <v/>
      </c>
      <c r="L302" s="93" t="str">
        <f t="shared" ca="1" si="88"/>
        <v/>
      </c>
      <c r="M302" s="93" t="str">
        <f t="shared" ca="1" si="88"/>
        <v/>
      </c>
      <c r="N302" s="93" t="str">
        <f t="shared" ca="1" si="88"/>
        <v/>
      </c>
      <c r="O302" s="93" t="str">
        <f t="shared" ca="1" si="88"/>
        <v/>
      </c>
      <c r="P302" s="312" t="str">
        <f t="shared" ca="1" si="89"/>
        <v/>
      </c>
      <c r="Q302" s="93" t="str">
        <f t="shared" ca="1" si="89"/>
        <v/>
      </c>
      <c r="R302" s="93" t="str">
        <f t="shared" ca="1" si="89"/>
        <v/>
      </c>
      <c r="S302" s="201" t="str">
        <f t="shared" ca="1" si="79"/>
        <v/>
      </c>
      <c r="T302" s="201"/>
      <c r="Z302" s="40" t="e">
        <f t="shared" ca="1" si="80"/>
        <v>#N/A</v>
      </c>
      <c r="AA302" s="310">
        <f t="shared" ca="1" si="81"/>
        <v>999</v>
      </c>
      <c r="AB302" s="40" t="e">
        <f ca="1">IF(ISNUMBER($A302),VLOOKUP('Berechnungen 2'!AI305,Matrix_Empfehlung.Stromkosten.ID.BOText,3,1),"")</f>
        <v>#VALUE!</v>
      </c>
      <c r="AC302" s="40">
        <f t="shared" ca="1" si="90"/>
        <v>999</v>
      </c>
      <c r="AD302" s="40">
        <f t="shared" ca="1" si="90"/>
        <v>290</v>
      </c>
      <c r="AE302" s="311">
        <f t="shared" ca="1" si="86"/>
        <v>0</v>
      </c>
    </row>
    <row r="303" spans="1:31" x14ac:dyDescent="0.2">
      <c r="A303" s="201">
        <f t="shared" ca="1" si="78"/>
        <v>291</v>
      </c>
      <c r="B303" s="193">
        <f t="shared" si="82"/>
        <v>291</v>
      </c>
      <c r="C303" s="192">
        <f ca="1">IF(ISERROR(LARGE('Berechnungen 2'!$E$16:$E$315,B303)),"",LARGE('Berechnungen 2'!$E$16:$E$315,B303))</f>
        <v>10</v>
      </c>
      <c r="D303" s="201" t="str">
        <f t="shared" ref="D303:O312" ca="1" si="91">IF($AC303&gt;0,VLOOKUP($C303,Matrix_Berechnungen2.Rang.Pumpendaten.Endresultate,D$9,0),"")</f>
        <v/>
      </c>
      <c r="E303" s="201" t="str">
        <f t="shared" ca="1" si="91"/>
        <v/>
      </c>
      <c r="F303" s="201" t="str">
        <f t="shared" ca="1" si="91"/>
        <v/>
      </c>
      <c r="G303" s="205" t="str">
        <f t="shared" ca="1" si="91"/>
        <v/>
      </c>
      <c r="H303" s="202" t="str">
        <f t="shared" ca="1" si="91"/>
        <v/>
      </c>
      <c r="I303" s="201" t="str">
        <f t="shared" ca="1" si="91"/>
        <v/>
      </c>
      <c r="J303" s="93" t="str">
        <f t="shared" ca="1" si="91"/>
        <v/>
      </c>
      <c r="K303" s="93" t="str">
        <f t="shared" ca="1" si="91"/>
        <v/>
      </c>
      <c r="L303" s="93" t="str">
        <f t="shared" ca="1" si="91"/>
        <v/>
      </c>
      <c r="M303" s="93" t="str">
        <f t="shared" ca="1" si="91"/>
        <v/>
      </c>
      <c r="N303" s="93" t="str">
        <f t="shared" ca="1" si="91"/>
        <v/>
      </c>
      <c r="O303" s="93" t="str">
        <f t="shared" ca="1" si="91"/>
        <v/>
      </c>
      <c r="P303" s="312" t="str">
        <f t="shared" ca="1" si="89"/>
        <v/>
      </c>
      <c r="Q303" s="93" t="str">
        <f t="shared" ca="1" si="89"/>
        <v/>
      </c>
      <c r="R303" s="93" t="str">
        <f t="shared" ca="1" si="89"/>
        <v/>
      </c>
      <c r="S303" s="201" t="str">
        <f t="shared" ca="1" si="79"/>
        <v/>
      </c>
      <c r="T303" s="201"/>
      <c r="Z303" s="40" t="e">
        <f t="shared" ca="1" si="80"/>
        <v>#N/A</v>
      </c>
      <c r="AA303" s="310">
        <f t="shared" ca="1" si="81"/>
        <v>999</v>
      </c>
      <c r="AB303" s="40" t="e">
        <f ca="1">IF(ISNUMBER($A303),VLOOKUP('Berechnungen 2'!AI306,Matrix_Empfehlung.Stromkosten.ID.BOText,3,1),"")</f>
        <v>#VALUE!</v>
      </c>
      <c r="AC303" s="40">
        <f t="shared" ca="1" si="90"/>
        <v>999</v>
      </c>
      <c r="AD303" s="40">
        <f t="shared" ca="1" si="90"/>
        <v>291</v>
      </c>
      <c r="AE303" s="311">
        <f t="shared" ca="1" si="86"/>
        <v>0</v>
      </c>
    </row>
    <row r="304" spans="1:31" x14ac:dyDescent="0.2">
      <c r="A304" s="201">
        <f t="shared" ca="1" si="78"/>
        <v>292</v>
      </c>
      <c r="B304" s="193">
        <f t="shared" si="82"/>
        <v>292</v>
      </c>
      <c r="C304" s="192">
        <f ca="1">IF(ISERROR(LARGE('Berechnungen 2'!$E$16:$E$315,B304)),"",LARGE('Berechnungen 2'!$E$16:$E$315,B304))</f>
        <v>9</v>
      </c>
      <c r="D304" s="201" t="str">
        <f t="shared" ca="1" si="91"/>
        <v/>
      </c>
      <c r="E304" s="201" t="str">
        <f t="shared" ca="1" si="91"/>
        <v/>
      </c>
      <c r="F304" s="201" t="str">
        <f t="shared" ca="1" si="91"/>
        <v/>
      </c>
      <c r="G304" s="205" t="str">
        <f t="shared" ca="1" si="91"/>
        <v/>
      </c>
      <c r="H304" s="202" t="str">
        <f t="shared" ca="1" si="91"/>
        <v/>
      </c>
      <c r="I304" s="201" t="str">
        <f t="shared" ca="1" si="91"/>
        <v/>
      </c>
      <c r="J304" s="93" t="str">
        <f t="shared" ca="1" si="91"/>
        <v/>
      </c>
      <c r="K304" s="93" t="str">
        <f t="shared" ca="1" si="91"/>
        <v/>
      </c>
      <c r="L304" s="93" t="str">
        <f t="shared" ca="1" si="91"/>
        <v/>
      </c>
      <c r="M304" s="93" t="str">
        <f t="shared" ca="1" si="91"/>
        <v/>
      </c>
      <c r="N304" s="93" t="str">
        <f t="shared" ca="1" si="91"/>
        <v/>
      </c>
      <c r="O304" s="93" t="str">
        <f t="shared" ca="1" si="91"/>
        <v/>
      </c>
      <c r="P304" s="312" t="str">
        <f t="shared" ca="1" si="89"/>
        <v/>
      </c>
      <c r="Q304" s="93" t="str">
        <f t="shared" ca="1" si="89"/>
        <v/>
      </c>
      <c r="R304" s="93" t="str">
        <f t="shared" ca="1" si="89"/>
        <v/>
      </c>
      <c r="S304" s="201" t="str">
        <f t="shared" ca="1" si="79"/>
        <v/>
      </c>
      <c r="T304" s="201"/>
      <c r="Z304" s="40" t="e">
        <f t="shared" ca="1" si="80"/>
        <v>#N/A</v>
      </c>
      <c r="AA304" s="310">
        <f t="shared" ca="1" si="81"/>
        <v>999</v>
      </c>
      <c r="AB304" s="40" t="e">
        <f ca="1">IF(ISNUMBER($A304),VLOOKUP('Berechnungen 2'!AI307,Matrix_Empfehlung.Stromkosten.ID.BOText,3,1),"")</f>
        <v>#VALUE!</v>
      </c>
      <c r="AC304" s="40">
        <f t="shared" ca="1" si="90"/>
        <v>999</v>
      </c>
      <c r="AD304" s="40">
        <f t="shared" ca="1" si="90"/>
        <v>292</v>
      </c>
      <c r="AE304" s="311">
        <f t="shared" ca="1" si="86"/>
        <v>0</v>
      </c>
    </row>
    <row r="305" spans="1:31" x14ac:dyDescent="0.2">
      <c r="A305" s="201">
        <f t="shared" ca="1" si="78"/>
        <v>293</v>
      </c>
      <c r="B305" s="193">
        <f t="shared" si="82"/>
        <v>293</v>
      </c>
      <c r="C305" s="192">
        <f ca="1">IF(ISERROR(LARGE('Berechnungen 2'!$E$16:$E$315,B305)),"",LARGE('Berechnungen 2'!$E$16:$E$315,B305))</f>
        <v>8</v>
      </c>
      <c r="D305" s="201" t="str">
        <f t="shared" ca="1" si="91"/>
        <v/>
      </c>
      <c r="E305" s="201" t="str">
        <f t="shared" ca="1" si="91"/>
        <v/>
      </c>
      <c r="F305" s="201" t="str">
        <f t="shared" ca="1" si="91"/>
        <v/>
      </c>
      <c r="G305" s="205" t="str">
        <f t="shared" ca="1" si="91"/>
        <v/>
      </c>
      <c r="H305" s="202" t="str">
        <f t="shared" ca="1" si="91"/>
        <v/>
      </c>
      <c r="I305" s="201" t="str">
        <f t="shared" ca="1" si="91"/>
        <v/>
      </c>
      <c r="J305" s="93" t="str">
        <f t="shared" ca="1" si="91"/>
        <v/>
      </c>
      <c r="K305" s="93" t="str">
        <f t="shared" ca="1" si="91"/>
        <v/>
      </c>
      <c r="L305" s="93" t="str">
        <f t="shared" ca="1" si="91"/>
        <v/>
      </c>
      <c r="M305" s="93" t="str">
        <f t="shared" ca="1" si="91"/>
        <v/>
      </c>
      <c r="N305" s="93" t="str">
        <f t="shared" ca="1" si="91"/>
        <v/>
      </c>
      <c r="O305" s="93" t="str">
        <f t="shared" ca="1" si="91"/>
        <v/>
      </c>
      <c r="P305" s="312" t="str">
        <f t="shared" ca="1" si="89"/>
        <v/>
      </c>
      <c r="Q305" s="93" t="str">
        <f t="shared" ca="1" si="89"/>
        <v/>
      </c>
      <c r="R305" s="93" t="str">
        <f t="shared" ca="1" si="89"/>
        <v/>
      </c>
      <c r="S305" s="201" t="str">
        <f t="shared" ca="1" si="79"/>
        <v/>
      </c>
      <c r="T305" s="201"/>
      <c r="Z305" s="40" t="e">
        <f t="shared" ca="1" si="80"/>
        <v>#N/A</v>
      </c>
      <c r="AA305" s="310">
        <f t="shared" ca="1" si="81"/>
        <v>999</v>
      </c>
      <c r="AB305" s="40" t="e">
        <f ca="1">IF(ISNUMBER($A305),VLOOKUP('Berechnungen 2'!AI308,Matrix_Empfehlung.Stromkosten.ID.BOText,3,1),"")</f>
        <v>#VALUE!</v>
      </c>
      <c r="AC305" s="40">
        <f t="shared" ca="1" si="90"/>
        <v>999</v>
      </c>
      <c r="AD305" s="40">
        <f t="shared" ca="1" si="90"/>
        <v>293</v>
      </c>
      <c r="AE305" s="311">
        <f t="shared" ca="1" si="86"/>
        <v>0</v>
      </c>
    </row>
    <row r="306" spans="1:31" x14ac:dyDescent="0.2">
      <c r="A306" s="201">
        <f t="shared" ca="1" si="78"/>
        <v>294</v>
      </c>
      <c r="B306" s="193">
        <f t="shared" si="82"/>
        <v>294</v>
      </c>
      <c r="C306" s="192">
        <f ca="1">IF(ISERROR(LARGE('Berechnungen 2'!$E$16:$E$315,B306)),"",LARGE('Berechnungen 2'!$E$16:$E$315,B306))</f>
        <v>7</v>
      </c>
      <c r="D306" s="201" t="str">
        <f t="shared" ca="1" si="91"/>
        <v/>
      </c>
      <c r="E306" s="201" t="str">
        <f t="shared" ca="1" si="91"/>
        <v/>
      </c>
      <c r="F306" s="201" t="str">
        <f t="shared" ca="1" si="91"/>
        <v/>
      </c>
      <c r="G306" s="205" t="str">
        <f t="shared" ca="1" si="91"/>
        <v/>
      </c>
      <c r="H306" s="202" t="str">
        <f t="shared" ca="1" si="91"/>
        <v/>
      </c>
      <c r="I306" s="201" t="str">
        <f t="shared" ca="1" si="91"/>
        <v/>
      </c>
      <c r="J306" s="93" t="str">
        <f t="shared" ca="1" si="91"/>
        <v/>
      </c>
      <c r="K306" s="93" t="str">
        <f t="shared" ca="1" si="91"/>
        <v/>
      </c>
      <c r="L306" s="93" t="str">
        <f t="shared" ca="1" si="91"/>
        <v/>
      </c>
      <c r="M306" s="93" t="str">
        <f t="shared" ca="1" si="91"/>
        <v/>
      </c>
      <c r="N306" s="93" t="str">
        <f t="shared" ca="1" si="91"/>
        <v/>
      </c>
      <c r="O306" s="93" t="str">
        <f t="shared" ca="1" si="91"/>
        <v/>
      </c>
      <c r="P306" s="312" t="str">
        <f t="shared" ca="1" si="89"/>
        <v/>
      </c>
      <c r="Q306" s="93" t="str">
        <f t="shared" ca="1" si="89"/>
        <v/>
      </c>
      <c r="R306" s="93" t="str">
        <f t="shared" ca="1" si="89"/>
        <v/>
      </c>
      <c r="S306" s="201" t="str">
        <f t="shared" ca="1" si="79"/>
        <v/>
      </c>
      <c r="T306" s="201"/>
      <c r="Z306" s="40" t="e">
        <f t="shared" ca="1" si="80"/>
        <v>#N/A</v>
      </c>
      <c r="AA306" s="310">
        <f t="shared" ca="1" si="81"/>
        <v>999</v>
      </c>
      <c r="AB306" s="40" t="e">
        <f ca="1">IF(ISNUMBER($A306),VLOOKUP('Berechnungen 2'!AI309,Matrix_Empfehlung.Stromkosten.ID.BOText,3,1),"")</f>
        <v>#VALUE!</v>
      </c>
      <c r="AC306" s="40">
        <f t="shared" ca="1" si="90"/>
        <v>999</v>
      </c>
      <c r="AD306" s="40">
        <f t="shared" ca="1" si="90"/>
        <v>294</v>
      </c>
      <c r="AE306" s="311">
        <f t="shared" ca="1" si="86"/>
        <v>0</v>
      </c>
    </row>
    <row r="307" spans="1:31" x14ac:dyDescent="0.2">
      <c r="A307" s="201">
        <f t="shared" ca="1" si="78"/>
        <v>295</v>
      </c>
      <c r="B307" s="193">
        <f t="shared" si="82"/>
        <v>295</v>
      </c>
      <c r="C307" s="192">
        <f ca="1">IF(ISERROR(LARGE('Berechnungen 2'!$E$16:$E$315,B307)),"",LARGE('Berechnungen 2'!$E$16:$E$315,B307))</f>
        <v>6</v>
      </c>
      <c r="D307" s="201" t="str">
        <f t="shared" ca="1" si="91"/>
        <v/>
      </c>
      <c r="E307" s="201" t="str">
        <f t="shared" ca="1" si="91"/>
        <v/>
      </c>
      <c r="F307" s="201" t="str">
        <f t="shared" ca="1" si="91"/>
        <v/>
      </c>
      <c r="G307" s="205" t="str">
        <f t="shared" ca="1" si="91"/>
        <v/>
      </c>
      <c r="H307" s="202" t="str">
        <f t="shared" ca="1" si="91"/>
        <v/>
      </c>
      <c r="I307" s="201" t="str">
        <f t="shared" ca="1" si="91"/>
        <v/>
      </c>
      <c r="J307" s="93" t="str">
        <f t="shared" ca="1" si="91"/>
        <v/>
      </c>
      <c r="K307" s="93" t="str">
        <f t="shared" ca="1" si="91"/>
        <v/>
      </c>
      <c r="L307" s="93" t="str">
        <f t="shared" ca="1" si="91"/>
        <v/>
      </c>
      <c r="M307" s="93" t="str">
        <f t="shared" ca="1" si="91"/>
        <v/>
      </c>
      <c r="N307" s="93" t="str">
        <f t="shared" ca="1" si="91"/>
        <v/>
      </c>
      <c r="O307" s="93" t="str">
        <f t="shared" ca="1" si="91"/>
        <v/>
      </c>
      <c r="P307" s="312" t="str">
        <f t="shared" ca="1" si="89"/>
        <v/>
      </c>
      <c r="Q307" s="93" t="str">
        <f t="shared" ca="1" si="89"/>
        <v/>
      </c>
      <c r="R307" s="93" t="str">
        <f t="shared" ca="1" si="89"/>
        <v/>
      </c>
      <c r="S307" s="201" t="str">
        <f t="shared" ca="1" si="79"/>
        <v/>
      </c>
      <c r="T307" s="201"/>
      <c r="Z307" s="40" t="e">
        <f t="shared" ca="1" si="80"/>
        <v>#N/A</v>
      </c>
      <c r="AA307" s="310">
        <f t="shared" ca="1" si="81"/>
        <v>999</v>
      </c>
      <c r="AB307" s="40" t="e">
        <f ca="1">IF(ISNUMBER($A307),VLOOKUP('Berechnungen 2'!AI310,Matrix_Empfehlung.Stromkosten.ID.BOText,3,1),"")</f>
        <v>#VALUE!</v>
      </c>
      <c r="AC307" s="40">
        <f t="shared" ca="1" si="90"/>
        <v>999</v>
      </c>
      <c r="AD307" s="40">
        <f t="shared" ca="1" si="90"/>
        <v>295</v>
      </c>
      <c r="AE307" s="311">
        <f t="shared" ca="1" si="86"/>
        <v>0</v>
      </c>
    </row>
    <row r="308" spans="1:31" x14ac:dyDescent="0.2">
      <c r="A308" s="201">
        <f t="shared" ca="1" si="78"/>
        <v>296</v>
      </c>
      <c r="B308" s="193">
        <f t="shared" si="82"/>
        <v>296</v>
      </c>
      <c r="C308" s="192">
        <f ca="1">IF(ISERROR(LARGE('Berechnungen 2'!$E$16:$E$315,B308)),"",LARGE('Berechnungen 2'!$E$16:$E$315,B308))</f>
        <v>5</v>
      </c>
      <c r="D308" s="201" t="str">
        <f t="shared" ca="1" si="91"/>
        <v/>
      </c>
      <c r="E308" s="201" t="str">
        <f t="shared" ca="1" si="91"/>
        <v/>
      </c>
      <c r="F308" s="201" t="str">
        <f t="shared" ca="1" si="91"/>
        <v/>
      </c>
      <c r="G308" s="205" t="str">
        <f t="shared" ca="1" si="91"/>
        <v/>
      </c>
      <c r="H308" s="202" t="str">
        <f t="shared" ca="1" si="91"/>
        <v/>
      </c>
      <c r="I308" s="201" t="str">
        <f t="shared" ca="1" si="91"/>
        <v/>
      </c>
      <c r="J308" s="93" t="str">
        <f t="shared" ca="1" si="91"/>
        <v/>
      </c>
      <c r="K308" s="93" t="str">
        <f t="shared" ca="1" si="91"/>
        <v/>
      </c>
      <c r="L308" s="93" t="str">
        <f t="shared" ca="1" si="91"/>
        <v/>
      </c>
      <c r="M308" s="93" t="str">
        <f t="shared" ca="1" si="91"/>
        <v/>
      </c>
      <c r="N308" s="93" t="str">
        <f t="shared" ca="1" si="91"/>
        <v/>
      </c>
      <c r="O308" s="93" t="str">
        <f t="shared" ca="1" si="91"/>
        <v/>
      </c>
      <c r="P308" s="312" t="str">
        <f t="shared" ca="1" si="89"/>
        <v/>
      </c>
      <c r="Q308" s="93" t="str">
        <f t="shared" ca="1" si="89"/>
        <v/>
      </c>
      <c r="R308" s="93" t="str">
        <f t="shared" ca="1" si="89"/>
        <v/>
      </c>
      <c r="S308" s="201" t="str">
        <f t="shared" ca="1" si="79"/>
        <v/>
      </c>
      <c r="T308" s="201"/>
      <c r="Z308" s="40" t="e">
        <f t="shared" ca="1" si="80"/>
        <v>#N/A</v>
      </c>
      <c r="AA308" s="310">
        <f t="shared" ca="1" si="81"/>
        <v>999</v>
      </c>
      <c r="AB308" s="40" t="e">
        <f ca="1">IF(ISNUMBER($A308),VLOOKUP('Berechnungen 2'!AI311,Matrix_Empfehlung.Stromkosten.ID.BOText,3,1),"")</f>
        <v>#VALUE!</v>
      </c>
      <c r="AC308" s="40">
        <f t="shared" ca="1" si="90"/>
        <v>999</v>
      </c>
      <c r="AD308" s="40">
        <f t="shared" ca="1" si="90"/>
        <v>296</v>
      </c>
      <c r="AE308" s="311">
        <f t="shared" ca="1" si="86"/>
        <v>0</v>
      </c>
    </row>
    <row r="309" spans="1:31" x14ac:dyDescent="0.2">
      <c r="A309" s="201">
        <f t="shared" ca="1" si="78"/>
        <v>297</v>
      </c>
      <c r="B309" s="193">
        <f t="shared" si="82"/>
        <v>297</v>
      </c>
      <c r="C309" s="192">
        <f ca="1">IF(ISERROR(LARGE('Berechnungen 2'!$E$16:$E$315,B309)),"",LARGE('Berechnungen 2'!$E$16:$E$315,B309))</f>
        <v>4</v>
      </c>
      <c r="D309" s="201" t="str">
        <f t="shared" ca="1" si="91"/>
        <v/>
      </c>
      <c r="E309" s="201" t="str">
        <f t="shared" ca="1" si="91"/>
        <v/>
      </c>
      <c r="F309" s="201" t="str">
        <f t="shared" ca="1" si="91"/>
        <v/>
      </c>
      <c r="G309" s="205" t="str">
        <f t="shared" ca="1" si="91"/>
        <v/>
      </c>
      <c r="H309" s="202" t="str">
        <f t="shared" ca="1" si="91"/>
        <v/>
      </c>
      <c r="I309" s="201" t="str">
        <f t="shared" ca="1" si="91"/>
        <v/>
      </c>
      <c r="J309" s="93" t="str">
        <f t="shared" ca="1" si="91"/>
        <v/>
      </c>
      <c r="K309" s="93" t="str">
        <f t="shared" ca="1" si="91"/>
        <v/>
      </c>
      <c r="L309" s="93" t="str">
        <f t="shared" ca="1" si="91"/>
        <v/>
      </c>
      <c r="M309" s="93" t="str">
        <f t="shared" ca="1" si="91"/>
        <v/>
      </c>
      <c r="N309" s="93" t="str">
        <f t="shared" ca="1" si="91"/>
        <v/>
      </c>
      <c r="O309" s="93" t="str">
        <f t="shared" ca="1" si="91"/>
        <v/>
      </c>
      <c r="P309" s="312" t="str">
        <f t="shared" ca="1" si="89"/>
        <v/>
      </c>
      <c r="Q309" s="93" t="str">
        <f t="shared" ca="1" si="89"/>
        <v/>
      </c>
      <c r="R309" s="93" t="str">
        <f t="shared" ca="1" si="89"/>
        <v/>
      </c>
      <c r="S309" s="201" t="str">
        <f t="shared" ca="1" si="79"/>
        <v/>
      </c>
      <c r="T309" s="201"/>
      <c r="Z309" s="40" t="e">
        <f t="shared" ca="1" si="80"/>
        <v>#N/A</v>
      </c>
      <c r="AA309" s="310">
        <f t="shared" ca="1" si="81"/>
        <v>999</v>
      </c>
      <c r="AB309" s="40" t="e">
        <f ca="1">IF(ISNUMBER($A309),VLOOKUP('Berechnungen 2'!AI312,Matrix_Empfehlung.Stromkosten.ID.BOText,3,1),"")</f>
        <v>#VALUE!</v>
      </c>
      <c r="AC309" s="40">
        <f t="shared" ca="1" si="90"/>
        <v>999</v>
      </c>
      <c r="AD309" s="40">
        <f t="shared" ca="1" si="90"/>
        <v>297</v>
      </c>
      <c r="AE309" s="311">
        <f t="shared" ca="1" si="86"/>
        <v>0</v>
      </c>
    </row>
    <row r="310" spans="1:31" x14ac:dyDescent="0.2">
      <c r="A310" s="201">
        <f t="shared" ca="1" si="78"/>
        <v>298</v>
      </c>
      <c r="B310" s="193">
        <f t="shared" si="82"/>
        <v>298</v>
      </c>
      <c r="C310" s="192">
        <f ca="1">IF(ISERROR(LARGE('Berechnungen 2'!$E$16:$E$315,B310)),"",LARGE('Berechnungen 2'!$E$16:$E$315,B310))</f>
        <v>3</v>
      </c>
      <c r="D310" s="201" t="str">
        <f t="shared" ca="1" si="91"/>
        <v/>
      </c>
      <c r="E310" s="201" t="str">
        <f t="shared" ca="1" si="91"/>
        <v/>
      </c>
      <c r="F310" s="201" t="str">
        <f t="shared" ca="1" si="91"/>
        <v/>
      </c>
      <c r="G310" s="205" t="str">
        <f t="shared" ca="1" si="91"/>
        <v/>
      </c>
      <c r="H310" s="202" t="str">
        <f t="shared" ca="1" si="91"/>
        <v/>
      </c>
      <c r="I310" s="201" t="str">
        <f t="shared" ca="1" si="91"/>
        <v/>
      </c>
      <c r="J310" s="93" t="str">
        <f t="shared" ca="1" si="91"/>
        <v/>
      </c>
      <c r="K310" s="93" t="str">
        <f t="shared" ca="1" si="91"/>
        <v/>
      </c>
      <c r="L310" s="93" t="str">
        <f t="shared" ca="1" si="91"/>
        <v/>
      </c>
      <c r="M310" s="93" t="str">
        <f t="shared" ca="1" si="91"/>
        <v/>
      </c>
      <c r="N310" s="93" t="str">
        <f t="shared" ca="1" si="91"/>
        <v/>
      </c>
      <c r="O310" s="93" t="str">
        <f t="shared" ca="1" si="91"/>
        <v/>
      </c>
      <c r="P310" s="312" t="str">
        <f t="shared" ca="1" si="89"/>
        <v/>
      </c>
      <c r="Q310" s="93" t="str">
        <f t="shared" ca="1" si="89"/>
        <v/>
      </c>
      <c r="R310" s="93" t="str">
        <f t="shared" ca="1" si="89"/>
        <v/>
      </c>
      <c r="S310" s="201" t="str">
        <f t="shared" ca="1" si="79"/>
        <v/>
      </c>
      <c r="T310" s="201"/>
      <c r="Z310" s="40" t="e">
        <f t="shared" ca="1" si="80"/>
        <v>#N/A</v>
      </c>
      <c r="AA310" s="310">
        <f t="shared" ca="1" si="81"/>
        <v>999</v>
      </c>
      <c r="AB310" s="40" t="e">
        <f ca="1">IF(ISNUMBER($A310),VLOOKUP('Berechnungen 2'!AI313,Matrix_Empfehlung.Stromkosten.ID.BOText,3,1),"")</f>
        <v>#VALUE!</v>
      </c>
      <c r="AC310" s="40">
        <f t="shared" ca="1" si="90"/>
        <v>999</v>
      </c>
      <c r="AD310" s="40">
        <f t="shared" ca="1" si="90"/>
        <v>298</v>
      </c>
      <c r="AE310" s="311">
        <f t="shared" ca="1" si="86"/>
        <v>0</v>
      </c>
    </row>
    <row r="311" spans="1:31" x14ac:dyDescent="0.2">
      <c r="A311" s="201">
        <f t="shared" ca="1" si="78"/>
        <v>299</v>
      </c>
      <c r="B311" s="193">
        <f t="shared" si="82"/>
        <v>299</v>
      </c>
      <c r="C311" s="192">
        <f ca="1">IF(ISERROR(LARGE('Berechnungen 2'!$E$16:$E$315,B311)),"",LARGE('Berechnungen 2'!$E$16:$E$315,B311))</f>
        <v>2</v>
      </c>
      <c r="D311" s="201" t="str">
        <f t="shared" ca="1" si="91"/>
        <v/>
      </c>
      <c r="E311" s="201" t="str">
        <f t="shared" ca="1" si="91"/>
        <v/>
      </c>
      <c r="F311" s="201" t="str">
        <f t="shared" ca="1" si="91"/>
        <v/>
      </c>
      <c r="G311" s="205" t="str">
        <f t="shared" ca="1" si="91"/>
        <v/>
      </c>
      <c r="H311" s="202" t="str">
        <f t="shared" ca="1" si="91"/>
        <v/>
      </c>
      <c r="I311" s="201" t="str">
        <f t="shared" ca="1" si="91"/>
        <v/>
      </c>
      <c r="J311" s="93" t="str">
        <f t="shared" ca="1" si="91"/>
        <v/>
      </c>
      <c r="K311" s="93" t="str">
        <f t="shared" ca="1" si="91"/>
        <v/>
      </c>
      <c r="L311" s="93" t="str">
        <f t="shared" ca="1" si="91"/>
        <v/>
      </c>
      <c r="M311" s="93" t="str">
        <f t="shared" ca="1" si="91"/>
        <v/>
      </c>
      <c r="N311" s="93" t="str">
        <f t="shared" ca="1" si="91"/>
        <v/>
      </c>
      <c r="O311" s="93" t="str">
        <f t="shared" ca="1" si="91"/>
        <v/>
      </c>
      <c r="P311" s="312" t="str">
        <f t="shared" ca="1" si="89"/>
        <v/>
      </c>
      <c r="Q311" s="93" t="str">
        <f t="shared" ca="1" si="89"/>
        <v/>
      </c>
      <c r="R311" s="93" t="str">
        <f t="shared" ca="1" si="89"/>
        <v/>
      </c>
      <c r="S311" s="201" t="str">
        <f t="shared" ca="1" si="79"/>
        <v/>
      </c>
      <c r="T311" s="201"/>
      <c r="Z311" s="40" t="e">
        <f t="shared" ca="1" si="80"/>
        <v>#N/A</v>
      </c>
      <c r="AA311" s="310">
        <f t="shared" ca="1" si="81"/>
        <v>999</v>
      </c>
      <c r="AB311" s="40" t="e">
        <f ca="1">IF(ISNUMBER($A311),VLOOKUP('Berechnungen 2'!AI314,Matrix_Empfehlung.Stromkosten.ID.BOText,3,1),"")</f>
        <v>#VALUE!</v>
      </c>
      <c r="AC311" s="40">
        <f t="shared" ca="1" si="90"/>
        <v>999</v>
      </c>
      <c r="AD311" s="40">
        <f t="shared" ca="1" si="90"/>
        <v>299</v>
      </c>
      <c r="AE311" s="311">
        <f t="shared" ca="1" si="86"/>
        <v>0</v>
      </c>
    </row>
    <row r="312" spans="1:31" x14ac:dyDescent="0.2">
      <c r="A312" s="201">
        <f t="shared" ca="1" si="78"/>
        <v>300</v>
      </c>
      <c r="B312" s="193">
        <f t="shared" si="82"/>
        <v>300</v>
      </c>
      <c r="C312" s="192">
        <f ca="1">IF(ISERROR(LARGE('Berechnungen 2'!$E$16:$E$315,B312)),"",LARGE('Berechnungen 2'!$E$16:$E$315,B312))</f>
        <v>1</v>
      </c>
      <c r="D312" s="201" t="str">
        <f t="shared" ca="1" si="91"/>
        <v/>
      </c>
      <c r="E312" s="201" t="str">
        <f t="shared" ca="1" si="91"/>
        <v/>
      </c>
      <c r="F312" s="201" t="str">
        <f t="shared" ca="1" si="91"/>
        <v/>
      </c>
      <c r="G312" s="205" t="str">
        <f t="shared" ca="1" si="91"/>
        <v/>
      </c>
      <c r="H312" s="202" t="str">
        <f t="shared" ca="1" si="91"/>
        <v/>
      </c>
      <c r="I312" s="201" t="str">
        <f t="shared" ca="1" si="91"/>
        <v/>
      </c>
      <c r="J312" s="93" t="str">
        <f t="shared" ca="1" si="91"/>
        <v/>
      </c>
      <c r="K312" s="93" t="str">
        <f t="shared" ca="1" si="91"/>
        <v/>
      </c>
      <c r="L312" s="93" t="str">
        <f t="shared" ca="1" si="91"/>
        <v/>
      </c>
      <c r="M312" s="93" t="str">
        <f t="shared" ca="1" si="91"/>
        <v/>
      </c>
      <c r="N312" s="93" t="str">
        <f t="shared" ca="1" si="91"/>
        <v/>
      </c>
      <c r="O312" s="93" t="str">
        <f t="shared" ca="1" si="91"/>
        <v/>
      </c>
      <c r="P312" s="312" t="str">
        <f t="shared" ca="1" si="89"/>
        <v/>
      </c>
      <c r="Q312" s="93" t="str">
        <f t="shared" ca="1" si="89"/>
        <v/>
      </c>
      <c r="R312" s="93" t="str">
        <f t="shared" ca="1" si="89"/>
        <v/>
      </c>
      <c r="S312" s="201" t="str">
        <f t="shared" ca="1" si="79"/>
        <v/>
      </c>
      <c r="T312" s="201"/>
      <c r="Z312" s="40" t="e">
        <f t="shared" ca="1" si="80"/>
        <v>#N/A</v>
      </c>
      <c r="AA312" s="310">
        <f t="shared" ca="1" si="81"/>
        <v>999</v>
      </c>
      <c r="AB312" s="40" t="e">
        <f ca="1">IF(ISNUMBER($A312),VLOOKUP('Berechnungen 2'!AI315,Matrix_Empfehlung.Stromkosten.ID.BOText,3,1),"")</f>
        <v>#VALUE!</v>
      </c>
      <c r="AC312" s="40">
        <f t="shared" ca="1" si="90"/>
        <v>999</v>
      </c>
      <c r="AD312" s="40">
        <f t="shared" ca="1" si="90"/>
        <v>300</v>
      </c>
      <c r="AE312" s="311">
        <f t="shared" ca="1" si="86"/>
        <v>0</v>
      </c>
    </row>
    <row r="313" spans="1:31" s="5" customFormat="1" x14ac:dyDescent="0.2">
      <c r="B313" s="185"/>
      <c r="C313" s="185"/>
      <c r="Z313" s="307"/>
      <c r="AA313" s="307"/>
      <c r="AB313" s="307"/>
      <c r="AC313" s="307"/>
      <c r="AD313" s="307"/>
      <c r="AE313" s="307"/>
    </row>
  </sheetData>
  <sheetProtection password="9982" sheet="1" objects="1" scenarios="1" formatColumns="0" selectLockedCells="1"/>
  <mergeCells count="7">
    <mergeCell ref="K2:S2"/>
    <mergeCell ref="J11:K11"/>
    <mergeCell ref="L11:M11"/>
    <mergeCell ref="N11:O11"/>
    <mergeCell ref="J10:O10"/>
    <mergeCell ref="P10:R10"/>
    <mergeCell ref="P11:R11"/>
  </mergeCells>
  <phoneticPr fontId="16" type="noConversion"/>
  <conditionalFormatting sqref="A13:T312">
    <cfRule type="expression" dxfId="12" priority="2">
      <formula>$AA13&lt;0</formula>
    </cfRule>
    <cfRule type="expression" dxfId="11" priority="3">
      <formula>$AC13=0</formula>
    </cfRule>
    <cfRule type="expression" dxfId="10" priority="33">
      <formula>$AC13=9999</formula>
    </cfRule>
    <cfRule type="expression" dxfId="9" priority="34">
      <formula>$Z13=0</formula>
    </cfRule>
    <cfRule type="expression" dxfId="8" priority="35">
      <formula>$Z13=2</formula>
    </cfRule>
    <cfRule type="expression" dxfId="7" priority="36">
      <formula>$Z13=1</formula>
    </cfRule>
  </conditionalFormatting>
  <conditionalFormatting sqref="J13:S312">
    <cfRule type="expression" dxfId="6" priority="1">
      <formula>$AA13&lt;0</formula>
    </cfRule>
    <cfRule type="expression" dxfId="5" priority="32">
      <formula>$AC13=9999</formula>
    </cfRule>
  </conditionalFormatting>
  <dataValidations count="1">
    <dataValidation type="list" allowBlank="1" showInputMessage="1" showErrorMessage="1" sqref="E8">
      <formula1>Liste.Dropdown_Sortiervariante.Resultate</formula1>
    </dataValidation>
  </dataValidations>
  <pageMargins left="0.39370078740157483" right="0.39370078740157483" top="0.39370078740157483" bottom="0.31496062992125984" header="0.31496062992125984" footer="0.23622047244094491"/>
  <pageSetup paperSize="9" scale="59" fitToHeight="0" orientation="landscape" r:id="rId1"/>
  <ignoredErrors>
    <ignoredError sqref="K12:N12" formula="1"/>
  </ignoredErrors>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K31"/>
  <sheetViews>
    <sheetView zoomScaleNormal="100" workbookViewId="0">
      <selection activeCell="C23" sqref="C23"/>
    </sheetView>
  </sheetViews>
  <sheetFormatPr baseColWidth="10" defaultRowHeight="14.25" x14ac:dyDescent="0.2"/>
  <cols>
    <col min="1" max="1" width="2.625" customWidth="1"/>
    <col min="2" max="2" width="31.875" customWidth="1"/>
    <col min="3" max="3" width="11.375" customWidth="1"/>
    <col min="4" max="4" width="9.875" customWidth="1"/>
    <col min="5" max="5" width="17.875" customWidth="1"/>
    <col min="6" max="7" width="12.125" customWidth="1"/>
    <col min="8" max="9" width="6.625" customWidth="1"/>
    <col min="10" max="10" width="14.25" customWidth="1"/>
  </cols>
  <sheetData>
    <row r="1" spans="1:11" s="2" customFormat="1" ht="18" x14ac:dyDescent="0.25">
      <c r="A1" s="1" t="str">
        <f>Sprachen!C88</f>
        <v>Outil d'analyse grossière ProEPA - installations de pompage efficaces (énergie)</v>
      </c>
      <c r="J1" s="141" t="str">
        <f>'Etape 1'!I1</f>
        <v>Version 1.4.03, 2017-03-27</v>
      </c>
    </row>
    <row r="2" spans="1:11" s="2" customFormat="1" ht="15.75" x14ac:dyDescent="0.25">
      <c r="A2" s="3" t="str">
        <f>Sprachen!C89</f>
        <v>Résumé</v>
      </c>
      <c r="F2" s="422" t="str">
        <f>IF(ISBLANK(Txt_Firma.Name.etc),"",Txt_Firma.Name.etc)</f>
        <v>Muster AG, Pumpenstrasse 1, 9999 Musterdorf</v>
      </c>
      <c r="G2" s="422"/>
      <c r="H2" s="422"/>
      <c r="I2" s="422"/>
      <c r="J2" s="422"/>
      <c r="K2" s="234"/>
    </row>
    <row r="3" spans="1:11" s="2" customFormat="1" ht="4.5" customHeight="1" x14ac:dyDescent="0.2"/>
    <row r="4" spans="1:11" s="2" customFormat="1" x14ac:dyDescent="0.2">
      <c r="A4" s="235" t="str">
        <f>Sprachen!C90</f>
        <v>Dans la présente feuille de calcul, les résultats des calculs sont résumés.</v>
      </c>
      <c r="B4" s="16"/>
      <c r="C4" s="16"/>
      <c r="D4" s="16"/>
      <c r="E4" s="16"/>
      <c r="F4" s="16"/>
      <c r="G4" s="16"/>
    </row>
    <row r="6" spans="1:11" ht="30" x14ac:dyDescent="0.25">
      <c r="C6" s="233" t="str">
        <f>Sprachen!C91</f>
        <v>Nombre de pompes</v>
      </c>
      <c r="D6" s="233" t="str">
        <f>Sprachen!C92</f>
        <v>Puissance</v>
      </c>
      <c r="E6" s="233" t="str">
        <f>Sprachen!C93</f>
        <v>Consommation électrique estimée</v>
      </c>
      <c r="F6" s="437" t="str">
        <f>Sprachen!C94</f>
        <v>Potentiel d'économie</v>
      </c>
      <c r="G6" s="438"/>
    </row>
    <row r="7" spans="1:11" x14ac:dyDescent="0.2">
      <c r="C7" s="241" t="str">
        <f>Sprachen!C95</f>
        <v>[#]</v>
      </c>
      <c r="D7" s="241" t="str">
        <f>Sprachen!C96</f>
        <v>[kW]</v>
      </c>
      <c r="E7" s="241" t="str">
        <f>Sprachen!C97</f>
        <v>[kWh/a]</v>
      </c>
      <c r="F7" s="241" t="str">
        <f>Sprachen!C97</f>
        <v>[kWh/a]</v>
      </c>
      <c r="G7" s="241" t="str">
        <f>Sprachen!C98</f>
        <v>[CHF/a]</v>
      </c>
    </row>
    <row r="8" spans="1:11" ht="15" x14ac:dyDescent="0.25">
      <c r="B8" s="313" t="str">
        <f>Sprachen!C99</f>
        <v>Toutes les pompes listée</v>
      </c>
      <c r="C8" s="314">
        <f ca="1">COUNTIF('Etape 1'!J8:J307,"&lt;&gt;999")</f>
        <v>3</v>
      </c>
      <c r="D8" s="314">
        <f>SUM('Etape 1'!E8:E307)</f>
        <v>396</v>
      </c>
      <c r="E8" s="314">
        <f ca="1">SUM(Résultats!AE$13:AE$312)</f>
        <v>404700</v>
      </c>
      <c r="F8" s="315"/>
      <c r="G8" s="316"/>
    </row>
    <row r="9" spans="1:11" x14ac:dyDescent="0.2">
      <c r="B9" s="320" t="str">
        <f>Sprachen!C100</f>
        <v>dont entrées incomplètes:</v>
      </c>
      <c r="C9" s="317">
        <f ca="1">COUNTIF('Etape 1'!J8:J307,"=9999")</f>
        <v>0</v>
      </c>
      <c r="D9" s="318"/>
      <c r="E9" s="318"/>
      <c r="F9" s="318"/>
      <c r="G9" s="319"/>
    </row>
    <row r="10" spans="1:11" ht="3" customHeight="1" x14ac:dyDescent="0.25">
      <c r="B10" s="228"/>
    </row>
    <row r="11" spans="1:11" x14ac:dyDescent="0.2">
      <c r="B11" s="236" t="str">
        <f>Sprachen!C101</f>
        <v>dont reprises dans l'étape 2:</v>
      </c>
      <c r="C11" s="237"/>
      <c r="D11" s="237"/>
      <c r="E11" s="237"/>
      <c r="F11" s="237"/>
      <c r="G11" s="238"/>
    </row>
    <row r="12" spans="1:11" x14ac:dyDescent="0.2">
      <c r="B12" s="239" t="str">
        <f>Sprachen!C102</f>
        <v>toutes les pompes avec:</v>
      </c>
      <c r="C12" s="231"/>
      <c r="D12" s="232"/>
      <c r="E12" s="232"/>
      <c r="F12" s="232"/>
      <c r="G12" s="240"/>
    </row>
    <row r="13" spans="1:11" x14ac:dyDescent="0.2">
      <c r="B13" s="239" t="str">
        <f>Sprachen!C103</f>
        <v>temps de marche incohérents</v>
      </c>
      <c r="C13" s="93">
        <f ca="1">COUNTIFS(Résultats!$AA$13:$AA$312,"&lt;0",Résultats!$AA$13:$AA$312,"&gt;-999")</f>
        <v>0</v>
      </c>
      <c r="D13" s="93">
        <f ca="1">SUMIFS(Résultats!G$13:G$312,Résultats!$AA$13:$AA$312,"&lt;0",Résultats!$AA$13:$AA$312,"&gt;-999")</f>
        <v>0</v>
      </c>
      <c r="E13" s="93">
        <f ca="1">SUMIFS(Résultats!AE$13:AE$312,Résultats!$AA$13:$AA$312,"&lt;0",Résultats!$AA$13:$AA$312,"&gt;-999")</f>
        <v>0</v>
      </c>
      <c r="F13" s="321"/>
      <c r="G13" s="322"/>
    </row>
    <row r="14" spans="1:11" x14ac:dyDescent="0.2">
      <c r="A14" s="94">
        <v>1</v>
      </c>
      <c r="B14" s="326" t="str">
        <f>VLOOKUP(A14,Matrix_Empfehlung.ID.Potential.DetailanalyseText,4,FALSE)</f>
        <v>aucune mesure nécessaire</v>
      </c>
      <c r="C14" s="327">
        <f ca="1">COUNTIFS(Résultats!$AC$13:$AC$312,"&gt;=1",Résultats!$AC$13:$AC$312,"&lt;=2")-SUM(C13,C15:C16)</f>
        <v>1</v>
      </c>
      <c r="D14" s="327">
        <f ca="1">SUMIFS(Résultats!G$13:G$312,Résultats!$AC$13:$AC$312,"&gt;=1",Résultats!$AC$13:$AC$312,"&lt;=2")-SUM(D13,D15:D16)</f>
        <v>10</v>
      </c>
      <c r="E14" s="327">
        <f ca="1">SUM(Résultats!AE$13:AE$312)-SUM(E13,E15:E16)</f>
        <v>37500</v>
      </c>
      <c r="F14" s="321"/>
      <c r="G14" s="322"/>
    </row>
    <row r="15" spans="1:11" x14ac:dyDescent="0.2">
      <c r="A15" s="94">
        <v>3</v>
      </c>
      <c r="B15" s="411" t="str">
        <f>VLOOKUP(A15,Matrix_Empfehlung.ID.Potential.DetailanalyseText,4,FALSE)</f>
        <v>analyse fine recommandée</v>
      </c>
      <c r="C15" s="412">
        <f ca="1">COUNTIF(Résultats!$Z$13:$Z$312,"=2")</f>
        <v>0</v>
      </c>
      <c r="D15" s="412">
        <f ca="1">SUMIFS(Résultats!G$13:G$312,Résultats!$Z$13:$Z$312,"=2")</f>
        <v>0</v>
      </c>
      <c r="E15" s="412">
        <f ca="1">SUMIFS(Résultats!AE$13:AE$312,Résultats!$Z$13:$Z$312,"=2")</f>
        <v>0</v>
      </c>
      <c r="F15" s="412">
        <f ca="1">SUMIFS(Résultats!Q$13:Q$312,Résultats!$Z$13:$Z$312,"=2")</f>
        <v>0</v>
      </c>
      <c r="G15" s="413">
        <f ca="1">SUMIFS(Résultats!R$13:R$312,Résultats!$Z$13:$Z$312,"=2")</f>
        <v>0</v>
      </c>
    </row>
    <row r="16" spans="1:11" ht="15" thickBot="1" x14ac:dyDescent="0.25">
      <c r="A16" s="94">
        <v>5</v>
      </c>
      <c r="B16" s="245" t="str">
        <f>VLOOKUP(A16,Matrix_Empfehlung.ID.Potential.DetailanalyseText,4,FALSE)</f>
        <v>analyse fine fortement recommandée</v>
      </c>
      <c r="C16" s="246">
        <f ca="1">COUNTIF(Résultats!$Z$13:$Z$312,"=1")</f>
        <v>1</v>
      </c>
      <c r="D16" s="246">
        <f ca="1">SUMIFS(Résultats!G$13:G$312,Résultats!$Z$13:$Z$312,"=1")</f>
        <v>136</v>
      </c>
      <c r="E16" s="246">
        <f ca="1">SUMIFS(Résultats!AE$13:AE$312,Résultats!$Z$13:$Z$312,"=1")</f>
        <v>367200</v>
      </c>
      <c r="F16" s="246">
        <f ca="1">SUMIFS(Résultats!Q$13:Q$312,Résultats!$Z$13:$Z$312,"=1")</f>
        <v>78468.730681439803</v>
      </c>
      <c r="G16" s="247">
        <f ca="1">SUMIFS(Résultats!R$13:R$312,Résultats!$Z$13:$Z$312,"=1")</f>
        <v>12554.996909030369</v>
      </c>
    </row>
    <row r="17" spans="2:10" ht="15.75" thickTop="1" x14ac:dyDescent="0.25">
      <c r="B17" s="242" t="str">
        <f>Sprachen!C104</f>
        <v>Total</v>
      </c>
      <c r="C17" s="243">
        <f ca="1">SUM(C13:C16)</f>
        <v>2</v>
      </c>
      <c r="D17" s="243">
        <f ca="1">SUM(D13:D16)</f>
        <v>146</v>
      </c>
      <c r="E17" s="243">
        <f t="shared" ref="E17" ca="1" si="0">SUM(E14:E16)</f>
        <v>404700</v>
      </c>
      <c r="F17" s="243">
        <f ca="1">SUM(F15:F16)</f>
        <v>78468.730681439803</v>
      </c>
      <c r="G17" s="244">
        <f ca="1">SUM(G15:G16)</f>
        <v>12554.996909030369</v>
      </c>
    </row>
    <row r="20" spans="2:10" ht="15" x14ac:dyDescent="0.25">
      <c r="B20" s="94" t="s">
        <v>534</v>
      </c>
    </row>
    <row r="21" spans="2:10" ht="15" x14ac:dyDescent="0.25">
      <c r="B21" s="4" t="str">
        <f>Sprachen!C105</f>
        <v>Contacts:</v>
      </c>
    </row>
    <row r="23" spans="2:10" ht="45" customHeight="1" x14ac:dyDescent="0.2">
      <c r="B23" s="6" t="str">
        <f>Sprachen!C106</f>
        <v>Information concernant l'analyse fine, les subventions et ProEPA en général: info@proepa.ch</v>
      </c>
      <c r="C23" s="406" t="str">
        <f>Sprachen!C107</f>
        <v>info@proepa.ch</v>
      </c>
      <c r="F23" s="248"/>
    </row>
    <row r="25" spans="2:10" x14ac:dyDescent="0.2">
      <c r="C25" s="333"/>
    </row>
    <row r="26" spans="2:10" x14ac:dyDescent="0.2">
      <c r="C26" s="324"/>
      <c r="J26" s="325"/>
    </row>
    <row r="27" spans="2:10" x14ac:dyDescent="0.2">
      <c r="C27" s="324"/>
    </row>
    <row r="29" spans="2:10" ht="2.25" customHeight="1" x14ac:dyDescent="0.2"/>
    <row r="31" spans="2:10" ht="2.25" customHeight="1" x14ac:dyDescent="0.2"/>
  </sheetData>
  <sheetProtection password="9982" sheet="1" objects="1" scenarios="1" selectLockedCells="1"/>
  <mergeCells count="2">
    <mergeCell ref="F6:G6"/>
    <mergeCell ref="F2:J2"/>
  </mergeCells>
  <conditionalFormatting sqref="B9:G9 D8:E8">
    <cfRule type="expression" dxfId="4" priority="2">
      <formula>$C$9&gt;0</formula>
    </cfRule>
  </conditionalFormatting>
  <conditionalFormatting sqref="B13:E13">
    <cfRule type="expression" dxfId="3" priority="1">
      <formula>$C$13&gt;0</formula>
    </cfRule>
  </conditionalFormatting>
  <hyperlinks>
    <hyperlink ref="C23" r:id="rId1" display="mailto:info@proepa.ch?subject=Kontakt%20via%20ProEPA-Tool"/>
  </hyperlinks>
  <pageMargins left="0.51181102362204722" right="0.51181102362204722" top="0.74803149606299213" bottom="0.74803149606299213" header="0.31496062992125984" footer="0.31496062992125984"/>
  <pageSetup paperSize="9" orientation="landscape"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68"/>
  <sheetViews>
    <sheetView showGridLines="0" zoomScaleNormal="100" workbookViewId="0">
      <selection activeCell="A7" sqref="A7"/>
    </sheetView>
  </sheetViews>
  <sheetFormatPr baseColWidth="10" defaultRowHeight="14.25" x14ac:dyDescent="0.2"/>
  <cols>
    <col min="11" max="11" width="10.125" customWidth="1"/>
  </cols>
  <sheetData>
    <row r="1" spans="1:12" s="2" customFormat="1" ht="18" x14ac:dyDescent="0.25">
      <c r="A1" s="1" t="str">
        <f>Sprachen!C108</f>
        <v>Outil d'analyse grossière ProEPA - installations de pompage efficaces (énergie)</v>
      </c>
      <c r="L1" s="141" t="str">
        <f>'Etape 1'!I1</f>
        <v>Version 1.4.03, 2017-03-27</v>
      </c>
    </row>
    <row r="2" spans="1:12" s="2" customFormat="1" ht="15.75" x14ac:dyDescent="0.25">
      <c r="A2" s="3" t="str">
        <f>Sprachen!C109</f>
        <v>Notes personnelles</v>
      </c>
      <c r="E2" s="422" t="str">
        <f>IF(ISBLANK(Txt_Firma.Name.etc),"",Txt_Firma.Name.etc)</f>
        <v>Muster AG, Pumpenstrasse 1, 9999 Musterdorf</v>
      </c>
      <c r="F2" s="422"/>
      <c r="G2" s="422"/>
      <c r="H2" s="422"/>
      <c r="I2" s="422"/>
      <c r="J2" s="422"/>
      <c r="K2" s="422"/>
      <c r="L2" s="422"/>
    </row>
    <row r="3" spans="1:12" s="2" customFormat="1" ht="4.5" customHeight="1" x14ac:dyDescent="0.2">
      <c r="L3" s="16"/>
    </row>
    <row r="4" spans="1:12" s="2" customFormat="1" x14ac:dyDescent="0.2">
      <c r="A4" s="16" t="str">
        <f>Sprachen!C110</f>
        <v>La présente page 'notes personnelles' permet à l'utilisateur de consigner diverses informations utiles. Ces informations</v>
      </c>
      <c r="B4" s="16"/>
      <c r="C4" s="16"/>
      <c r="D4" s="16"/>
      <c r="L4" s="16"/>
    </row>
    <row r="5" spans="1:12" s="2" customFormat="1" x14ac:dyDescent="0.2">
      <c r="A5" s="16" t="str">
        <f>Sprachen!C111</f>
        <v>ne sont pas utilisées pour les calculs. Il s'agit simplement d'informations et commentaires que l'utilisateur aimerait conserver.</v>
      </c>
      <c r="B5" s="16"/>
      <c r="C5" s="16"/>
      <c r="D5" s="16"/>
      <c r="L5" s="16"/>
    </row>
    <row r="6" spans="1:12" s="62" customFormat="1" ht="4.5" customHeight="1" x14ac:dyDescent="0.2">
      <c r="A6" s="94"/>
      <c r="B6" s="94"/>
      <c r="C6" s="94"/>
      <c r="D6" s="94"/>
      <c r="E6" s="94"/>
      <c r="F6" s="94"/>
      <c r="G6" s="94"/>
      <c r="H6" s="94"/>
      <c r="I6" s="94"/>
      <c r="L6" s="225"/>
    </row>
    <row r="7" spans="1:12" x14ac:dyDescent="0.2">
      <c r="A7" s="229"/>
      <c r="B7" s="229"/>
      <c r="C7" s="229"/>
      <c r="D7" s="229"/>
      <c r="E7" s="229"/>
      <c r="F7" s="229"/>
      <c r="G7" s="229"/>
      <c r="H7" s="229"/>
      <c r="I7" s="229"/>
      <c r="J7" s="229"/>
      <c r="K7" s="229"/>
      <c r="L7" s="229"/>
    </row>
    <row r="8" spans="1:12" x14ac:dyDescent="0.2">
      <c r="A8" s="229"/>
      <c r="B8" s="229"/>
      <c r="C8" s="229"/>
      <c r="D8" s="229"/>
      <c r="E8" s="229"/>
      <c r="F8" s="229"/>
      <c r="G8" s="229"/>
      <c r="H8" s="229"/>
      <c r="I8" s="229"/>
      <c r="J8" s="229"/>
      <c r="K8" s="229"/>
      <c r="L8" s="229"/>
    </row>
    <row r="9" spans="1:12" x14ac:dyDescent="0.2">
      <c r="A9" s="229"/>
      <c r="B9" s="229"/>
      <c r="C9" s="229"/>
      <c r="D9" s="229"/>
      <c r="E9" s="229"/>
      <c r="F9" s="229"/>
      <c r="G9" s="229"/>
      <c r="H9" s="229"/>
      <c r="I9" s="229"/>
      <c r="J9" s="229"/>
      <c r="K9" s="229"/>
      <c r="L9" s="229"/>
    </row>
    <row r="10" spans="1:12" x14ac:dyDescent="0.2">
      <c r="A10" s="229"/>
      <c r="B10" s="229"/>
      <c r="C10" s="229"/>
      <c r="D10" s="229"/>
      <c r="E10" s="229"/>
      <c r="F10" s="229"/>
      <c r="G10" s="229"/>
      <c r="H10" s="229"/>
      <c r="I10" s="229"/>
      <c r="J10" s="229"/>
      <c r="K10" s="229"/>
      <c r="L10" s="229"/>
    </row>
    <row r="11" spans="1:12" x14ac:dyDescent="0.2">
      <c r="A11" s="229"/>
      <c r="B11" s="229"/>
      <c r="C11" s="229"/>
      <c r="D11" s="229"/>
      <c r="E11" s="229"/>
      <c r="F11" s="229"/>
      <c r="G11" s="229"/>
      <c r="H11" s="229"/>
      <c r="I11" s="229"/>
      <c r="J11" s="229"/>
      <c r="K11" s="229"/>
      <c r="L11" s="229"/>
    </row>
    <row r="12" spans="1:12" x14ac:dyDescent="0.2">
      <c r="A12" s="229"/>
      <c r="B12" s="229"/>
      <c r="C12" s="229"/>
      <c r="D12" s="229"/>
      <c r="E12" s="229"/>
      <c r="F12" s="229"/>
      <c r="G12" s="229"/>
      <c r="H12" s="229"/>
      <c r="I12" s="229"/>
      <c r="J12" s="229"/>
      <c r="K12" s="229"/>
      <c r="L12" s="229"/>
    </row>
    <row r="13" spans="1:12" x14ac:dyDescent="0.2">
      <c r="A13" s="229"/>
      <c r="B13" s="229"/>
      <c r="C13" s="229"/>
      <c r="D13" s="229"/>
      <c r="E13" s="229"/>
      <c r="F13" s="229"/>
      <c r="G13" s="229"/>
      <c r="H13" s="229"/>
      <c r="I13" s="229"/>
      <c r="J13" s="229"/>
      <c r="K13" s="229"/>
      <c r="L13" s="229"/>
    </row>
    <row r="14" spans="1:12" x14ac:dyDescent="0.2">
      <c r="A14" s="229"/>
      <c r="B14" s="229"/>
      <c r="C14" s="229"/>
      <c r="D14" s="229"/>
      <c r="E14" s="229"/>
      <c r="F14" s="229"/>
      <c r="G14" s="229"/>
      <c r="H14" s="229"/>
      <c r="I14" s="229"/>
      <c r="J14" s="229"/>
      <c r="K14" s="229"/>
      <c r="L14" s="229"/>
    </row>
    <row r="15" spans="1:12" x14ac:dyDescent="0.2">
      <c r="A15" s="229"/>
      <c r="B15" s="229"/>
      <c r="C15" s="229"/>
      <c r="D15" s="229"/>
      <c r="E15" s="229"/>
      <c r="F15" s="229"/>
      <c r="G15" s="229"/>
      <c r="H15" s="229"/>
      <c r="I15" s="229"/>
      <c r="J15" s="229"/>
      <c r="K15" s="229"/>
      <c r="L15" s="229"/>
    </row>
    <row r="16" spans="1:12" x14ac:dyDescent="0.2">
      <c r="A16" s="229"/>
      <c r="B16" s="229"/>
      <c r="C16" s="229"/>
      <c r="D16" s="229"/>
      <c r="E16" s="229"/>
      <c r="F16" s="229"/>
      <c r="G16" s="229"/>
      <c r="H16" s="229"/>
      <c r="I16" s="229"/>
      <c r="J16" s="229"/>
      <c r="K16" s="229"/>
      <c r="L16" s="229"/>
    </row>
    <row r="17" spans="1:12" x14ac:dyDescent="0.2">
      <c r="A17" s="229"/>
      <c r="B17" s="229"/>
      <c r="C17" s="229"/>
      <c r="D17" s="229"/>
      <c r="E17" s="229"/>
      <c r="F17" s="229"/>
      <c r="G17" s="229"/>
      <c r="H17" s="229"/>
      <c r="I17" s="229"/>
      <c r="J17" s="229"/>
      <c r="K17" s="229"/>
      <c r="L17" s="229"/>
    </row>
    <row r="18" spans="1:12" x14ac:dyDescent="0.2">
      <c r="A18" s="229"/>
      <c r="B18" s="229"/>
      <c r="C18" s="229"/>
      <c r="D18" s="229"/>
      <c r="E18" s="229"/>
      <c r="F18" s="229"/>
      <c r="G18" s="229"/>
      <c r="H18" s="229"/>
      <c r="I18" s="229"/>
      <c r="J18" s="229"/>
      <c r="K18" s="229"/>
      <c r="L18" s="229"/>
    </row>
    <row r="19" spans="1:12" x14ac:dyDescent="0.2">
      <c r="A19" s="229"/>
      <c r="B19" s="229"/>
      <c r="C19" s="229"/>
      <c r="D19" s="229"/>
      <c r="E19" s="229"/>
      <c r="F19" s="229"/>
      <c r="G19" s="229"/>
      <c r="H19" s="229"/>
      <c r="I19" s="229"/>
      <c r="J19" s="229"/>
      <c r="K19" s="229"/>
      <c r="L19" s="229"/>
    </row>
    <row r="20" spans="1:12" x14ac:dyDescent="0.2">
      <c r="A20" s="229"/>
      <c r="B20" s="229"/>
      <c r="C20" s="229"/>
      <c r="D20" s="229"/>
      <c r="E20" s="229"/>
      <c r="F20" s="229"/>
      <c r="G20" s="229"/>
      <c r="H20" s="229"/>
      <c r="I20" s="229"/>
      <c r="J20" s="229"/>
      <c r="K20" s="229"/>
      <c r="L20" s="229"/>
    </row>
    <row r="21" spans="1:12" x14ac:dyDescent="0.2">
      <c r="A21" s="229"/>
      <c r="B21" s="229"/>
      <c r="C21" s="229"/>
      <c r="D21" s="229"/>
      <c r="E21" s="229"/>
      <c r="F21" s="229"/>
      <c r="G21" s="229"/>
      <c r="H21" s="229"/>
      <c r="I21" s="229"/>
      <c r="J21" s="229"/>
      <c r="K21" s="229"/>
      <c r="L21" s="229"/>
    </row>
    <row r="22" spans="1:12" x14ac:dyDescent="0.2">
      <c r="A22" s="229"/>
      <c r="B22" s="229"/>
      <c r="C22" s="229"/>
      <c r="D22" s="229"/>
      <c r="E22" s="229"/>
      <c r="F22" s="229"/>
      <c r="G22" s="229"/>
      <c r="H22" s="229"/>
      <c r="I22" s="229"/>
      <c r="J22" s="229"/>
      <c r="K22" s="229"/>
      <c r="L22" s="229"/>
    </row>
    <row r="23" spans="1:12" x14ac:dyDescent="0.2">
      <c r="A23" s="229"/>
      <c r="B23" s="229"/>
      <c r="C23" s="229"/>
      <c r="D23" s="229"/>
      <c r="E23" s="229"/>
      <c r="F23" s="229"/>
      <c r="G23" s="229"/>
      <c r="H23" s="229"/>
      <c r="I23" s="229"/>
      <c r="J23" s="229"/>
      <c r="K23" s="229"/>
      <c r="L23" s="229"/>
    </row>
    <row r="24" spans="1:12" x14ac:dyDescent="0.2">
      <c r="A24" s="229"/>
      <c r="B24" s="229"/>
      <c r="C24" s="229"/>
      <c r="D24" s="229"/>
      <c r="E24" s="229"/>
      <c r="F24" s="229"/>
      <c r="G24" s="229"/>
      <c r="H24" s="229"/>
      <c r="I24" s="229"/>
      <c r="J24" s="229"/>
      <c r="K24" s="229"/>
      <c r="L24" s="229"/>
    </row>
    <row r="25" spans="1:12" x14ac:dyDescent="0.2">
      <c r="A25" s="229"/>
      <c r="B25" s="229"/>
      <c r="C25" s="229"/>
      <c r="D25" s="229"/>
      <c r="E25" s="229"/>
      <c r="F25" s="229"/>
      <c r="G25" s="229"/>
      <c r="H25" s="229"/>
      <c r="I25" s="229"/>
      <c r="J25" s="229"/>
      <c r="K25" s="229"/>
      <c r="L25" s="229"/>
    </row>
    <row r="26" spans="1:12" x14ac:dyDescent="0.2">
      <c r="A26" s="229"/>
      <c r="B26" s="229"/>
      <c r="C26" s="229"/>
      <c r="D26" s="229"/>
      <c r="E26" s="229"/>
      <c r="F26" s="229"/>
      <c r="G26" s="229"/>
      <c r="H26" s="229"/>
      <c r="I26" s="229"/>
      <c r="J26" s="229"/>
      <c r="K26" s="229"/>
      <c r="L26" s="229"/>
    </row>
    <row r="27" spans="1:12" x14ac:dyDescent="0.2">
      <c r="A27" s="229"/>
      <c r="B27" s="229"/>
      <c r="C27" s="229"/>
      <c r="D27" s="229"/>
      <c r="E27" s="229"/>
      <c r="F27" s="229"/>
      <c r="G27" s="229"/>
      <c r="H27" s="229"/>
      <c r="I27" s="229"/>
      <c r="J27" s="229"/>
      <c r="K27" s="229"/>
      <c r="L27" s="229"/>
    </row>
    <row r="28" spans="1:12" x14ac:dyDescent="0.2">
      <c r="A28" s="229"/>
      <c r="B28" s="229"/>
      <c r="C28" s="229"/>
      <c r="D28" s="229"/>
      <c r="E28" s="229"/>
      <c r="F28" s="229"/>
      <c r="G28" s="229"/>
      <c r="H28" s="229"/>
      <c r="I28" s="229"/>
      <c r="J28" s="229"/>
      <c r="K28" s="229"/>
      <c r="L28" s="229"/>
    </row>
    <row r="29" spans="1:12" x14ac:dyDescent="0.2">
      <c r="A29" s="229"/>
      <c r="B29" s="229"/>
      <c r="C29" s="229"/>
      <c r="D29" s="229"/>
      <c r="E29" s="229"/>
      <c r="F29" s="229"/>
      <c r="G29" s="229"/>
      <c r="H29" s="229"/>
      <c r="I29" s="229"/>
      <c r="J29" s="229"/>
      <c r="K29" s="229"/>
      <c r="L29" s="229"/>
    </row>
    <row r="30" spans="1:12" x14ac:dyDescent="0.2">
      <c r="A30" s="229"/>
      <c r="B30" s="229"/>
      <c r="C30" s="229"/>
      <c r="D30" s="229"/>
      <c r="E30" s="229"/>
      <c r="F30" s="229"/>
      <c r="G30" s="229"/>
      <c r="H30" s="229"/>
      <c r="I30" s="229"/>
      <c r="J30" s="229"/>
      <c r="K30" s="229"/>
      <c r="L30" s="229"/>
    </row>
    <row r="31" spans="1:12" x14ac:dyDescent="0.2">
      <c r="A31" s="229"/>
      <c r="B31" s="229"/>
      <c r="C31" s="229"/>
      <c r="D31" s="229"/>
      <c r="E31" s="229"/>
      <c r="F31" s="229"/>
      <c r="G31" s="229"/>
      <c r="H31" s="229"/>
      <c r="I31" s="229"/>
      <c r="J31" s="229"/>
      <c r="K31" s="229"/>
      <c r="L31" s="229"/>
    </row>
    <row r="32" spans="1:12" x14ac:dyDescent="0.2">
      <c r="A32" s="229"/>
      <c r="B32" s="229"/>
      <c r="C32" s="229"/>
      <c r="D32" s="229"/>
      <c r="E32" s="229"/>
      <c r="F32" s="229"/>
      <c r="G32" s="229"/>
      <c r="H32" s="229"/>
      <c r="I32" s="229"/>
      <c r="J32" s="229"/>
      <c r="K32" s="229"/>
      <c r="L32" s="229"/>
    </row>
    <row r="33" spans="1:12" x14ac:dyDescent="0.2">
      <c r="A33" s="229"/>
      <c r="B33" s="229"/>
      <c r="C33" s="229"/>
      <c r="D33" s="229"/>
      <c r="E33" s="229"/>
      <c r="F33" s="229"/>
      <c r="G33" s="229"/>
      <c r="H33" s="229"/>
      <c r="I33" s="229"/>
      <c r="J33" s="229"/>
      <c r="K33" s="229"/>
      <c r="L33" s="229"/>
    </row>
    <row r="34" spans="1:12" x14ac:dyDescent="0.2">
      <c r="A34" s="229"/>
      <c r="B34" s="229"/>
      <c r="C34" s="229"/>
      <c r="D34" s="229"/>
      <c r="E34" s="229"/>
      <c r="F34" s="229"/>
      <c r="G34" s="229"/>
      <c r="H34" s="229"/>
      <c r="I34" s="229"/>
      <c r="J34" s="229"/>
      <c r="K34" s="229"/>
      <c r="L34" s="229"/>
    </row>
    <row r="35" spans="1:12" x14ac:dyDescent="0.2">
      <c r="A35" s="229"/>
      <c r="B35" s="229"/>
      <c r="C35" s="229"/>
      <c r="D35" s="229"/>
      <c r="E35" s="229"/>
      <c r="F35" s="229"/>
      <c r="G35" s="229"/>
      <c r="H35" s="229"/>
      <c r="I35" s="229"/>
      <c r="J35" s="229"/>
      <c r="K35" s="229"/>
      <c r="L35" s="229"/>
    </row>
    <row r="36" spans="1:12" x14ac:dyDescent="0.2">
      <c r="A36" s="229"/>
      <c r="B36" s="229"/>
      <c r="C36" s="229"/>
      <c r="D36" s="229"/>
      <c r="E36" s="229"/>
      <c r="F36" s="229"/>
      <c r="G36" s="229"/>
      <c r="H36" s="229"/>
      <c r="I36" s="229"/>
      <c r="J36" s="229"/>
      <c r="K36" s="229"/>
      <c r="L36" s="229"/>
    </row>
    <row r="37" spans="1:12" x14ac:dyDescent="0.2">
      <c r="A37" s="229"/>
      <c r="B37" s="229"/>
      <c r="C37" s="229"/>
      <c r="D37" s="229"/>
      <c r="E37" s="229"/>
      <c r="F37" s="229"/>
      <c r="G37" s="229"/>
      <c r="H37" s="229"/>
      <c r="I37" s="229"/>
      <c r="J37" s="229"/>
      <c r="K37" s="229"/>
      <c r="L37" s="229"/>
    </row>
    <row r="38" spans="1:12" x14ac:dyDescent="0.2">
      <c r="A38" s="229"/>
      <c r="B38" s="229"/>
      <c r="C38" s="229"/>
      <c r="D38" s="229"/>
      <c r="E38" s="229"/>
      <c r="F38" s="229"/>
      <c r="G38" s="229"/>
      <c r="H38" s="229"/>
      <c r="I38" s="229"/>
      <c r="J38" s="229"/>
      <c r="K38" s="229"/>
      <c r="L38" s="229"/>
    </row>
    <row r="39" spans="1:12" x14ac:dyDescent="0.2">
      <c r="A39" s="229"/>
      <c r="B39" s="229"/>
      <c r="C39" s="229"/>
      <c r="D39" s="229"/>
      <c r="E39" s="229"/>
      <c r="F39" s="229"/>
      <c r="G39" s="229"/>
      <c r="H39" s="229"/>
      <c r="I39" s="229"/>
      <c r="J39" s="229"/>
      <c r="K39" s="229"/>
      <c r="L39" s="229"/>
    </row>
    <row r="40" spans="1:12" x14ac:dyDescent="0.2">
      <c r="A40" s="229"/>
      <c r="B40" s="229"/>
      <c r="C40" s="229"/>
      <c r="D40" s="229"/>
      <c r="E40" s="229"/>
      <c r="F40" s="229"/>
      <c r="G40" s="229"/>
      <c r="H40" s="229"/>
      <c r="I40" s="229"/>
      <c r="J40" s="229"/>
      <c r="K40" s="229"/>
      <c r="L40" s="229"/>
    </row>
    <row r="41" spans="1:12" x14ac:dyDescent="0.2">
      <c r="A41" s="229"/>
      <c r="B41" s="229"/>
      <c r="C41" s="229"/>
      <c r="D41" s="229"/>
      <c r="E41" s="229"/>
      <c r="F41" s="229"/>
      <c r="G41" s="229"/>
      <c r="H41" s="229"/>
      <c r="I41" s="229"/>
      <c r="J41" s="229"/>
      <c r="K41" s="229"/>
      <c r="L41" s="229"/>
    </row>
    <row r="42" spans="1:12" x14ac:dyDescent="0.2">
      <c r="A42" s="229"/>
      <c r="B42" s="229"/>
      <c r="C42" s="229"/>
      <c r="D42" s="229"/>
      <c r="E42" s="229"/>
      <c r="F42" s="229"/>
      <c r="G42" s="229"/>
      <c r="H42" s="229"/>
      <c r="I42" s="229"/>
      <c r="J42" s="229"/>
      <c r="K42" s="229"/>
      <c r="L42" s="229"/>
    </row>
    <row r="43" spans="1:12" x14ac:dyDescent="0.2">
      <c r="A43" s="229"/>
      <c r="B43" s="229"/>
      <c r="C43" s="229"/>
      <c r="D43" s="229"/>
      <c r="E43" s="229"/>
      <c r="F43" s="229"/>
      <c r="G43" s="229"/>
      <c r="H43" s="229"/>
      <c r="I43" s="229"/>
      <c r="J43" s="229"/>
      <c r="K43" s="229"/>
      <c r="L43" s="229"/>
    </row>
    <row r="44" spans="1:12" x14ac:dyDescent="0.2">
      <c r="A44" s="229"/>
      <c r="B44" s="229"/>
      <c r="C44" s="229"/>
      <c r="D44" s="229"/>
      <c r="E44" s="229"/>
      <c r="F44" s="229"/>
      <c r="G44" s="229"/>
      <c r="H44" s="229"/>
      <c r="I44" s="229"/>
      <c r="J44" s="229"/>
      <c r="K44" s="229"/>
      <c r="L44" s="229"/>
    </row>
    <row r="45" spans="1:12" x14ac:dyDescent="0.2">
      <c r="A45" s="229"/>
      <c r="B45" s="229"/>
      <c r="C45" s="229"/>
      <c r="D45" s="229"/>
      <c r="E45" s="229"/>
      <c r="F45" s="229"/>
      <c r="G45" s="229"/>
      <c r="H45" s="229"/>
      <c r="I45" s="229"/>
      <c r="J45" s="229"/>
      <c r="K45" s="229"/>
      <c r="L45" s="229"/>
    </row>
    <row r="46" spans="1:12" x14ac:dyDescent="0.2">
      <c r="A46" s="229"/>
      <c r="B46" s="229"/>
      <c r="C46" s="229"/>
      <c r="D46" s="229"/>
      <c r="E46" s="229"/>
      <c r="F46" s="229"/>
      <c r="G46" s="229"/>
      <c r="H46" s="229"/>
      <c r="I46" s="229"/>
      <c r="J46" s="229"/>
      <c r="K46" s="229"/>
      <c r="L46" s="229"/>
    </row>
    <row r="47" spans="1:12" x14ac:dyDescent="0.2">
      <c r="A47" s="229"/>
      <c r="B47" s="229"/>
      <c r="C47" s="229"/>
      <c r="D47" s="229"/>
      <c r="E47" s="229"/>
      <c r="F47" s="229"/>
      <c r="G47" s="229"/>
      <c r="H47" s="229"/>
      <c r="I47" s="229"/>
      <c r="J47" s="229"/>
      <c r="K47" s="229"/>
      <c r="L47" s="229"/>
    </row>
    <row r="48" spans="1:12" x14ac:dyDescent="0.2">
      <c r="A48" s="229"/>
      <c r="B48" s="229"/>
      <c r="C48" s="229"/>
      <c r="D48" s="229"/>
      <c r="E48" s="229"/>
      <c r="F48" s="229"/>
      <c r="G48" s="229"/>
      <c r="H48" s="229"/>
      <c r="I48" s="229"/>
      <c r="J48" s="229"/>
      <c r="K48" s="229"/>
      <c r="L48" s="229"/>
    </row>
    <row r="49" spans="1:12" x14ac:dyDescent="0.2">
      <c r="A49" s="229"/>
      <c r="B49" s="229"/>
      <c r="C49" s="229"/>
      <c r="D49" s="229"/>
      <c r="E49" s="229"/>
      <c r="F49" s="229"/>
      <c r="G49" s="229"/>
      <c r="H49" s="229"/>
      <c r="I49" s="229"/>
      <c r="J49" s="229"/>
      <c r="K49" s="229"/>
      <c r="L49" s="229"/>
    </row>
    <row r="50" spans="1:12" x14ac:dyDescent="0.2">
      <c r="A50" s="229"/>
      <c r="B50" s="229"/>
      <c r="C50" s="229"/>
      <c r="D50" s="229"/>
      <c r="E50" s="229"/>
      <c r="F50" s="229"/>
      <c r="G50" s="229"/>
      <c r="H50" s="229"/>
      <c r="I50" s="229"/>
      <c r="J50" s="229"/>
      <c r="K50" s="229"/>
      <c r="L50" s="229"/>
    </row>
    <row r="51" spans="1:12" x14ac:dyDescent="0.2">
      <c r="A51" s="229"/>
      <c r="B51" s="229"/>
      <c r="C51" s="229"/>
      <c r="D51" s="229"/>
      <c r="E51" s="229"/>
      <c r="F51" s="229"/>
      <c r="G51" s="229"/>
      <c r="H51" s="229"/>
      <c r="I51" s="229"/>
      <c r="J51" s="229"/>
      <c r="K51" s="229"/>
      <c r="L51" s="229"/>
    </row>
    <row r="52" spans="1:12" x14ac:dyDescent="0.2">
      <c r="A52" s="229"/>
      <c r="B52" s="229"/>
      <c r="C52" s="229"/>
      <c r="D52" s="229"/>
      <c r="E52" s="229"/>
      <c r="F52" s="229"/>
      <c r="G52" s="229"/>
      <c r="H52" s="229"/>
      <c r="I52" s="229"/>
      <c r="J52" s="229"/>
      <c r="K52" s="229"/>
      <c r="L52" s="229"/>
    </row>
    <row r="53" spans="1:12" x14ac:dyDescent="0.2">
      <c r="A53" s="229"/>
      <c r="B53" s="229"/>
      <c r="C53" s="229"/>
      <c r="D53" s="229"/>
      <c r="E53" s="229"/>
      <c r="F53" s="229"/>
      <c r="G53" s="229"/>
      <c r="H53" s="229"/>
      <c r="I53" s="229"/>
      <c r="J53" s="229"/>
      <c r="K53" s="229"/>
      <c r="L53" s="229"/>
    </row>
    <row r="54" spans="1:12" x14ac:dyDescent="0.2">
      <c r="A54" s="229"/>
      <c r="B54" s="229"/>
      <c r="C54" s="229"/>
      <c r="D54" s="229"/>
      <c r="E54" s="229"/>
      <c r="F54" s="229"/>
      <c r="G54" s="229"/>
      <c r="H54" s="229"/>
      <c r="I54" s="229"/>
      <c r="J54" s="229"/>
      <c r="K54" s="229"/>
      <c r="L54" s="229"/>
    </row>
    <row r="55" spans="1:12" x14ac:dyDescent="0.2">
      <c r="A55" s="229"/>
      <c r="B55" s="229"/>
      <c r="C55" s="229"/>
      <c r="D55" s="229"/>
      <c r="E55" s="229"/>
      <c r="F55" s="229"/>
      <c r="G55" s="229"/>
      <c r="H55" s="229"/>
      <c r="I55" s="229"/>
      <c r="J55" s="229"/>
      <c r="K55" s="229"/>
      <c r="L55" s="229"/>
    </row>
    <row r="56" spans="1:12" x14ac:dyDescent="0.2">
      <c r="A56" s="229"/>
      <c r="B56" s="229"/>
      <c r="C56" s="229"/>
      <c r="D56" s="229"/>
      <c r="E56" s="229"/>
      <c r="F56" s="229"/>
      <c r="G56" s="229"/>
      <c r="H56" s="229"/>
      <c r="I56" s="229"/>
      <c r="J56" s="229"/>
      <c r="K56" s="229"/>
      <c r="L56" s="229"/>
    </row>
    <row r="57" spans="1:12" x14ac:dyDescent="0.2">
      <c r="A57" s="229"/>
      <c r="B57" s="229"/>
      <c r="C57" s="229"/>
      <c r="D57" s="229"/>
      <c r="E57" s="229"/>
      <c r="F57" s="229"/>
      <c r="G57" s="229"/>
      <c r="H57" s="229"/>
      <c r="I57" s="229"/>
      <c r="J57" s="229"/>
      <c r="K57" s="229"/>
      <c r="L57" s="229"/>
    </row>
    <row r="58" spans="1:12" x14ac:dyDescent="0.2">
      <c r="A58" s="229"/>
      <c r="B58" s="229"/>
      <c r="C58" s="229"/>
      <c r="D58" s="229"/>
      <c r="E58" s="229"/>
      <c r="F58" s="229"/>
      <c r="G58" s="229"/>
      <c r="H58" s="229"/>
      <c r="I58" s="229"/>
      <c r="J58" s="229"/>
      <c r="K58" s="229"/>
      <c r="L58" s="229"/>
    </row>
    <row r="59" spans="1:12" x14ac:dyDescent="0.2">
      <c r="A59" s="229"/>
      <c r="B59" s="229"/>
      <c r="C59" s="229"/>
      <c r="D59" s="229"/>
      <c r="E59" s="229"/>
      <c r="F59" s="229"/>
      <c r="G59" s="229"/>
      <c r="H59" s="229"/>
      <c r="I59" s="229"/>
      <c r="J59" s="229"/>
      <c r="K59" s="229"/>
      <c r="L59" s="229"/>
    </row>
    <row r="60" spans="1:12" x14ac:dyDescent="0.2">
      <c r="A60" s="229"/>
      <c r="B60" s="229"/>
      <c r="C60" s="229"/>
      <c r="D60" s="229"/>
      <c r="E60" s="229"/>
      <c r="F60" s="229"/>
      <c r="G60" s="229"/>
      <c r="H60" s="229"/>
      <c r="I60" s="229"/>
      <c r="J60" s="229"/>
      <c r="K60" s="229"/>
      <c r="L60" s="229"/>
    </row>
    <row r="61" spans="1:12" x14ac:dyDescent="0.2">
      <c r="A61" s="229"/>
      <c r="B61" s="229"/>
      <c r="C61" s="229"/>
      <c r="D61" s="229"/>
      <c r="E61" s="229"/>
      <c r="F61" s="229"/>
      <c r="G61" s="229"/>
      <c r="H61" s="229"/>
      <c r="I61" s="229"/>
      <c r="J61" s="229"/>
      <c r="K61" s="229"/>
      <c r="L61" s="229"/>
    </row>
    <row r="62" spans="1:12" x14ac:dyDescent="0.2">
      <c r="A62" s="229"/>
      <c r="B62" s="229"/>
      <c r="C62" s="229"/>
      <c r="D62" s="229"/>
      <c r="E62" s="229"/>
      <c r="F62" s="229"/>
      <c r="G62" s="229"/>
      <c r="H62" s="229"/>
      <c r="I62" s="229"/>
      <c r="J62" s="229"/>
      <c r="K62" s="229"/>
      <c r="L62" s="229"/>
    </row>
    <row r="63" spans="1:12" x14ac:dyDescent="0.2">
      <c r="A63" s="229"/>
      <c r="B63" s="229"/>
      <c r="C63" s="229"/>
      <c r="D63" s="229"/>
      <c r="E63" s="229"/>
      <c r="F63" s="229"/>
      <c r="G63" s="229"/>
      <c r="H63" s="229"/>
      <c r="I63" s="229"/>
      <c r="J63" s="229"/>
      <c r="K63" s="229"/>
      <c r="L63" s="229"/>
    </row>
    <row r="64" spans="1:12" x14ac:dyDescent="0.2">
      <c r="A64" s="229"/>
      <c r="B64" s="229"/>
      <c r="C64" s="229"/>
      <c r="D64" s="229"/>
      <c r="E64" s="229"/>
      <c r="F64" s="229"/>
      <c r="G64" s="229"/>
      <c r="H64" s="229"/>
      <c r="I64" s="229"/>
      <c r="J64" s="229"/>
      <c r="K64" s="229"/>
      <c r="L64" s="229"/>
    </row>
    <row r="65" spans="1:12" x14ac:dyDescent="0.2">
      <c r="A65" s="229"/>
      <c r="B65" s="229"/>
      <c r="C65" s="229"/>
      <c r="D65" s="229"/>
      <c r="E65" s="229"/>
      <c r="F65" s="229"/>
      <c r="G65" s="229"/>
      <c r="H65" s="229"/>
      <c r="I65" s="229"/>
      <c r="J65" s="229"/>
      <c r="K65" s="229"/>
      <c r="L65" s="229"/>
    </row>
    <row r="66" spans="1:12" x14ac:dyDescent="0.2">
      <c r="A66" s="229"/>
      <c r="B66" s="229"/>
      <c r="C66" s="229"/>
      <c r="D66" s="229"/>
      <c r="E66" s="229"/>
      <c r="F66" s="229"/>
      <c r="G66" s="229"/>
      <c r="H66" s="229"/>
      <c r="I66" s="229"/>
      <c r="J66" s="229"/>
      <c r="K66" s="229"/>
      <c r="L66" s="229"/>
    </row>
    <row r="67" spans="1:12" x14ac:dyDescent="0.2">
      <c r="A67" s="229"/>
      <c r="B67" s="229"/>
      <c r="C67" s="229"/>
      <c r="D67" s="229"/>
      <c r="E67" s="229"/>
      <c r="F67" s="229"/>
      <c r="G67" s="229"/>
      <c r="H67" s="229"/>
      <c r="I67" s="229"/>
      <c r="J67" s="229"/>
      <c r="K67" s="229"/>
      <c r="L67" s="229"/>
    </row>
    <row r="68" spans="1:12" x14ac:dyDescent="0.2">
      <c r="A68" s="229"/>
      <c r="B68" s="229"/>
      <c r="C68" s="229"/>
      <c r="D68" s="229"/>
      <c r="E68" s="229"/>
      <c r="F68" s="229"/>
      <c r="G68" s="229"/>
      <c r="H68" s="229"/>
      <c r="I68" s="229"/>
      <c r="J68" s="229"/>
      <c r="K68" s="229"/>
      <c r="L68" s="229"/>
    </row>
  </sheetData>
  <sheetProtection password="9982" sheet="1" objects="1" scenarios="1" selectLockedCells="1"/>
  <mergeCells count="1">
    <mergeCell ref="E2:L2"/>
  </mergeCells>
  <pageMargins left="0.23622047244094491" right="0.23622047244094491" top="0.74803149606299213" bottom="0.74803149606299213" header="0.31496062992125984" footer="0.31496062992125984"/>
  <pageSetup paperSize="9"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tabColor rgb="FF92D050"/>
  </sheetPr>
  <dimension ref="A1:BH312"/>
  <sheetViews>
    <sheetView workbookViewId="0">
      <pane xSplit="4" ySplit="10" topLeftCell="U99" activePane="bottomRight" state="frozen"/>
      <selection activeCell="B104" sqref="B104"/>
      <selection pane="topRight" activeCell="B104" sqref="B104"/>
      <selection pane="bottomLeft" activeCell="B104" sqref="B104"/>
      <selection pane="bottomRight" activeCell="W6" sqref="W6"/>
    </sheetView>
  </sheetViews>
  <sheetFormatPr baseColWidth="10" defaultColWidth="10.75" defaultRowHeight="14.25" x14ac:dyDescent="0.2"/>
  <cols>
    <col min="1" max="2" width="4.75" style="2" customWidth="1"/>
    <col min="3" max="4" width="22.625" style="2" customWidth="1"/>
    <col min="5" max="5" width="14.625" style="2" customWidth="1"/>
    <col min="6" max="6" width="10.75" style="2"/>
    <col min="7" max="7" width="13.125" style="2" customWidth="1"/>
    <col min="8" max="27" width="10.75" style="2"/>
    <col min="28" max="28" width="17.875" style="2" bestFit="1" customWidth="1"/>
    <col min="29" max="36" width="12.125" style="2" customWidth="1"/>
    <col min="37" max="16384" width="10.75" style="2"/>
  </cols>
  <sheetData>
    <row r="1" spans="1:60" ht="18" x14ac:dyDescent="0.25">
      <c r="A1" s="1" t="s">
        <v>25</v>
      </c>
      <c r="B1" s="1"/>
    </row>
    <row r="2" spans="1:60" ht="15.75" x14ac:dyDescent="0.25">
      <c r="A2" s="3" t="s">
        <v>101</v>
      </c>
      <c r="B2" s="3"/>
      <c r="M2" s="8"/>
    </row>
    <row r="4" spans="1:60" x14ac:dyDescent="0.2">
      <c r="A4" s="2" t="s">
        <v>37</v>
      </c>
    </row>
    <row r="5" spans="1:60" x14ac:dyDescent="0.2">
      <c r="A5" s="55">
        <f>St.Wert_Preis.Strom</f>
        <v>16</v>
      </c>
      <c r="B5" s="2" t="s">
        <v>23</v>
      </c>
    </row>
    <row r="6" spans="1:60" ht="15" x14ac:dyDescent="0.25">
      <c r="A6" s="55">
        <f>St.Wert_Motor.Pole.Anzahl</f>
        <v>4</v>
      </c>
      <c r="B6" s="2" t="s">
        <v>110</v>
      </c>
      <c r="V6" s="221" t="s">
        <v>339</v>
      </c>
      <c r="W6" s="223">
        <f ca="1">VLOOKUP(Txt_Sortiervariante,Matrix_Sortiervariante.Spaltennummer,2,FALSE)</f>
        <v>18</v>
      </c>
    </row>
    <row r="7" spans="1:60" x14ac:dyDescent="0.2">
      <c r="A7" s="55">
        <f>St.Wert_Motor.IEID.neu</f>
        <v>6</v>
      </c>
      <c r="B7" s="21" t="str">
        <f>VLOOKUP(A7,Matrix_Motor.IEID.EffKl,2,0)</f>
        <v>IE4</v>
      </c>
      <c r="R7" s="439" t="s">
        <v>341</v>
      </c>
      <c r="S7" s="439"/>
      <c r="T7" s="439"/>
      <c r="U7" s="439"/>
      <c r="V7" s="439"/>
      <c r="W7" s="439"/>
    </row>
    <row r="8" spans="1:60" ht="15" x14ac:dyDescent="0.25">
      <c r="A8" s="55">
        <f>St.Wert_Wirtschaftlichkeit.EnergieAnteil.Ja.Nein</f>
        <v>1</v>
      </c>
      <c r="C8" s="206" t="s">
        <v>311</v>
      </c>
      <c r="R8" s="282" t="s">
        <v>460</v>
      </c>
      <c r="S8" s="213" t="s">
        <v>325</v>
      </c>
      <c r="T8" s="213" t="s">
        <v>326</v>
      </c>
      <c r="U8" s="214" t="s">
        <v>327</v>
      </c>
      <c r="V8" s="214" t="s">
        <v>328</v>
      </c>
      <c r="W8" s="213" t="s">
        <v>329</v>
      </c>
      <c r="AC8" s="441" t="s">
        <v>134</v>
      </c>
      <c r="AD8" s="442"/>
      <c r="AE8" s="442"/>
      <c r="AF8" s="443"/>
      <c r="AK8" s="444" t="s">
        <v>1</v>
      </c>
      <c r="AL8" s="445"/>
      <c r="AM8" s="445"/>
      <c r="AN8" s="445"/>
      <c r="AO8" s="445"/>
      <c r="AP8" s="445"/>
      <c r="AQ8" s="445"/>
      <c r="AR8" s="445"/>
      <c r="AS8" s="445"/>
      <c r="AT8" s="445"/>
      <c r="AU8" s="446"/>
      <c r="BH8" s="62">
        <f>BH9+'Berechnungen 2'!$E$12</f>
        <v>65</v>
      </c>
    </row>
    <row r="9" spans="1:60" ht="15" x14ac:dyDescent="0.25">
      <c r="A9" s="207">
        <v>1</v>
      </c>
      <c r="B9" s="207">
        <v>2</v>
      </c>
      <c r="C9" s="207">
        <v>3</v>
      </c>
      <c r="D9" s="207">
        <v>4</v>
      </c>
      <c r="E9" s="207">
        <v>5</v>
      </c>
      <c r="F9" s="207">
        <v>6</v>
      </c>
      <c r="G9" s="207">
        <v>7</v>
      </c>
      <c r="H9" s="207">
        <v>8</v>
      </c>
      <c r="I9" s="207">
        <v>9</v>
      </c>
      <c r="J9" s="207">
        <v>10</v>
      </c>
      <c r="K9" s="207">
        <v>11</v>
      </c>
      <c r="L9" s="207">
        <v>12</v>
      </c>
      <c r="M9" s="207">
        <v>13</v>
      </c>
      <c r="N9" s="207">
        <v>14</v>
      </c>
      <c r="O9" s="207">
        <v>15</v>
      </c>
      <c r="P9" s="207">
        <v>16</v>
      </c>
      <c r="Q9" s="207">
        <v>17</v>
      </c>
      <c r="R9" s="207">
        <v>18</v>
      </c>
      <c r="S9" s="207">
        <v>19</v>
      </c>
      <c r="T9" s="207">
        <v>20</v>
      </c>
      <c r="U9" s="207">
        <v>21</v>
      </c>
      <c r="V9" s="207">
        <v>22</v>
      </c>
      <c r="W9" s="207">
        <v>23</v>
      </c>
      <c r="X9" s="207">
        <v>24</v>
      </c>
      <c r="Y9" s="207">
        <v>25</v>
      </c>
      <c r="Z9" s="207">
        <v>26</v>
      </c>
      <c r="AA9" s="207">
        <v>27</v>
      </c>
      <c r="AB9" s="207">
        <v>28</v>
      </c>
      <c r="AC9" s="207">
        <v>29</v>
      </c>
      <c r="AD9" s="207">
        <v>30</v>
      </c>
      <c r="AE9" s="207">
        <v>31</v>
      </c>
      <c r="AF9" s="207">
        <v>32</v>
      </c>
      <c r="AG9" s="207">
        <v>33</v>
      </c>
      <c r="AH9" s="207">
        <v>34</v>
      </c>
      <c r="AI9" s="207">
        <v>35</v>
      </c>
      <c r="AJ9" s="207">
        <v>36</v>
      </c>
      <c r="AK9" s="207">
        <v>37</v>
      </c>
      <c r="AL9" s="207">
        <v>38</v>
      </c>
      <c r="AM9" s="207">
        <v>39</v>
      </c>
      <c r="AN9" s="207">
        <v>40</v>
      </c>
      <c r="AO9" s="207">
        <v>41</v>
      </c>
      <c r="AP9" s="207">
        <v>42</v>
      </c>
      <c r="AQ9" s="207">
        <v>43</v>
      </c>
      <c r="AR9" s="207">
        <v>44</v>
      </c>
      <c r="AS9" s="207">
        <v>45</v>
      </c>
      <c r="AT9" s="207">
        <v>46</v>
      </c>
      <c r="AU9" s="207">
        <v>47</v>
      </c>
      <c r="AV9" s="444" t="s">
        <v>2</v>
      </c>
      <c r="AW9" s="445"/>
      <c r="AX9" s="445"/>
      <c r="AY9" s="445"/>
      <c r="AZ9" s="445"/>
      <c r="BA9" s="446"/>
      <c r="BB9" s="441" t="s">
        <v>3</v>
      </c>
      <c r="BC9" s="442"/>
      <c r="BD9" s="442"/>
      <c r="BE9" s="442"/>
      <c r="BF9" s="442"/>
      <c r="BG9" s="443"/>
      <c r="BH9" s="62">
        <f>'Berechnungen 2'!BO11</f>
        <v>63</v>
      </c>
    </row>
    <row r="10" spans="1:60" ht="15" x14ac:dyDescent="0.25">
      <c r="A10" s="4" t="s">
        <v>45</v>
      </c>
      <c r="B10" s="4" t="s">
        <v>38</v>
      </c>
      <c r="C10" s="4" t="s">
        <v>39</v>
      </c>
      <c r="D10" s="4" t="s">
        <v>288</v>
      </c>
      <c r="E10" s="4" t="s">
        <v>40</v>
      </c>
      <c r="F10" s="4" t="s">
        <v>41</v>
      </c>
      <c r="G10" s="4" t="s">
        <v>225</v>
      </c>
      <c r="H10" s="4" t="s">
        <v>42</v>
      </c>
      <c r="I10" s="210" t="s">
        <v>317</v>
      </c>
      <c r="J10" s="4" t="s">
        <v>318</v>
      </c>
      <c r="K10" s="4" t="s">
        <v>224</v>
      </c>
      <c r="L10" s="4" t="s">
        <v>226</v>
      </c>
      <c r="M10" s="4" t="s">
        <v>227</v>
      </c>
      <c r="N10" s="4" t="s">
        <v>228</v>
      </c>
      <c r="O10" s="4" t="s">
        <v>138</v>
      </c>
      <c r="P10" s="4" t="s">
        <v>119</v>
      </c>
      <c r="Q10" s="4" t="s">
        <v>147</v>
      </c>
      <c r="R10" s="2" t="s">
        <v>312</v>
      </c>
      <c r="S10" s="2" t="s">
        <v>314</v>
      </c>
      <c r="T10" s="2" t="s">
        <v>315</v>
      </c>
      <c r="U10" s="2" t="s">
        <v>316</v>
      </c>
      <c r="V10" s="2" t="s">
        <v>323</v>
      </c>
      <c r="W10" s="4" t="s">
        <v>233</v>
      </c>
      <c r="X10" s="138" t="s">
        <v>240</v>
      </c>
      <c r="Y10" s="4" t="s">
        <v>72</v>
      </c>
      <c r="Z10" s="4" t="s">
        <v>68</v>
      </c>
      <c r="AA10" s="4" t="s">
        <v>102</v>
      </c>
      <c r="AB10" s="4" t="s">
        <v>103</v>
      </c>
      <c r="AC10" s="4" t="s">
        <v>133</v>
      </c>
      <c r="AD10" s="4" t="s">
        <v>57</v>
      </c>
      <c r="AE10" s="4" t="s">
        <v>119</v>
      </c>
      <c r="AF10" s="4" t="s">
        <v>148</v>
      </c>
      <c r="AG10" s="4" t="s">
        <v>138</v>
      </c>
      <c r="AH10" s="4" t="s">
        <v>146</v>
      </c>
      <c r="AI10" s="4" t="s">
        <v>147</v>
      </c>
      <c r="AJ10" s="4" t="s">
        <v>151</v>
      </c>
      <c r="AK10" s="4" t="s">
        <v>9</v>
      </c>
      <c r="AL10" s="4" t="s">
        <v>126</v>
      </c>
      <c r="AM10" s="4" t="s">
        <v>109</v>
      </c>
      <c r="AN10" s="4" t="s">
        <v>83</v>
      </c>
      <c r="AO10" s="4" t="s">
        <v>114</v>
      </c>
      <c r="AP10" s="4" t="s">
        <v>113</v>
      </c>
      <c r="AQ10" s="4" t="s">
        <v>115</v>
      </c>
      <c r="AR10" s="4" t="s">
        <v>116</v>
      </c>
      <c r="AS10" s="440" t="s">
        <v>0</v>
      </c>
      <c r="AT10" s="440"/>
      <c r="AU10" s="4" t="s">
        <v>107</v>
      </c>
      <c r="AV10" s="4" t="s">
        <v>9</v>
      </c>
      <c r="AW10" s="4" t="s">
        <v>126</v>
      </c>
      <c r="AX10" s="440" t="s">
        <v>0</v>
      </c>
      <c r="AY10" s="440"/>
      <c r="AZ10" s="440"/>
      <c r="BA10" s="4" t="s">
        <v>107</v>
      </c>
      <c r="BB10" s="4" t="s">
        <v>9</v>
      </c>
      <c r="BC10" s="4" t="s">
        <v>126</v>
      </c>
      <c r="BD10" s="440" t="s">
        <v>0</v>
      </c>
      <c r="BE10" s="440"/>
      <c r="BF10" s="440"/>
      <c r="BG10" s="4" t="s">
        <v>107</v>
      </c>
      <c r="BH10" s="4" t="s">
        <v>336</v>
      </c>
    </row>
    <row r="11" spans="1:60" x14ac:dyDescent="0.2">
      <c r="F11" s="2" t="s">
        <v>43</v>
      </c>
      <c r="G11" s="2" t="s">
        <v>44</v>
      </c>
      <c r="J11" s="2" t="s">
        <v>105</v>
      </c>
      <c r="R11" s="281" t="s">
        <v>459</v>
      </c>
      <c r="AK11" s="2" t="s">
        <v>104</v>
      </c>
      <c r="AL11" s="2" t="s">
        <v>104</v>
      </c>
      <c r="AM11" s="2" t="s">
        <v>43</v>
      </c>
      <c r="AS11" s="2" t="s">
        <v>105</v>
      </c>
      <c r="AT11" s="2" t="s">
        <v>106</v>
      </c>
      <c r="AU11" s="2" t="s">
        <v>108</v>
      </c>
      <c r="AV11" s="2" t="s">
        <v>104</v>
      </c>
      <c r="AW11" s="2" t="s">
        <v>104</v>
      </c>
      <c r="AX11" s="2" t="s">
        <v>125</v>
      </c>
      <c r="AY11" s="2" t="s">
        <v>105</v>
      </c>
      <c r="AZ11" s="2" t="s">
        <v>106</v>
      </c>
      <c r="BA11" s="2" t="s">
        <v>108</v>
      </c>
      <c r="BB11" s="2" t="s">
        <v>104</v>
      </c>
      <c r="BC11" s="2" t="s">
        <v>104</v>
      </c>
      <c r="BD11" s="2" t="s">
        <v>130</v>
      </c>
      <c r="BE11" s="2" t="s">
        <v>132</v>
      </c>
      <c r="BF11" s="2" t="s">
        <v>131</v>
      </c>
      <c r="BG11" s="2" t="s">
        <v>108</v>
      </c>
      <c r="BH11" s="2" t="s">
        <v>132</v>
      </c>
    </row>
    <row r="12" spans="1:60" x14ac:dyDescent="0.2">
      <c r="A12" s="61">
        <f ca="1">RANK(W12,W$12:W$311,0)+COUNTIF(W$12:W12,W12)-1</f>
        <v>300</v>
      </c>
      <c r="B12" s="55">
        <f>'Etape 1'!A8</f>
        <v>1</v>
      </c>
      <c r="C12" s="55" t="str">
        <f>'Etape 1'!B8</f>
        <v>Pumpe 1</v>
      </c>
      <c r="D12" s="55" t="str">
        <f>'Etape 1'!C8</f>
        <v>A1</v>
      </c>
      <c r="E12" s="55" t="str">
        <f>'Etape 1'!D8</f>
        <v>Werkstatt</v>
      </c>
      <c r="F12" s="55">
        <f>'Etape 1'!E8</f>
        <v>10</v>
      </c>
      <c r="G12" s="55">
        <f>'Etape 1'!F8</f>
        <v>2000</v>
      </c>
      <c r="H12" s="55">
        <f>'Etape 1'!G8</f>
        <v>0</v>
      </c>
      <c r="I12" s="209">
        <v>1</v>
      </c>
      <c r="J12" s="58">
        <f>F12*G12*I12</f>
        <v>20000</v>
      </c>
      <c r="K12" s="21">
        <f t="shared" ref="K12:K43" si="0">VLOOKUP(F12,Matrix_1.2.3.Test.Leistung.Punkte,2,TRUE)</f>
        <v>2</v>
      </c>
      <c r="L12" s="21">
        <f t="shared" ref="L12:L43" si="1">VLOOKUP(G12,Matrix_1.2.3.Test.Betriebszeit.Punkte,2,TRUE)</f>
        <v>2</v>
      </c>
      <c r="M12" s="21">
        <f t="shared" ref="M12:M43" ca="1" si="2">IF(H12=0,3,VLOOKUP(YEAR(TODAY())-H12,Matrix_1.2.3.Test.Alter.Punkte,2,TRUE))</f>
        <v>3</v>
      </c>
      <c r="N12" s="21">
        <f t="shared" ref="N12:N43" ca="1" si="3">M12+Wert_1.2.3.Test.Faktor.A*L12*K12</f>
        <v>11</v>
      </c>
      <c r="O12" s="21">
        <f t="shared" ref="O12:O43" ca="1" si="4">VLOOKUP(N12,Matrix_1.2.3.Test.Punkte.ID.Beurteilung,3,TRUE)</f>
        <v>2</v>
      </c>
      <c r="P12" s="262" t="str">
        <f ca="1">IF('Etape 1'!J8=999,"",IF('Etape 1'!J8=9999,txt_Schritt1.Angaben.fehlen,VLOOKUP(N12,Matrix_1.2.3.Test.Punkte.ID.Beurteilung,4,1)))</f>
        <v>analyser évtl. plus en détail</v>
      </c>
      <c r="Q12" s="21">
        <f ca="1">IF(AH12=1,1,O12)</f>
        <v>2</v>
      </c>
      <c r="R12" s="136">
        <f>$B12</f>
        <v>1</v>
      </c>
      <c r="S12" s="136">
        <f t="shared" ref="S12:S75" ca="1" si="5">IF(Q12=0,3,Q12)*St.Wert_1.2.3.Test.PkteMax-N12+$B12/(MAX($B$12:$B$311)+1)</f>
        <v>99.003322259136212</v>
      </c>
      <c r="T12" s="136">
        <f ca="1">IF(Q12=0,3,Q12)*MAX($F$12:$F$311)-F12+$B12/(MAX($B$12:$B$311)+1)</f>
        <v>490.00332225913621</v>
      </c>
      <c r="U12" s="136">
        <f ca="1">IF(Q12=0,3,Q12)*MAX($J$12:$J$311)-J12+$B12/(MAX($B$12:$B$311)+1)</f>
        <v>796000.00332225917</v>
      </c>
      <c r="V12" s="211">
        <f ca="1">IF(Q12=0,3,Q12)*MAX($BH$12:$BH$311)-BH12+$B12/(MAX($B$12:$B$311)+1)</f>
        <v>153737.46468513875</v>
      </c>
      <c r="W12" s="136">
        <f t="shared" ref="W12:W75" ca="1" si="6">INDIRECT(ADDRESS(ROW(W12),Wert_Sortiervariante.SpaltenNr))</f>
        <v>1</v>
      </c>
      <c r="X12" s="136">
        <f t="shared" ref="X12:X43" ca="1" si="7">IF(Q12=0,3,Q12)*St.Wert_1.2.3.Test.PkteMax-N12+IF(AC12&gt;St.Wert_Payback.Max,St.Wert_Payback.Max,AC12)/(St.Wert_Payback.Max+1)</f>
        <v>99.002856711404661</v>
      </c>
      <c r="Y12" s="21">
        <f t="shared" ref="Y12:Y43" si="8">VLOOKUP(H12,Matrix_Motor.Jahr.EffKl,2,1)</f>
        <v>1</v>
      </c>
      <c r="Z12" s="21" t="str">
        <f t="shared" ref="Z12:Z43" si="9">VLOOKUP(H12,Matrix_Motor.Jahr.EffKl,3,1)</f>
        <v>&lt;IE0</v>
      </c>
      <c r="AA12" s="21">
        <f t="shared" ref="AA12:AA43" si="10">VLOOKUP(H12,Matrix_Pumpe.Jahr.EffKl,2,1)</f>
        <v>1</v>
      </c>
      <c r="AB12" s="21" t="str">
        <f t="shared" ref="AB12:AB43" si="11">VLOOKUP(H12,Matrix_Pumpe.Jahr.EffKl,3,1)</f>
        <v>a - "&lt; 1990 (Eff3)"</v>
      </c>
      <c r="AC12" s="21">
        <f t="shared" ref="AC12:AC43" si="12">IF(ISNUMBER(MIN(AU12,BA12,BG12)),MIN(AU12,BA12,BG12),St.Wert_Platzhalter.Payback)</f>
        <v>2.8595681160637056</v>
      </c>
      <c r="AD12" s="21">
        <f t="shared" ref="AD12:AD43" si="13">IF(AC12=St.Wert_Platzhalter.Payback,"",VLOOKUP(AC12,Matrix_Wirtschaftlichkeit.Payback.ID.Txt,2,1))</f>
        <v>2</v>
      </c>
      <c r="AE12" s="21" t="str">
        <f t="shared" ref="AE12:AE43" si="14">IF(AC12=St.Wert_Platzhalter.Payback,"",VLOOKUP(AC12,Matrix_Wirtschaftlichkeit.Payback.ID.Txt,3,1))</f>
        <v>wirtschaftlich</v>
      </c>
      <c r="AF12" s="21" t="str">
        <f t="shared" ref="AF12:AF43" si="15">IF(AC12=St.Wert_Platzhalter.Payback,"",VLOOKUP(AC12,Matrix_Wirtschaftlichkeit.Payback.ID.Txt,4,1))</f>
        <v>Wirtschaftliche Massnahmen wahrscheinlich vorhanden.</v>
      </c>
      <c r="AG12" s="21">
        <f t="shared" ref="AG12:AG43" si="16">VLOOKUP(AC12,Matrix_Wirtschaftlichkeit.Payback.ID.Txt,6,1)</f>
        <v>1</v>
      </c>
      <c r="AH12" s="21">
        <f>IF('Etape 1'!H8=St.Wert_Hacken,1,0)</f>
        <v>0</v>
      </c>
      <c r="AI12" s="21">
        <f>IF(AH12=1,1,AG12)</f>
        <v>1</v>
      </c>
      <c r="AJ12" s="21">
        <f t="shared" ref="AJ12:AJ43" si="17">IF(AI12=1,IF(AC12&gt;St.Wert_Payback.Max,St.Wert_Payback.Max,AC12),AC12+St.Wert_Payback.Max)</f>
        <v>2.8595681160637056</v>
      </c>
      <c r="AK12" s="58">
        <f t="shared" ref="AK12:AK43" si="18">Preis_Motor.a*F12+Preis_Motor.b+Preis_Motor.Planung</f>
        <v>2600</v>
      </c>
      <c r="AL12" s="58">
        <f t="shared" ref="AL12:AL43" si="19">AK12*IF(Wert_Wirtschaftlichkeit.EnergieAnteil.Ja.Nein.Schritt1,VLOOKUP(AA12,Matrix_Anlage.AlterID.Einsparpotential.und.EnergieAnteil,6,0),1)</f>
        <v>1040</v>
      </c>
      <c r="AM12" s="21">
        <f t="shared" ref="AM12:AM43" si="20">IF(F12&lt;Wert_Motor.max.Leistung.fuer.Berechnung.Wirkungsgrad,F12,Wert_Motor.max.Leistung.fuer.Berechnung.Wirkungsgrad)</f>
        <v>10</v>
      </c>
      <c r="AN12" s="58">
        <f t="shared" ref="AN12:AN43" si="21">VLOOKUP(F12,Matrix_Motor.LeistungsKl.ID,2,1)</f>
        <v>3</v>
      </c>
      <c r="AO12" s="58" t="str">
        <f t="shared" ref="AO12:AO43" si="22">CONCATENATE(AN12,Y12,Wert_Motor.Pole.Anzahl.Schritt1)</f>
        <v>314</v>
      </c>
      <c r="AP12" s="58" t="str">
        <f t="shared" ref="AP12:AP43" si="23">CONCATENATE(AN12,Wert_Motor.IEID.neu.Schritt1,Wert_Motor.Pole.Anzahl.Schritt1)</f>
        <v>364</v>
      </c>
      <c r="AQ12" s="21">
        <f t="shared" ref="AQ12:AQ43" si="24">(VLOOKUP(AO12,Matrix_Motor.KombiKl.EffParameter,3,0)*(LOG(AM12))^3+VLOOKUP(AO12,Matrix_Motor.KombiKl.EffParameter,4,0)*(LOG(AM12))^2+VLOOKUP(AO12,Matrix_Motor.KombiKl.EffParameter,5,0)*(LOG(AM12))+VLOOKUP(AO12,Matrix_Motor.KombiKl.EffParameter,6,0))/100</f>
        <v>0.83310000000000006</v>
      </c>
      <c r="AR12" s="21">
        <f t="shared" ref="AR12:AR43" si="25">(VLOOKUP(AP12,Matrix_Motor.KombiKl.EffParameter,3,0)*(LOG(AM12))^3+VLOOKUP(AP12,Matrix_Motor.KombiKl.EffParameter,4,0)*(LOG(AM12))^2+VLOOKUP(AP12,Matrix_Motor.KombiKl.EffParameter,5,0)*(LOG(AM12))+VLOOKUP(AP12,Matrix_Motor.KombiKl.EffParameter,6,0))/100</f>
        <v>0.931585</v>
      </c>
      <c r="AS12" s="136">
        <f>J12*(1-AQ12/AR12)</f>
        <v>2114.3534943134546</v>
      </c>
      <c r="AT12" s="59">
        <f t="shared" ref="AT12:AT43" si="26">AS12*Preis_Strom.Schritt1/100</f>
        <v>338.29655909015275</v>
      </c>
      <c r="AU12" s="21">
        <f>AL12/AT12</f>
        <v>3.0742257704218923</v>
      </c>
      <c r="AV12" s="58">
        <f t="shared" ref="AV12:AV43" si="27">Preis_FU.a*F12+Preis_FU.b+Preis_FU.Planung</f>
        <v>3000</v>
      </c>
      <c r="AW12" s="58">
        <f t="shared" ref="AW12:AW43" si="28">AV12*IF(Wert_Wirtschaftlichkeit.EnergieAnteil.Ja.Nein.Schritt1,VLOOKUP(AA12,Matrix_Anlage.AlterID.Einsparpotential.und.EnergieAnteil,6,0),1)</f>
        <v>1200</v>
      </c>
      <c r="AX12" s="60">
        <f t="shared" ref="AX12:AX43" si="29">VLOOKUP(AA12,Matrix_Anlage.AlterID.Einsparpotential.und.EnergieAnteil,4,0)</f>
        <v>0.11</v>
      </c>
      <c r="AY12" s="212">
        <f>J12*AX12</f>
        <v>2200</v>
      </c>
      <c r="AZ12" s="59">
        <f t="shared" ref="AZ12:AZ43" si="30">AY12*Preis_Strom.Schritt1/100</f>
        <v>352</v>
      </c>
      <c r="BA12" s="21">
        <f>AW12/AZ12</f>
        <v>3.4090909090909092</v>
      </c>
      <c r="BB12" s="58">
        <f t="shared" ref="BB12:BB43" si="31">Preis_Redim.a*F12+Preis_Redim.b+Preis_Redim.Planung</f>
        <v>7400</v>
      </c>
      <c r="BC12" s="58">
        <f t="shared" ref="BC12:BC43" si="32">BB12*IF(Wert_Wirtschaftlichkeit.EnergieAnteil.Ja.Nein.Schritt1,VLOOKUP(AA12,Matrix_Anlage.AlterID.Einsparpotential.und.EnergieAnteil,6,0),1)</f>
        <v>2960</v>
      </c>
      <c r="BD12" s="60">
        <f t="shared" ref="BD12:BD43" si="33">VLOOKUP(AA12,Matrix_Anlage.AlterID.Einsparpotential.und.EnergieAnteil,5,0)</f>
        <v>0.15</v>
      </c>
      <c r="BE12" s="212">
        <f>J12*(1-AQ12/AR12*(1-AX12)*(1-BD12))</f>
        <v>6469.5084184481293</v>
      </c>
      <c r="BF12" s="59">
        <f t="shared" ref="BF12:BF43" si="34">BE12*Preis_Strom.Schritt1/100</f>
        <v>1035.1213469517006</v>
      </c>
      <c r="BG12" s="21">
        <f>BC12/BF12</f>
        <v>2.8595681160637056</v>
      </c>
      <c r="BH12" s="55">
        <f t="shared" ref="BH12:BH75" ca="1" si="35">IF(ISERROR(VLOOKUP(A12,Matrix_Berechnungen2.Rang1.Rang2.Pumpendaten.Endresultate,BH$8,FALSE)),0,VLOOKUP(A12,Matrix_Berechnungen2.Rang1.Rang2.Pumpendaten.Endresultate,BH$8,FALSE))</f>
        <v>3199.9999999999995</v>
      </c>
    </row>
    <row r="13" spans="1:60" x14ac:dyDescent="0.2">
      <c r="A13" s="61">
        <f ca="1">RANK(W13,W$12:W$311,0)+COUNTIF(W$12:W13,W13)-1</f>
        <v>299</v>
      </c>
      <c r="B13" s="55">
        <f>'Etape 1'!A9</f>
        <v>2</v>
      </c>
      <c r="C13" s="55" t="str">
        <f>'Etape 1'!B9</f>
        <v>Pumpe 2</v>
      </c>
      <c r="D13" s="55" t="str">
        <f>'Etape 1'!C9</f>
        <v>A2</v>
      </c>
      <c r="E13" s="55" t="str">
        <f>'Etape 1'!D9</f>
        <v>Heizzentrale</v>
      </c>
      <c r="F13" s="55">
        <f>'Etape 1'!E9</f>
        <v>136</v>
      </c>
      <c r="G13" s="55">
        <f>'Etape 1'!F9</f>
        <v>3000</v>
      </c>
      <c r="H13" s="55">
        <f>'Etape 1'!G9</f>
        <v>1900</v>
      </c>
      <c r="I13" s="209">
        <v>1</v>
      </c>
      <c r="J13" s="58">
        <f>F13*G13*I13</f>
        <v>408000</v>
      </c>
      <c r="K13" s="21">
        <f t="shared" si="0"/>
        <v>5</v>
      </c>
      <c r="L13" s="21">
        <f t="shared" si="1"/>
        <v>2</v>
      </c>
      <c r="M13" s="21">
        <f t="shared" ca="1" si="2"/>
        <v>5</v>
      </c>
      <c r="N13" s="21">
        <f t="shared" ca="1" si="3"/>
        <v>25</v>
      </c>
      <c r="O13" s="21">
        <f t="shared" ca="1" si="4"/>
        <v>1</v>
      </c>
      <c r="P13" s="262" t="str">
        <f ca="1">IF('Etape 1'!J9=999,"",IF('Etape 1'!J9=9999,txt_Schritt1.Angaben.fehlen,VLOOKUP(N13,Matrix_1.2.3.Test.Punkte.ID.Beurteilung,4,1)))</f>
        <v>analyser plus en détail</v>
      </c>
      <c r="Q13" s="21">
        <f t="shared" ref="Q13:Q14" ca="1" si="36">IF(AH13=1,1,O13)</f>
        <v>1</v>
      </c>
      <c r="R13" s="136">
        <f t="shared" ref="R13:R76" si="37">$B13</f>
        <v>2</v>
      </c>
      <c r="S13" s="136">
        <f t="shared" ca="1" si="5"/>
        <v>30.006644518272424</v>
      </c>
      <c r="T13" s="136">
        <f t="shared" ref="T13:T76" ca="1" si="38">IF(Q13=0,3,Q13)*MAX($F$12:$F$311)-F13+$B13/(MAX($B$12:$B$311)+1)</f>
        <v>114.00664451827242</v>
      </c>
      <c r="U13" s="136">
        <f t="shared" ref="U13:U76" ca="1" si="39">IF(Q13=0,3,Q13)*MAX($J$12:$J$311)-J13+$B13/(MAX($B$12:$B$311)+1)</f>
        <v>6.6445182724252493E-3</v>
      </c>
      <c r="V13" s="211">
        <f t="shared" ref="V13:V76" ca="1" si="40">IF(Q13=0,3,Q13)*MAX($BH$12:$BH$311)-BH13+$B13/(MAX($B$12:$B$311)+1)</f>
        <v>6.6445182724252493E-3</v>
      </c>
      <c r="W13" s="136">
        <f t="shared" ca="1" si="6"/>
        <v>2</v>
      </c>
      <c r="X13" s="136">
        <f t="shared" ca="1" si="7"/>
        <v>30.001218701085012</v>
      </c>
      <c r="Y13" s="21">
        <f t="shared" si="8"/>
        <v>1</v>
      </c>
      <c r="Z13" s="21" t="str">
        <f t="shared" si="9"/>
        <v>&lt;IE0</v>
      </c>
      <c r="AA13" s="21">
        <f t="shared" si="10"/>
        <v>1</v>
      </c>
      <c r="AB13" s="21" t="str">
        <f t="shared" si="11"/>
        <v>a - "&lt; 1990 (Eff3)"</v>
      </c>
      <c r="AC13" s="21">
        <f t="shared" si="12"/>
        <v>1.2199197860962567</v>
      </c>
      <c r="AD13" s="21">
        <f t="shared" si="13"/>
        <v>1</v>
      </c>
      <c r="AE13" s="21" t="str">
        <f t="shared" si="14"/>
        <v>sehr wirtschaftlich</v>
      </c>
      <c r="AF13" s="21" t="str">
        <f t="shared" si="15"/>
        <v>Sehr wirtschaftliche Massnahmen vorhanden.</v>
      </c>
      <c r="AG13" s="21">
        <f t="shared" si="16"/>
        <v>1</v>
      </c>
      <c r="AH13" s="21">
        <f>IF('Etape 1'!H9=St.Wert_Hacken,1,0)</f>
        <v>0</v>
      </c>
      <c r="AI13" s="21">
        <f t="shared" ref="AI13:AI76" si="41">IF(AH13=1,1,AG13)</f>
        <v>1</v>
      </c>
      <c r="AJ13" s="21">
        <f t="shared" si="17"/>
        <v>1.2199197860962567</v>
      </c>
      <c r="AK13" s="58">
        <f t="shared" si="18"/>
        <v>21500</v>
      </c>
      <c r="AL13" s="58">
        <f t="shared" si="19"/>
        <v>8600</v>
      </c>
      <c r="AM13" s="21">
        <f t="shared" si="20"/>
        <v>136</v>
      </c>
      <c r="AN13" s="58">
        <f t="shared" si="21"/>
        <v>3</v>
      </c>
      <c r="AO13" s="58" t="str">
        <f t="shared" si="22"/>
        <v>314</v>
      </c>
      <c r="AP13" s="58" t="str">
        <f t="shared" si="23"/>
        <v>364</v>
      </c>
      <c r="AQ13" s="21">
        <f t="shared" si="24"/>
        <v>0.91041618346109909</v>
      </c>
      <c r="AR13" s="21">
        <f t="shared" si="25"/>
        <v>0.9644813249894153</v>
      </c>
      <c r="AS13" s="136">
        <f t="shared" ref="AS13:AS76" si="42">J13*(1-AQ13/AR13)</f>
        <v>22870.922610964088</v>
      </c>
      <c r="AT13" s="59">
        <f t="shared" si="26"/>
        <v>3659.3476177542539</v>
      </c>
      <c r="AU13" s="21">
        <f t="shared" ref="AU13:AU76" si="43">AL13/AT13</f>
        <v>2.3501456812342498</v>
      </c>
      <c r="AV13" s="58">
        <f t="shared" si="27"/>
        <v>21900</v>
      </c>
      <c r="AW13" s="58">
        <f t="shared" si="28"/>
        <v>8760</v>
      </c>
      <c r="AX13" s="60">
        <f t="shared" si="29"/>
        <v>0.11</v>
      </c>
      <c r="AY13" s="212">
        <f t="shared" ref="AY13:AY76" si="44">J13*AX13</f>
        <v>44880</v>
      </c>
      <c r="AZ13" s="59">
        <f t="shared" si="30"/>
        <v>7180.8</v>
      </c>
      <c r="BA13" s="21">
        <f t="shared" ref="BA13:BA76" si="45">AW13/AZ13</f>
        <v>1.2199197860962567</v>
      </c>
      <c r="BB13" s="58">
        <f t="shared" si="31"/>
        <v>64100</v>
      </c>
      <c r="BC13" s="58">
        <f t="shared" si="32"/>
        <v>25640</v>
      </c>
      <c r="BD13" s="60">
        <f t="shared" si="33"/>
        <v>0.15</v>
      </c>
      <c r="BE13" s="212">
        <f t="shared" ref="BE13:BE76" si="46">J13*(1-AQ13/AR13*(1-AX13)*(1-BD13))</f>
        <v>116649.85295519432</v>
      </c>
      <c r="BF13" s="59">
        <f t="shared" si="34"/>
        <v>18663.976472831091</v>
      </c>
      <c r="BG13" s="21">
        <f t="shared" ref="BG13:BG76" si="47">BC13/BF13</f>
        <v>1.3737694128217433</v>
      </c>
      <c r="BH13" s="55">
        <f t="shared" ca="1" si="35"/>
        <v>78468.730681439803</v>
      </c>
    </row>
    <row r="14" spans="1:60" x14ac:dyDescent="0.2">
      <c r="A14" s="61">
        <f ca="1">RANK(W14,W$12:W$311,0)+COUNTIF(W$12:W14,W14)-1</f>
        <v>298</v>
      </c>
      <c r="B14" s="55">
        <f>'Etape 1'!A10</f>
        <v>3</v>
      </c>
      <c r="C14" s="55" t="str">
        <f>'Etape 1'!B10</f>
        <v>Pumpe 3</v>
      </c>
      <c r="D14" s="55" t="str">
        <f>'Etape 1'!C10</f>
        <v>A3</v>
      </c>
      <c r="E14" s="55">
        <f>'Etape 1'!D10</f>
        <v>0</v>
      </c>
      <c r="F14" s="55">
        <f>'Etape 1'!E10</f>
        <v>250</v>
      </c>
      <c r="G14" s="55">
        <f>'Etape 1'!F10</f>
        <v>100</v>
      </c>
      <c r="H14" s="55">
        <f>'Etape 1'!G10</f>
        <v>1980</v>
      </c>
      <c r="I14" s="209">
        <v>1</v>
      </c>
      <c r="J14" s="58">
        <f t="shared" ref="J14:J77" si="48">F14*G14*I14</f>
        <v>25000</v>
      </c>
      <c r="K14" s="21">
        <f t="shared" si="0"/>
        <v>5</v>
      </c>
      <c r="L14" s="21">
        <f t="shared" si="1"/>
        <v>0</v>
      </c>
      <c r="M14" s="21">
        <f t="shared" ca="1" si="2"/>
        <v>5</v>
      </c>
      <c r="N14" s="21">
        <f t="shared" ca="1" si="3"/>
        <v>5</v>
      </c>
      <c r="O14" s="21">
        <f t="shared" ca="1" si="4"/>
        <v>0</v>
      </c>
      <c r="P14" s="262" t="str">
        <f ca="1">IF('Etape 1'!J10=999,"",IF('Etape 1'!J10=9999,txt_Schritt1.Angaben.fehlen,VLOOKUP(N14,Matrix_1.2.3.Test.Punkte.ID.Beurteilung,4,1)))</f>
        <v>aucune mesure nécessaire</v>
      </c>
      <c r="Q14" s="21">
        <f t="shared" ca="1" si="36"/>
        <v>0</v>
      </c>
      <c r="R14" s="136">
        <f t="shared" si="37"/>
        <v>3</v>
      </c>
      <c r="S14" s="136">
        <f t="shared" ca="1" si="5"/>
        <v>160.00996677740864</v>
      </c>
      <c r="T14" s="136">
        <f t="shared" ca="1" si="38"/>
        <v>500.00996677740864</v>
      </c>
      <c r="U14" s="136">
        <f t="shared" ca="1" si="39"/>
        <v>1199000.0099667774</v>
      </c>
      <c r="V14" s="211">
        <f t="shared" ca="1" si="40"/>
        <v>230339.42249604376</v>
      </c>
      <c r="W14" s="136">
        <f t="shared" ca="1" si="6"/>
        <v>3</v>
      </c>
      <c r="X14" s="136">
        <f t="shared" ca="1" si="7"/>
        <v>160.03541912632821</v>
      </c>
      <c r="Y14" s="21">
        <f t="shared" si="8"/>
        <v>2</v>
      </c>
      <c r="Z14" s="21" t="str">
        <f t="shared" si="9"/>
        <v>IE0 (Eff3)</v>
      </c>
      <c r="AA14" s="21">
        <f t="shared" si="10"/>
        <v>1</v>
      </c>
      <c r="AB14" s="21" t="str">
        <f t="shared" si="11"/>
        <v>a - "&lt; 1990 (Eff3)"</v>
      </c>
      <c r="AC14" s="21">
        <f t="shared" si="12"/>
        <v>35.454545454545453</v>
      </c>
      <c r="AD14" s="21">
        <f t="shared" si="13"/>
        <v>5</v>
      </c>
      <c r="AE14" s="21" t="str">
        <f t="shared" si="14"/>
        <v>unwirtschaftlich</v>
      </c>
      <c r="AF14" s="21" t="str">
        <f t="shared" si="15"/>
        <v>Sehr wahrscheinlich keine wirtschaftliche Massnahmen vorhanden.</v>
      </c>
      <c r="AG14" s="21">
        <f t="shared" si="16"/>
        <v>0</v>
      </c>
      <c r="AH14" s="21">
        <f>IF('Etape 1'!H10=St.Wert_Hacken,1,0)</f>
        <v>0</v>
      </c>
      <c r="AI14" s="21">
        <f t="shared" si="41"/>
        <v>0</v>
      </c>
      <c r="AJ14" s="21">
        <f t="shared" si="17"/>
        <v>1035.4545454545455</v>
      </c>
      <c r="AK14" s="58">
        <f t="shared" si="18"/>
        <v>38600</v>
      </c>
      <c r="AL14" s="58">
        <f t="shared" si="19"/>
        <v>15440</v>
      </c>
      <c r="AM14" s="21">
        <f t="shared" si="20"/>
        <v>200</v>
      </c>
      <c r="AN14" s="58">
        <f t="shared" si="21"/>
        <v>3</v>
      </c>
      <c r="AO14" s="58" t="str">
        <f t="shared" si="22"/>
        <v>324</v>
      </c>
      <c r="AP14" s="58" t="str">
        <f t="shared" si="23"/>
        <v>364</v>
      </c>
      <c r="AQ14" s="21">
        <f t="shared" si="24"/>
        <v>0.92809140342000607</v>
      </c>
      <c r="AR14" s="21">
        <f t="shared" si="25"/>
        <v>0.96705404244119875</v>
      </c>
      <c r="AS14" s="136">
        <f t="shared" si="42"/>
        <v>1007.2508182385725</v>
      </c>
      <c r="AT14" s="59">
        <f t="shared" si="26"/>
        <v>161.1601309181716</v>
      </c>
      <c r="AU14" s="21">
        <f t="shared" si="43"/>
        <v>95.805332944533262</v>
      </c>
      <c r="AV14" s="58">
        <f t="shared" si="27"/>
        <v>39000</v>
      </c>
      <c r="AW14" s="58">
        <f t="shared" si="28"/>
        <v>15600</v>
      </c>
      <c r="AX14" s="60">
        <f t="shared" si="29"/>
        <v>0.11</v>
      </c>
      <c r="AY14" s="212">
        <f t="shared" si="44"/>
        <v>2750</v>
      </c>
      <c r="AZ14" s="59">
        <f t="shared" si="30"/>
        <v>440</v>
      </c>
      <c r="BA14" s="21">
        <f t="shared" si="45"/>
        <v>35.454545454545453</v>
      </c>
      <c r="BB14" s="58">
        <f t="shared" si="31"/>
        <v>115400</v>
      </c>
      <c r="BC14" s="58">
        <f t="shared" si="32"/>
        <v>46160</v>
      </c>
      <c r="BD14" s="60">
        <f t="shared" si="33"/>
        <v>0.15</v>
      </c>
      <c r="BE14" s="212">
        <f t="shared" si="46"/>
        <v>6849.4852439974802</v>
      </c>
      <c r="BF14" s="59">
        <f t="shared" si="34"/>
        <v>1095.9176390395969</v>
      </c>
      <c r="BG14" s="21">
        <f t="shared" si="47"/>
        <v>42.119953503487849</v>
      </c>
      <c r="BH14" s="55">
        <f t="shared" ca="1" si="35"/>
        <v>5066.7795150530674</v>
      </c>
    </row>
    <row r="15" spans="1:60" x14ac:dyDescent="0.2">
      <c r="A15" s="61">
        <f ca="1">RANK(W15,W$12:W$311,0)+COUNTIF(W$12:W15,W15)-1</f>
        <v>297</v>
      </c>
      <c r="B15" s="55">
        <f>'Etape 1'!A11</f>
        <v>4</v>
      </c>
      <c r="C15" s="55">
        <f>'Etape 1'!B11</f>
        <v>0</v>
      </c>
      <c r="D15" s="55">
        <f>'Etape 1'!C11</f>
        <v>0</v>
      </c>
      <c r="E15" s="55">
        <f>'Etape 1'!D11</f>
        <v>0</v>
      </c>
      <c r="F15" s="55">
        <f>'Etape 1'!E11</f>
        <v>0</v>
      </c>
      <c r="G15" s="55">
        <f>'Etape 1'!F11</f>
        <v>0</v>
      </c>
      <c r="H15" s="55">
        <f>'Etape 1'!G11</f>
        <v>0</v>
      </c>
      <c r="I15" s="209">
        <v>1</v>
      </c>
      <c r="J15" s="58">
        <f t="shared" si="48"/>
        <v>0</v>
      </c>
      <c r="K15" s="21">
        <f t="shared" si="0"/>
        <v>0</v>
      </c>
      <c r="L15" s="21">
        <f t="shared" si="1"/>
        <v>0</v>
      </c>
      <c r="M15" s="21">
        <f t="shared" ca="1" si="2"/>
        <v>3</v>
      </c>
      <c r="N15" s="21">
        <f t="shared" ca="1" si="3"/>
        <v>3</v>
      </c>
      <c r="O15" s="21">
        <f t="shared" ca="1" si="4"/>
        <v>0</v>
      </c>
      <c r="P15" s="262" t="str">
        <f>IF('Etape 1'!J11=999,"",IF('Etape 1'!J11=9999,txt_Schritt1.Angaben.fehlen,VLOOKUP(N15,Matrix_1.2.3.Test.Punkte.ID.Beurteilung,4,1)))</f>
        <v/>
      </c>
      <c r="Q15" s="21">
        <f t="shared" ref="Q15:Q78" ca="1" si="49">IF(AH15=1,1,O15)</f>
        <v>0</v>
      </c>
      <c r="R15" s="136">
        <f t="shared" si="37"/>
        <v>4</v>
      </c>
      <c r="S15" s="136">
        <f t="shared" ca="1" si="5"/>
        <v>162.01328903654485</v>
      </c>
      <c r="T15" s="136">
        <f t="shared" ca="1" si="38"/>
        <v>750.01328903654485</v>
      </c>
      <c r="U15" s="136">
        <f t="shared" ca="1" si="39"/>
        <v>1224000.0132890365</v>
      </c>
      <c r="V15" s="211">
        <f t="shared" ca="1" si="40"/>
        <v>235406.20533335596</v>
      </c>
      <c r="W15" s="136">
        <f t="shared" ca="1" si="6"/>
        <v>4</v>
      </c>
      <c r="X15" s="136">
        <f t="shared" ca="1" si="7"/>
        <v>162.999000999001</v>
      </c>
      <c r="Y15" s="21">
        <f t="shared" si="8"/>
        <v>1</v>
      </c>
      <c r="Z15" s="21" t="str">
        <f t="shared" si="9"/>
        <v>&lt;IE0</v>
      </c>
      <c r="AA15" s="21">
        <f t="shared" si="10"/>
        <v>1</v>
      </c>
      <c r="AB15" s="21" t="str">
        <f t="shared" si="11"/>
        <v>a - "&lt; 1990 (Eff3)"</v>
      </c>
      <c r="AC15" s="21">
        <f t="shared" si="12"/>
        <v>999999</v>
      </c>
      <c r="AD15" s="21" t="str">
        <f t="shared" si="13"/>
        <v/>
      </c>
      <c r="AE15" s="21" t="str">
        <f t="shared" si="14"/>
        <v/>
      </c>
      <c r="AF15" s="21" t="str">
        <f t="shared" si="15"/>
        <v/>
      </c>
      <c r="AG15" s="21">
        <f t="shared" si="16"/>
        <v>0</v>
      </c>
      <c r="AH15" s="21">
        <f>IF('Etape 1'!H11=St.Wert_Hacken,1,0)</f>
        <v>0</v>
      </c>
      <c r="AI15" s="21">
        <f t="shared" si="41"/>
        <v>0</v>
      </c>
      <c r="AJ15" s="21">
        <f t="shared" si="17"/>
        <v>1000999</v>
      </c>
      <c r="AK15" s="58">
        <f t="shared" si="18"/>
        <v>1100</v>
      </c>
      <c r="AL15" s="58">
        <f t="shared" si="19"/>
        <v>440</v>
      </c>
      <c r="AM15" s="21">
        <f t="shared" si="20"/>
        <v>0</v>
      </c>
      <c r="AN15" s="58">
        <f t="shared" si="21"/>
        <v>1</v>
      </c>
      <c r="AO15" s="58" t="str">
        <f t="shared" si="22"/>
        <v>114</v>
      </c>
      <c r="AP15" s="58" t="str">
        <f t="shared" si="23"/>
        <v>164</v>
      </c>
      <c r="AQ15" s="21" t="e">
        <f t="shared" si="24"/>
        <v>#NUM!</v>
      </c>
      <c r="AR15" s="21" t="e">
        <f t="shared" si="25"/>
        <v>#NUM!</v>
      </c>
      <c r="AS15" s="136" t="e">
        <f t="shared" si="42"/>
        <v>#NUM!</v>
      </c>
      <c r="AT15" s="59" t="e">
        <f t="shared" si="26"/>
        <v>#NUM!</v>
      </c>
      <c r="AU15" s="21" t="e">
        <f t="shared" si="43"/>
        <v>#NUM!</v>
      </c>
      <c r="AV15" s="58">
        <f t="shared" si="27"/>
        <v>1500</v>
      </c>
      <c r="AW15" s="58">
        <f t="shared" si="28"/>
        <v>600</v>
      </c>
      <c r="AX15" s="60">
        <f t="shared" si="29"/>
        <v>0.11</v>
      </c>
      <c r="AY15" s="212">
        <f t="shared" si="44"/>
        <v>0</v>
      </c>
      <c r="AZ15" s="59">
        <f t="shared" si="30"/>
        <v>0</v>
      </c>
      <c r="BA15" s="21" t="e">
        <f t="shared" si="45"/>
        <v>#DIV/0!</v>
      </c>
      <c r="BB15" s="58">
        <f t="shared" si="31"/>
        <v>2900</v>
      </c>
      <c r="BC15" s="58">
        <f t="shared" si="32"/>
        <v>1160</v>
      </c>
      <c r="BD15" s="60">
        <f t="shared" si="33"/>
        <v>0.15</v>
      </c>
      <c r="BE15" s="212" t="e">
        <f t="shared" si="46"/>
        <v>#NUM!</v>
      </c>
      <c r="BF15" s="59" t="e">
        <f t="shared" si="34"/>
        <v>#NUM!</v>
      </c>
      <c r="BG15" s="21" t="e">
        <f t="shared" si="47"/>
        <v>#NUM!</v>
      </c>
      <c r="BH15" s="55">
        <f t="shared" ca="1" si="35"/>
        <v>0</v>
      </c>
    </row>
    <row r="16" spans="1:60" x14ac:dyDescent="0.2">
      <c r="A16" s="61">
        <f ca="1">RANK(W16,W$12:W$311,0)+COUNTIF(W$12:W16,W16)-1</f>
        <v>296</v>
      </c>
      <c r="B16" s="55">
        <f>'Etape 1'!A12</f>
        <v>5</v>
      </c>
      <c r="C16" s="55">
        <f>'Etape 1'!B12</f>
        <v>0</v>
      </c>
      <c r="D16" s="55">
        <f>'Etape 1'!C12</f>
        <v>0</v>
      </c>
      <c r="E16" s="55">
        <f>'Etape 1'!D12</f>
        <v>0</v>
      </c>
      <c r="F16" s="55">
        <f>'Etape 1'!E12</f>
        <v>0</v>
      </c>
      <c r="G16" s="55">
        <f>'Etape 1'!F12</f>
        <v>0</v>
      </c>
      <c r="H16" s="55">
        <f>'Etape 1'!G12</f>
        <v>0</v>
      </c>
      <c r="I16" s="209">
        <v>1</v>
      </c>
      <c r="J16" s="58">
        <f t="shared" si="48"/>
        <v>0</v>
      </c>
      <c r="K16" s="21">
        <f t="shared" si="0"/>
        <v>0</v>
      </c>
      <c r="L16" s="21">
        <f t="shared" si="1"/>
        <v>0</v>
      </c>
      <c r="M16" s="21">
        <f t="shared" ca="1" si="2"/>
        <v>3</v>
      </c>
      <c r="N16" s="21">
        <f t="shared" ca="1" si="3"/>
        <v>3</v>
      </c>
      <c r="O16" s="21">
        <f t="shared" ca="1" si="4"/>
        <v>0</v>
      </c>
      <c r="P16" s="262" t="str">
        <f>IF('Etape 1'!J12=999,"",IF('Etape 1'!J12=9999,txt_Schritt1.Angaben.fehlen,VLOOKUP(N16,Matrix_1.2.3.Test.Punkte.ID.Beurteilung,4,1)))</f>
        <v/>
      </c>
      <c r="Q16" s="21">
        <f t="shared" ca="1" si="49"/>
        <v>0</v>
      </c>
      <c r="R16" s="136">
        <f t="shared" si="37"/>
        <v>5</v>
      </c>
      <c r="S16" s="136">
        <f t="shared" ca="1" si="5"/>
        <v>162.01661129568106</v>
      </c>
      <c r="T16" s="136">
        <f t="shared" ca="1" si="38"/>
        <v>750.01661129568106</v>
      </c>
      <c r="U16" s="136">
        <f t="shared" ca="1" si="39"/>
        <v>1224000.0166112958</v>
      </c>
      <c r="V16" s="211">
        <f t="shared" ca="1" si="40"/>
        <v>235406.2086556151</v>
      </c>
      <c r="W16" s="136">
        <f t="shared" ca="1" si="6"/>
        <v>5</v>
      </c>
      <c r="X16" s="136">
        <f t="shared" ca="1" si="7"/>
        <v>162.999000999001</v>
      </c>
      <c r="Y16" s="21">
        <f t="shared" si="8"/>
        <v>1</v>
      </c>
      <c r="Z16" s="21" t="str">
        <f t="shared" si="9"/>
        <v>&lt;IE0</v>
      </c>
      <c r="AA16" s="21">
        <f t="shared" si="10"/>
        <v>1</v>
      </c>
      <c r="AB16" s="21" t="str">
        <f t="shared" si="11"/>
        <v>a - "&lt; 1990 (Eff3)"</v>
      </c>
      <c r="AC16" s="21">
        <f t="shared" si="12"/>
        <v>999999</v>
      </c>
      <c r="AD16" s="21" t="str">
        <f t="shared" si="13"/>
        <v/>
      </c>
      <c r="AE16" s="21" t="str">
        <f t="shared" si="14"/>
        <v/>
      </c>
      <c r="AF16" s="21" t="str">
        <f t="shared" si="15"/>
        <v/>
      </c>
      <c r="AG16" s="21">
        <f t="shared" si="16"/>
        <v>0</v>
      </c>
      <c r="AH16" s="21">
        <f>IF('Etape 1'!H12=St.Wert_Hacken,1,0)</f>
        <v>0</v>
      </c>
      <c r="AI16" s="21">
        <f t="shared" si="41"/>
        <v>0</v>
      </c>
      <c r="AJ16" s="21">
        <f t="shared" si="17"/>
        <v>1000999</v>
      </c>
      <c r="AK16" s="58">
        <f t="shared" si="18"/>
        <v>1100</v>
      </c>
      <c r="AL16" s="58">
        <f t="shared" si="19"/>
        <v>440</v>
      </c>
      <c r="AM16" s="21">
        <f t="shared" si="20"/>
        <v>0</v>
      </c>
      <c r="AN16" s="58">
        <f t="shared" si="21"/>
        <v>1</v>
      </c>
      <c r="AO16" s="58" t="str">
        <f t="shared" si="22"/>
        <v>114</v>
      </c>
      <c r="AP16" s="58" t="str">
        <f t="shared" si="23"/>
        <v>164</v>
      </c>
      <c r="AQ16" s="21" t="e">
        <f t="shared" si="24"/>
        <v>#NUM!</v>
      </c>
      <c r="AR16" s="21" t="e">
        <f t="shared" si="25"/>
        <v>#NUM!</v>
      </c>
      <c r="AS16" s="136" t="e">
        <f t="shared" si="42"/>
        <v>#NUM!</v>
      </c>
      <c r="AT16" s="59" t="e">
        <f t="shared" si="26"/>
        <v>#NUM!</v>
      </c>
      <c r="AU16" s="21" t="e">
        <f t="shared" si="43"/>
        <v>#NUM!</v>
      </c>
      <c r="AV16" s="58">
        <f t="shared" si="27"/>
        <v>1500</v>
      </c>
      <c r="AW16" s="58">
        <f t="shared" si="28"/>
        <v>600</v>
      </c>
      <c r="AX16" s="60">
        <f t="shared" si="29"/>
        <v>0.11</v>
      </c>
      <c r="AY16" s="212">
        <f t="shared" si="44"/>
        <v>0</v>
      </c>
      <c r="AZ16" s="59">
        <f t="shared" si="30"/>
        <v>0</v>
      </c>
      <c r="BA16" s="21" t="e">
        <f t="shared" si="45"/>
        <v>#DIV/0!</v>
      </c>
      <c r="BB16" s="58">
        <f t="shared" si="31"/>
        <v>2900</v>
      </c>
      <c r="BC16" s="58">
        <f t="shared" si="32"/>
        <v>1160</v>
      </c>
      <c r="BD16" s="60">
        <f t="shared" si="33"/>
        <v>0.15</v>
      </c>
      <c r="BE16" s="212" t="e">
        <f t="shared" si="46"/>
        <v>#NUM!</v>
      </c>
      <c r="BF16" s="59" t="e">
        <f t="shared" si="34"/>
        <v>#NUM!</v>
      </c>
      <c r="BG16" s="21" t="e">
        <f t="shared" si="47"/>
        <v>#NUM!</v>
      </c>
      <c r="BH16" s="55">
        <f t="shared" ca="1" si="35"/>
        <v>0</v>
      </c>
    </row>
    <row r="17" spans="1:60" x14ac:dyDescent="0.2">
      <c r="A17" s="61">
        <f ca="1">RANK(W17,W$12:W$311,0)+COUNTIF(W$12:W17,W17)-1</f>
        <v>295</v>
      </c>
      <c r="B17" s="55">
        <f>'Etape 1'!A13</f>
        <v>6</v>
      </c>
      <c r="C17" s="55">
        <f>'Etape 1'!B13</f>
        <v>0</v>
      </c>
      <c r="D17" s="55">
        <f>'Etape 1'!C13</f>
        <v>0</v>
      </c>
      <c r="E17" s="55">
        <f>'Etape 1'!D13</f>
        <v>0</v>
      </c>
      <c r="F17" s="55">
        <f>'Etape 1'!E13</f>
        <v>0</v>
      </c>
      <c r="G17" s="55">
        <f>'Etape 1'!F13</f>
        <v>0</v>
      </c>
      <c r="H17" s="55">
        <f>'Etape 1'!G13</f>
        <v>0</v>
      </c>
      <c r="I17" s="209">
        <v>1</v>
      </c>
      <c r="J17" s="58">
        <f t="shared" si="48"/>
        <v>0</v>
      </c>
      <c r="K17" s="21">
        <f t="shared" si="0"/>
        <v>0</v>
      </c>
      <c r="L17" s="21">
        <f t="shared" si="1"/>
        <v>0</v>
      </c>
      <c r="M17" s="21">
        <f t="shared" ca="1" si="2"/>
        <v>3</v>
      </c>
      <c r="N17" s="21">
        <f t="shared" ca="1" si="3"/>
        <v>3</v>
      </c>
      <c r="O17" s="21">
        <f t="shared" ca="1" si="4"/>
        <v>0</v>
      </c>
      <c r="P17" s="262" t="str">
        <f>IF('Etape 1'!J13=999,"",IF('Etape 1'!J13=9999,txt_Schritt1.Angaben.fehlen,VLOOKUP(N17,Matrix_1.2.3.Test.Punkte.ID.Beurteilung,4,1)))</f>
        <v/>
      </c>
      <c r="Q17" s="21">
        <f t="shared" ca="1" si="49"/>
        <v>0</v>
      </c>
      <c r="R17" s="136">
        <f t="shared" si="37"/>
        <v>6</v>
      </c>
      <c r="S17" s="136">
        <f t="shared" ca="1" si="5"/>
        <v>162.01993355481727</v>
      </c>
      <c r="T17" s="136">
        <f t="shared" ca="1" si="38"/>
        <v>750.01993355481727</v>
      </c>
      <c r="U17" s="136">
        <f t="shared" ca="1" si="39"/>
        <v>1224000.0199335548</v>
      </c>
      <c r="V17" s="211">
        <f t="shared" ca="1" si="40"/>
        <v>235406.21197787422</v>
      </c>
      <c r="W17" s="136">
        <f t="shared" ca="1" si="6"/>
        <v>6</v>
      </c>
      <c r="X17" s="136">
        <f t="shared" ca="1" si="7"/>
        <v>162.999000999001</v>
      </c>
      <c r="Y17" s="21">
        <f t="shared" si="8"/>
        <v>1</v>
      </c>
      <c r="Z17" s="21" t="str">
        <f t="shared" si="9"/>
        <v>&lt;IE0</v>
      </c>
      <c r="AA17" s="21">
        <f t="shared" si="10"/>
        <v>1</v>
      </c>
      <c r="AB17" s="21" t="str">
        <f t="shared" si="11"/>
        <v>a - "&lt; 1990 (Eff3)"</v>
      </c>
      <c r="AC17" s="21">
        <f t="shared" si="12"/>
        <v>999999</v>
      </c>
      <c r="AD17" s="21" t="str">
        <f t="shared" si="13"/>
        <v/>
      </c>
      <c r="AE17" s="21" t="str">
        <f t="shared" si="14"/>
        <v/>
      </c>
      <c r="AF17" s="21" t="str">
        <f t="shared" si="15"/>
        <v/>
      </c>
      <c r="AG17" s="21">
        <f t="shared" si="16"/>
        <v>0</v>
      </c>
      <c r="AH17" s="21">
        <f>IF('Etape 1'!H13=St.Wert_Hacken,1,0)</f>
        <v>0</v>
      </c>
      <c r="AI17" s="21">
        <f t="shared" si="41"/>
        <v>0</v>
      </c>
      <c r="AJ17" s="21">
        <f t="shared" si="17"/>
        <v>1000999</v>
      </c>
      <c r="AK17" s="58">
        <f t="shared" si="18"/>
        <v>1100</v>
      </c>
      <c r="AL17" s="58">
        <f t="shared" si="19"/>
        <v>440</v>
      </c>
      <c r="AM17" s="21">
        <f t="shared" si="20"/>
        <v>0</v>
      </c>
      <c r="AN17" s="58">
        <f t="shared" si="21"/>
        <v>1</v>
      </c>
      <c r="AO17" s="58" t="str">
        <f t="shared" si="22"/>
        <v>114</v>
      </c>
      <c r="AP17" s="58" t="str">
        <f t="shared" si="23"/>
        <v>164</v>
      </c>
      <c r="AQ17" s="21" t="e">
        <f t="shared" si="24"/>
        <v>#NUM!</v>
      </c>
      <c r="AR17" s="21" t="e">
        <f t="shared" si="25"/>
        <v>#NUM!</v>
      </c>
      <c r="AS17" s="136" t="e">
        <f t="shared" si="42"/>
        <v>#NUM!</v>
      </c>
      <c r="AT17" s="59" t="e">
        <f t="shared" si="26"/>
        <v>#NUM!</v>
      </c>
      <c r="AU17" s="21" t="e">
        <f t="shared" si="43"/>
        <v>#NUM!</v>
      </c>
      <c r="AV17" s="58">
        <f t="shared" si="27"/>
        <v>1500</v>
      </c>
      <c r="AW17" s="58">
        <f t="shared" si="28"/>
        <v>600</v>
      </c>
      <c r="AX17" s="60">
        <f t="shared" si="29"/>
        <v>0.11</v>
      </c>
      <c r="AY17" s="212">
        <f t="shared" si="44"/>
        <v>0</v>
      </c>
      <c r="AZ17" s="59">
        <f t="shared" si="30"/>
        <v>0</v>
      </c>
      <c r="BA17" s="21" t="e">
        <f t="shared" si="45"/>
        <v>#DIV/0!</v>
      </c>
      <c r="BB17" s="58">
        <f t="shared" si="31"/>
        <v>2900</v>
      </c>
      <c r="BC17" s="58">
        <f t="shared" si="32"/>
        <v>1160</v>
      </c>
      <c r="BD17" s="60">
        <f t="shared" si="33"/>
        <v>0.15</v>
      </c>
      <c r="BE17" s="212" t="e">
        <f t="shared" si="46"/>
        <v>#NUM!</v>
      </c>
      <c r="BF17" s="59" t="e">
        <f t="shared" si="34"/>
        <v>#NUM!</v>
      </c>
      <c r="BG17" s="21" t="e">
        <f t="shared" si="47"/>
        <v>#NUM!</v>
      </c>
      <c r="BH17" s="55">
        <f t="shared" ca="1" si="35"/>
        <v>0</v>
      </c>
    </row>
    <row r="18" spans="1:60" x14ac:dyDescent="0.2">
      <c r="A18" s="61">
        <f ca="1">RANK(W18,W$12:W$311,0)+COUNTIF(W$12:W18,W18)-1</f>
        <v>294</v>
      </c>
      <c r="B18" s="55">
        <f>'Etape 1'!A14</f>
        <v>7</v>
      </c>
      <c r="C18" s="55">
        <f>'Etape 1'!B14</f>
        <v>0</v>
      </c>
      <c r="D18" s="55">
        <f>'Etape 1'!C14</f>
        <v>0</v>
      </c>
      <c r="E18" s="55">
        <f>'Etape 1'!D14</f>
        <v>0</v>
      </c>
      <c r="F18" s="55">
        <f>'Etape 1'!E14</f>
        <v>0</v>
      </c>
      <c r="G18" s="55">
        <f>'Etape 1'!F14</f>
        <v>0</v>
      </c>
      <c r="H18" s="55">
        <f>'Etape 1'!G14</f>
        <v>0</v>
      </c>
      <c r="I18" s="209">
        <v>1</v>
      </c>
      <c r="J18" s="58">
        <f t="shared" si="48"/>
        <v>0</v>
      </c>
      <c r="K18" s="21">
        <f t="shared" si="0"/>
        <v>0</v>
      </c>
      <c r="L18" s="21">
        <f t="shared" si="1"/>
        <v>0</v>
      </c>
      <c r="M18" s="21">
        <f t="shared" ca="1" si="2"/>
        <v>3</v>
      </c>
      <c r="N18" s="21">
        <f t="shared" ca="1" si="3"/>
        <v>3</v>
      </c>
      <c r="O18" s="21">
        <f t="shared" ca="1" si="4"/>
        <v>0</v>
      </c>
      <c r="P18" s="262" t="str">
        <f>IF('Etape 1'!J14=999,"",IF('Etape 1'!J14=9999,txt_Schritt1.Angaben.fehlen,VLOOKUP(N18,Matrix_1.2.3.Test.Punkte.ID.Beurteilung,4,1)))</f>
        <v/>
      </c>
      <c r="Q18" s="21">
        <f t="shared" ca="1" si="49"/>
        <v>0</v>
      </c>
      <c r="R18" s="136">
        <f t="shared" si="37"/>
        <v>7</v>
      </c>
      <c r="S18" s="136">
        <f t="shared" ca="1" si="5"/>
        <v>162.02325581395348</v>
      </c>
      <c r="T18" s="136">
        <f t="shared" ca="1" si="38"/>
        <v>750.02325581395348</v>
      </c>
      <c r="U18" s="136">
        <f t="shared" ca="1" si="39"/>
        <v>1224000.0232558139</v>
      </c>
      <c r="V18" s="211">
        <f t="shared" ca="1" si="40"/>
        <v>235406.21530013336</v>
      </c>
      <c r="W18" s="136">
        <f t="shared" ca="1" si="6"/>
        <v>7</v>
      </c>
      <c r="X18" s="136">
        <f t="shared" ca="1" si="7"/>
        <v>162.999000999001</v>
      </c>
      <c r="Y18" s="21">
        <f t="shared" si="8"/>
        <v>1</v>
      </c>
      <c r="Z18" s="21" t="str">
        <f t="shared" si="9"/>
        <v>&lt;IE0</v>
      </c>
      <c r="AA18" s="21">
        <f t="shared" si="10"/>
        <v>1</v>
      </c>
      <c r="AB18" s="21" t="str">
        <f t="shared" si="11"/>
        <v>a - "&lt; 1990 (Eff3)"</v>
      </c>
      <c r="AC18" s="21">
        <f t="shared" si="12"/>
        <v>999999</v>
      </c>
      <c r="AD18" s="21" t="str">
        <f t="shared" si="13"/>
        <v/>
      </c>
      <c r="AE18" s="21" t="str">
        <f t="shared" si="14"/>
        <v/>
      </c>
      <c r="AF18" s="21" t="str">
        <f t="shared" si="15"/>
        <v/>
      </c>
      <c r="AG18" s="21">
        <f t="shared" si="16"/>
        <v>0</v>
      </c>
      <c r="AH18" s="21">
        <f>IF('Etape 1'!H14=St.Wert_Hacken,1,0)</f>
        <v>0</v>
      </c>
      <c r="AI18" s="21">
        <f t="shared" si="41"/>
        <v>0</v>
      </c>
      <c r="AJ18" s="21">
        <f t="shared" si="17"/>
        <v>1000999</v>
      </c>
      <c r="AK18" s="58">
        <f t="shared" si="18"/>
        <v>1100</v>
      </c>
      <c r="AL18" s="58">
        <f t="shared" si="19"/>
        <v>440</v>
      </c>
      <c r="AM18" s="21">
        <f t="shared" si="20"/>
        <v>0</v>
      </c>
      <c r="AN18" s="58">
        <f t="shared" si="21"/>
        <v>1</v>
      </c>
      <c r="AO18" s="58" t="str">
        <f t="shared" si="22"/>
        <v>114</v>
      </c>
      <c r="AP18" s="58" t="str">
        <f t="shared" si="23"/>
        <v>164</v>
      </c>
      <c r="AQ18" s="21" t="e">
        <f t="shared" si="24"/>
        <v>#NUM!</v>
      </c>
      <c r="AR18" s="21" t="e">
        <f t="shared" si="25"/>
        <v>#NUM!</v>
      </c>
      <c r="AS18" s="136" t="e">
        <f t="shared" si="42"/>
        <v>#NUM!</v>
      </c>
      <c r="AT18" s="59" t="e">
        <f t="shared" si="26"/>
        <v>#NUM!</v>
      </c>
      <c r="AU18" s="21" t="e">
        <f t="shared" si="43"/>
        <v>#NUM!</v>
      </c>
      <c r="AV18" s="58">
        <f t="shared" si="27"/>
        <v>1500</v>
      </c>
      <c r="AW18" s="58">
        <f t="shared" si="28"/>
        <v>600</v>
      </c>
      <c r="AX18" s="60">
        <f t="shared" si="29"/>
        <v>0.11</v>
      </c>
      <c r="AY18" s="212">
        <f t="shared" si="44"/>
        <v>0</v>
      </c>
      <c r="AZ18" s="59">
        <f t="shared" si="30"/>
        <v>0</v>
      </c>
      <c r="BA18" s="21" t="e">
        <f t="shared" si="45"/>
        <v>#DIV/0!</v>
      </c>
      <c r="BB18" s="58">
        <f t="shared" si="31"/>
        <v>2900</v>
      </c>
      <c r="BC18" s="58">
        <f t="shared" si="32"/>
        <v>1160</v>
      </c>
      <c r="BD18" s="60">
        <f t="shared" si="33"/>
        <v>0.15</v>
      </c>
      <c r="BE18" s="212" t="e">
        <f t="shared" si="46"/>
        <v>#NUM!</v>
      </c>
      <c r="BF18" s="59" t="e">
        <f t="shared" si="34"/>
        <v>#NUM!</v>
      </c>
      <c r="BG18" s="21" t="e">
        <f t="shared" si="47"/>
        <v>#NUM!</v>
      </c>
      <c r="BH18" s="55">
        <f t="shared" ca="1" si="35"/>
        <v>0</v>
      </c>
    </row>
    <row r="19" spans="1:60" x14ac:dyDescent="0.2">
      <c r="A19" s="61">
        <f ca="1">RANK(W19,W$12:W$311,0)+COUNTIF(W$12:W19,W19)-1</f>
        <v>293</v>
      </c>
      <c r="B19" s="55">
        <f>'Etape 1'!A15</f>
        <v>8</v>
      </c>
      <c r="C19" s="55">
        <f>'Etape 1'!B15</f>
        <v>0</v>
      </c>
      <c r="D19" s="55">
        <f>'Etape 1'!C15</f>
        <v>0</v>
      </c>
      <c r="E19" s="55">
        <f>'Etape 1'!D15</f>
        <v>0</v>
      </c>
      <c r="F19" s="55">
        <f>'Etape 1'!E15</f>
        <v>0</v>
      </c>
      <c r="G19" s="55">
        <f>'Etape 1'!F15</f>
        <v>0</v>
      </c>
      <c r="H19" s="55">
        <f>'Etape 1'!G15</f>
        <v>0</v>
      </c>
      <c r="I19" s="209">
        <v>1</v>
      </c>
      <c r="J19" s="58">
        <f t="shared" si="48"/>
        <v>0</v>
      </c>
      <c r="K19" s="21">
        <f t="shared" si="0"/>
        <v>0</v>
      </c>
      <c r="L19" s="21">
        <f t="shared" si="1"/>
        <v>0</v>
      </c>
      <c r="M19" s="21">
        <f t="shared" ca="1" si="2"/>
        <v>3</v>
      </c>
      <c r="N19" s="21">
        <f t="shared" ca="1" si="3"/>
        <v>3</v>
      </c>
      <c r="O19" s="21">
        <f t="shared" ca="1" si="4"/>
        <v>0</v>
      </c>
      <c r="P19" s="262" t="str">
        <f>IF('Etape 1'!J15=999,"",IF('Etape 1'!J15=9999,txt_Schritt1.Angaben.fehlen,VLOOKUP(N19,Matrix_1.2.3.Test.Punkte.ID.Beurteilung,4,1)))</f>
        <v/>
      </c>
      <c r="Q19" s="21">
        <f t="shared" ca="1" si="49"/>
        <v>0</v>
      </c>
      <c r="R19" s="136">
        <f t="shared" si="37"/>
        <v>8</v>
      </c>
      <c r="S19" s="136">
        <f t="shared" ca="1" si="5"/>
        <v>162.02657807308969</v>
      </c>
      <c r="T19" s="136">
        <f t="shared" ca="1" si="38"/>
        <v>750.02657807308969</v>
      </c>
      <c r="U19" s="136">
        <f t="shared" ca="1" si="39"/>
        <v>1224000.0265780732</v>
      </c>
      <c r="V19" s="211">
        <f t="shared" ca="1" si="40"/>
        <v>235406.21862239251</v>
      </c>
      <c r="W19" s="136">
        <f t="shared" ca="1" si="6"/>
        <v>8</v>
      </c>
      <c r="X19" s="136">
        <f t="shared" ca="1" si="7"/>
        <v>162.999000999001</v>
      </c>
      <c r="Y19" s="21">
        <f t="shared" si="8"/>
        <v>1</v>
      </c>
      <c r="Z19" s="21" t="str">
        <f t="shared" si="9"/>
        <v>&lt;IE0</v>
      </c>
      <c r="AA19" s="21">
        <f t="shared" si="10"/>
        <v>1</v>
      </c>
      <c r="AB19" s="21" t="str">
        <f t="shared" si="11"/>
        <v>a - "&lt; 1990 (Eff3)"</v>
      </c>
      <c r="AC19" s="21">
        <f t="shared" si="12"/>
        <v>999999</v>
      </c>
      <c r="AD19" s="21" t="str">
        <f t="shared" si="13"/>
        <v/>
      </c>
      <c r="AE19" s="21" t="str">
        <f t="shared" si="14"/>
        <v/>
      </c>
      <c r="AF19" s="21" t="str">
        <f t="shared" si="15"/>
        <v/>
      </c>
      <c r="AG19" s="21">
        <f t="shared" si="16"/>
        <v>0</v>
      </c>
      <c r="AH19" s="21">
        <f>IF('Etape 1'!H15=St.Wert_Hacken,1,0)</f>
        <v>0</v>
      </c>
      <c r="AI19" s="21">
        <f t="shared" si="41"/>
        <v>0</v>
      </c>
      <c r="AJ19" s="21">
        <f t="shared" si="17"/>
        <v>1000999</v>
      </c>
      <c r="AK19" s="58">
        <f t="shared" si="18"/>
        <v>1100</v>
      </c>
      <c r="AL19" s="58">
        <f t="shared" si="19"/>
        <v>440</v>
      </c>
      <c r="AM19" s="21">
        <f t="shared" si="20"/>
        <v>0</v>
      </c>
      <c r="AN19" s="58">
        <f t="shared" si="21"/>
        <v>1</v>
      </c>
      <c r="AO19" s="58" t="str">
        <f t="shared" si="22"/>
        <v>114</v>
      </c>
      <c r="AP19" s="58" t="str">
        <f t="shared" si="23"/>
        <v>164</v>
      </c>
      <c r="AQ19" s="21" t="e">
        <f t="shared" si="24"/>
        <v>#NUM!</v>
      </c>
      <c r="AR19" s="21" t="e">
        <f t="shared" si="25"/>
        <v>#NUM!</v>
      </c>
      <c r="AS19" s="136" t="e">
        <f t="shared" si="42"/>
        <v>#NUM!</v>
      </c>
      <c r="AT19" s="59" t="e">
        <f t="shared" si="26"/>
        <v>#NUM!</v>
      </c>
      <c r="AU19" s="21" t="e">
        <f t="shared" si="43"/>
        <v>#NUM!</v>
      </c>
      <c r="AV19" s="58">
        <f t="shared" si="27"/>
        <v>1500</v>
      </c>
      <c r="AW19" s="58">
        <f t="shared" si="28"/>
        <v>600</v>
      </c>
      <c r="AX19" s="60">
        <f t="shared" si="29"/>
        <v>0.11</v>
      </c>
      <c r="AY19" s="212">
        <f t="shared" si="44"/>
        <v>0</v>
      </c>
      <c r="AZ19" s="59">
        <f t="shared" si="30"/>
        <v>0</v>
      </c>
      <c r="BA19" s="21" t="e">
        <f t="shared" si="45"/>
        <v>#DIV/0!</v>
      </c>
      <c r="BB19" s="58">
        <f t="shared" si="31"/>
        <v>2900</v>
      </c>
      <c r="BC19" s="58">
        <f t="shared" si="32"/>
        <v>1160</v>
      </c>
      <c r="BD19" s="60">
        <f t="shared" si="33"/>
        <v>0.15</v>
      </c>
      <c r="BE19" s="212" t="e">
        <f t="shared" si="46"/>
        <v>#NUM!</v>
      </c>
      <c r="BF19" s="59" t="e">
        <f t="shared" si="34"/>
        <v>#NUM!</v>
      </c>
      <c r="BG19" s="21" t="e">
        <f t="shared" si="47"/>
        <v>#NUM!</v>
      </c>
      <c r="BH19" s="55">
        <f t="shared" ca="1" si="35"/>
        <v>0</v>
      </c>
    </row>
    <row r="20" spans="1:60" x14ac:dyDescent="0.2">
      <c r="A20" s="61">
        <f ca="1">RANK(W20,W$12:W$311,0)+COUNTIF(W$12:W20,W20)-1</f>
        <v>292</v>
      </c>
      <c r="B20" s="55">
        <f>'Etape 1'!A16</f>
        <v>9</v>
      </c>
      <c r="C20" s="55">
        <f>'Etape 1'!B16</f>
        <v>0</v>
      </c>
      <c r="D20" s="55">
        <f>'Etape 1'!C16</f>
        <v>0</v>
      </c>
      <c r="E20" s="55">
        <f>'Etape 1'!D16</f>
        <v>0</v>
      </c>
      <c r="F20" s="55">
        <f>'Etape 1'!E16</f>
        <v>0</v>
      </c>
      <c r="G20" s="55">
        <f>'Etape 1'!F16</f>
        <v>0</v>
      </c>
      <c r="H20" s="55">
        <f>'Etape 1'!G16</f>
        <v>0</v>
      </c>
      <c r="I20" s="209">
        <v>1</v>
      </c>
      <c r="J20" s="58">
        <f t="shared" si="48"/>
        <v>0</v>
      </c>
      <c r="K20" s="21">
        <f t="shared" si="0"/>
        <v>0</v>
      </c>
      <c r="L20" s="21">
        <f t="shared" si="1"/>
        <v>0</v>
      </c>
      <c r="M20" s="21">
        <f t="shared" ca="1" si="2"/>
        <v>3</v>
      </c>
      <c r="N20" s="21">
        <f t="shared" ca="1" si="3"/>
        <v>3</v>
      </c>
      <c r="O20" s="21">
        <f t="shared" ca="1" si="4"/>
        <v>0</v>
      </c>
      <c r="P20" s="262" t="str">
        <f>IF('Etape 1'!J16=999,"",IF('Etape 1'!J16=9999,txt_Schritt1.Angaben.fehlen,VLOOKUP(N20,Matrix_1.2.3.Test.Punkte.ID.Beurteilung,4,1)))</f>
        <v/>
      </c>
      <c r="Q20" s="21">
        <f t="shared" ca="1" si="49"/>
        <v>0</v>
      </c>
      <c r="R20" s="136">
        <f t="shared" si="37"/>
        <v>9</v>
      </c>
      <c r="S20" s="136">
        <f t="shared" ca="1" si="5"/>
        <v>162.02990033222591</v>
      </c>
      <c r="T20" s="136">
        <f t="shared" ca="1" si="38"/>
        <v>750.02990033222591</v>
      </c>
      <c r="U20" s="136">
        <f t="shared" ca="1" si="39"/>
        <v>1224000.0299003322</v>
      </c>
      <c r="V20" s="211">
        <f t="shared" ca="1" si="40"/>
        <v>235406.22194465162</v>
      </c>
      <c r="W20" s="136">
        <f t="shared" ca="1" si="6"/>
        <v>9</v>
      </c>
      <c r="X20" s="136">
        <f t="shared" ca="1" si="7"/>
        <v>162.999000999001</v>
      </c>
      <c r="Y20" s="21">
        <f t="shared" si="8"/>
        <v>1</v>
      </c>
      <c r="Z20" s="21" t="str">
        <f t="shared" si="9"/>
        <v>&lt;IE0</v>
      </c>
      <c r="AA20" s="21">
        <f t="shared" si="10"/>
        <v>1</v>
      </c>
      <c r="AB20" s="21" t="str">
        <f t="shared" si="11"/>
        <v>a - "&lt; 1990 (Eff3)"</v>
      </c>
      <c r="AC20" s="21">
        <f t="shared" si="12"/>
        <v>999999</v>
      </c>
      <c r="AD20" s="21" t="str">
        <f t="shared" si="13"/>
        <v/>
      </c>
      <c r="AE20" s="21" t="str">
        <f t="shared" si="14"/>
        <v/>
      </c>
      <c r="AF20" s="21" t="str">
        <f t="shared" si="15"/>
        <v/>
      </c>
      <c r="AG20" s="21">
        <f t="shared" si="16"/>
        <v>0</v>
      </c>
      <c r="AH20" s="21">
        <f>IF('Etape 1'!H16=St.Wert_Hacken,1,0)</f>
        <v>0</v>
      </c>
      <c r="AI20" s="21">
        <f t="shared" si="41"/>
        <v>0</v>
      </c>
      <c r="AJ20" s="21">
        <f t="shared" si="17"/>
        <v>1000999</v>
      </c>
      <c r="AK20" s="58">
        <f t="shared" si="18"/>
        <v>1100</v>
      </c>
      <c r="AL20" s="58">
        <f t="shared" si="19"/>
        <v>440</v>
      </c>
      <c r="AM20" s="21">
        <f t="shared" si="20"/>
        <v>0</v>
      </c>
      <c r="AN20" s="58">
        <f t="shared" si="21"/>
        <v>1</v>
      </c>
      <c r="AO20" s="58" t="str">
        <f t="shared" si="22"/>
        <v>114</v>
      </c>
      <c r="AP20" s="58" t="str">
        <f t="shared" si="23"/>
        <v>164</v>
      </c>
      <c r="AQ20" s="21" t="e">
        <f t="shared" si="24"/>
        <v>#NUM!</v>
      </c>
      <c r="AR20" s="21" t="e">
        <f t="shared" si="25"/>
        <v>#NUM!</v>
      </c>
      <c r="AS20" s="136" t="e">
        <f t="shared" si="42"/>
        <v>#NUM!</v>
      </c>
      <c r="AT20" s="59" t="e">
        <f t="shared" si="26"/>
        <v>#NUM!</v>
      </c>
      <c r="AU20" s="21" t="e">
        <f t="shared" si="43"/>
        <v>#NUM!</v>
      </c>
      <c r="AV20" s="58">
        <f t="shared" si="27"/>
        <v>1500</v>
      </c>
      <c r="AW20" s="58">
        <f t="shared" si="28"/>
        <v>600</v>
      </c>
      <c r="AX20" s="60">
        <f t="shared" si="29"/>
        <v>0.11</v>
      </c>
      <c r="AY20" s="212">
        <f t="shared" si="44"/>
        <v>0</v>
      </c>
      <c r="AZ20" s="59">
        <f t="shared" si="30"/>
        <v>0</v>
      </c>
      <c r="BA20" s="21" t="e">
        <f t="shared" si="45"/>
        <v>#DIV/0!</v>
      </c>
      <c r="BB20" s="58">
        <f t="shared" si="31"/>
        <v>2900</v>
      </c>
      <c r="BC20" s="58">
        <f t="shared" si="32"/>
        <v>1160</v>
      </c>
      <c r="BD20" s="60">
        <f t="shared" si="33"/>
        <v>0.15</v>
      </c>
      <c r="BE20" s="212" t="e">
        <f t="shared" si="46"/>
        <v>#NUM!</v>
      </c>
      <c r="BF20" s="59" t="e">
        <f t="shared" si="34"/>
        <v>#NUM!</v>
      </c>
      <c r="BG20" s="21" t="e">
        <f t="shared" si="47"/>
        <v>#NUM!</v>
      </c>
      <c r="BH20" s="55">
        <f t="shared" ca="1" si="35"/>
        <v>0</v>
      </c>
    </row>
    <row r="21" spans="1:60" x14ac:dyDescent="0.2">
      <c r="A21" s="61">
        <f ca="1">RANK(W21,W$12:W$311,0)+COUNTIF(W$12:W21,W21)-1</f>
        <v>291</v>
      </c>
      <c r="B21" s="55">
        <f>'Etape 1'!A17</f>
        <v>10</v>
      </c>
      <c r="C21" s="55">
        <f>'Etape 1'!B17</f>
        <v>0</v>
      </c>
      <c r="D21" s="55">
        <f>'Etape 1'!C17</f>
        <v>0</v>
      </c>
      <c r="E21" s="55">
        <f>'Etape 1'!D17</f>
        <v>0</v>
      </c>
      <c r="F21" s="55">
        <f>'Etape 1'!E17</f>
        <v>0</v>
      </c>
      <c r="G21" s="55">
        <f>'Etape 1'!F17</f>
        <v>0</v>
      </c>
      <c r="H21" s="55">
        <f>'Etape 1'!G17</f>
        <v>0</v>
      </c>
      <c r="I21" s="209">
        <v>1</v>
      </c>
      <c r="J21" s="58">
        <f t="shared" si="48"/>
        <v>0</v>
      </c>
      <c r="K21" s="21">
        <f t="shared" si="0"/>
        <v>0</v>
      </c>
      <c r="L21" s="21">
        <f t="shared" si="1"/>
        <v>0</v>
      </c>
      <c r="M21" s="21">
        <f t="shared" ca="1" si="2"/>
        <v>3</v>
      </c>
      <c r="N21" s="21">
        <f t="shared" ca="1" si="3"/>
        <v>3</v>
      </c>
      <c r="O21" s="21">
        <f t="shared" ca="1" si="4"/>
        <v>0</v>
      </c>
      <c r="P21" s="262" t="str">
        <f>IF('Etape 1'!J17=999,"",IF('Etape 1'!J17=9999,txt_Schritt1.Angaben.fehlen,VLOOKUP(N21,Matrix_1.2.3.Test.Punkte.ID.Beurteilung,4,1)))</f>
        <v/>
      </c>
      <c r="Q21" s="21">
        <f t="shared" ca="1" si="49"/>
        <v>0</v>
      </c>
      <c r="R21" s="136">
        <f t="shared" si="37"/>
        <v>10</v>
      </c>
      <c r="S21" s="136">
        <f t="shared" ca="1" si="5"/>
        <v>162.03322259136212</v>
      </c>
      <c r="T21" s="136">
        <f t="shared" ca="1" si="38"/>
        <v>750.03322259136212</v>
      </c>
      <c r="U21" s="136">
        <f t="shared" ca="1" si="39"/>
        <v>1224000.0332225913</v>
      </c>
      <c r="V21" s="211">
        <f t="shared" ca="1" si="40"/>
        <v>235406.22526691077</v>
      </c>
      <c r="W21" s="136">
        <f t="shared" ca="1" si="6"/>
        <v>10</v>
      </c>
      <c r="X21" s="136">
        <f t="shared" ca="1" si="7"/>
        <v>162.999000999001</v>
      </c>
      <c r="Y21" s="21">
        <f t="shared" si="8"/>
        <v>1</v>
      </c>
      <c r="Z21" s="21" t="str">
        <f t="shared" si="9"/>
        <v>&lt;IE0</v>
      </c>
      <c r="AA21" s="21">
        <f t="shared" si="10"/>
        <v>1</v>
      </c>
      <c r="AB21" s="21" t="str">
        <f t="shared" si="11"/>
        <v>a - "&lt; 1990 (Eff3)"</v>
      </c>
      <c r="AC21" s="21">
        <f t="shared" si="12"/>
        <v>999999</v>
      </c>
      <c r="AD21" s="21" t="str">
        <f t="shared" si="13"/>
        <v/>
      </c>
      <c r="AE21" s="21" t="str">
        <f t="shared" si="14"/>
        <v/>
      </c>
      <c r="AF21" s="21" t="str">
        <f t="shared" si="15"/>
        <v/>
      </c>
      <c r="AG21" s="21">
        <f t="shared" si="16"/>
        <v>0</v>
      </c>
      <c r="AH21" s="21">
        <f>IF('Etape 1'!H17=St.Wert_Hacken,1,0)</f>
        <v>0</v>
      </c>
      <c r="AI21" s="21">
        <f t="shared" si="41"/>
        <v>0</v>
      </c>
      <c r="AJ21" s="21">
        <f t="shared" si="17"/>
        <v>1000999</v>
      </c>
      <c r="AK21" s="58">
        <f t="shared" si="18"/>
        <v>1100</v>
      </c>
      <c r="AL21" s="58">
        <f t="shared" si="19"/>
        <v>440</v>
      </c>
      <c r="AM21" s="21">
        <f t="shared" si="20"/>
        <v>0</v>
      </c>
      <c r="AN21" s="58">
        <f t="shared" si="21"/>
        <v>1</v>
      </c>
      <c r="AO21" s="58" t="str">
        <f t="shared" si="22"/>
        <v>114</v>
      </c>
      <c r="AP21" s="58" t="str">
        <f t="shared" si="23"/>
        <v>164</v>
      </c>
      <c r="AQ21" s="21" t="e">
        <f t="shared" si="24"/>
        <v>#NUM!</v>
      </c>
      <c r="AR21" s="21" t="e">
        <f t="shared" si="25"/>
        <v>#NUM!</v>
      </c>
      <c r="AS21" s="136" t="e">
        <f t="shared" si="42"/>
        <v>#NUM!</v>
      </c>
      <c r="AT21" s="59" t="e">
        <f t="shared" si="26"/>
        <v>#NUM!</v>
      </c>
      <c r="AU21" s="21" t="e">
        <f t="shared" si="43"/>
        <v>#NUM!</v>
      </c>
      <c r="AV21" s="58">
        <f t="shared" si="27"/>
        <v>1500</v>
      </c>
      <c r="AW21" s="58">
        <f t="shared" si="28"/>
        <v>600</v>
      </c>
      <c r="AX21" s="60">
        <f t="shared" si="29"/>
        <v>0.11</v>
      </c>
      <c r="AY21" s="212">
        <f t="shared" si="44"/>
        <v>0</v>
      </c>
      <c r="AZ21" s="59">
        <f t="shared" si="30"/>
        <v>0</v>
      </c>
      <c r="BA21" s="21" t="e">
        <f t="shared" si="45"/>
        <v>#DIV/0!</v>
      </c>
      <c r="BB21" s="58">
        <f t="shared" si="31"/>
        <v>2900</v>
      </c>
      <c r="BC21" s="58">
        <f t="shared" si="32"/>
        <v>1160</v>
      </c>
      <c r="BD21" s="60">
        <f t="shared" si="33"/>
        <v>0.15</v>
      </c>
      <c r="BE21" s="212" t="e">
        <f t="shared" si="46"/>
        <v>#NUM!</v>
      </c>
      <c r="BF21" s="59" t="e">
        <f t="shared" si="34"/>
        <v>#NUM!</v>
      </c>
      <c r="BG21" s="21" t="e">
        <f t="shared" si="47"/>
        <v>#NUM!</v>
      </c>
      <c r="BH21" s="55">
        <f t="shared" ca="1" si="35"/>
        <v>0</v>
      </c>
    </row>
    <row r="22" spans="1:60" x14ac:dyDescent="0.2">
      <c r="A22" s="61">
        <f ca="1">RANK(W22,W$12:W$311,0)+COUNTIF(W$12:W22,W22)-1</f>
        <v>290</v>
      </c>
      <c r="B22" s="55">
        <f>'Etape 1'!A18</f>
        <v>11</v>
      </c>
      <c r="C22" s="55">
        <f>'Etape 1'!B18</f>
        <v>0</v>
      </c>
      <c r="D22" s="55">
        <f>'Etape 1'!C18</f>
        <v>0</v>
      </c>
      <c r="E22" s="55">
        <f>'Etape 1'!D18</f>
        <v>0</v>
      </c>
      <c r="F22" s="55">
        <f>'Etape 1'!E18</f>
        <v>0</v>
      </c>
      <c r="G22" s="55">
        <f>'Etape 1'!F18</f>
        <v>0</v>
      </c>
      <c r="H22" s="55">
        <f>'Etape 1'!G18</f>
        <v>0</v>
      </c>
      <c r="I22" s="209">
        <v>1</v>
      </c>
      <c r="J22" s="58">
        <f t="shared" si="48"/>
        <v>0</v>
      </c>
      <c r="K22" s="21">
        <f t="shared" si="0"/>
        <v>0</v>
      </c>
      <c r="L22" s="21">
        <f t="shared" si="1"/>
        <v>0</v>
      </c>
      <c r="M22" s="21">
        <f t="shared" ca="1" si="2"/>
        <v>3</v>
      </c>
      <c r="N22" s="21">
        <f t="shared" ca="1" si="3"/>
        <v>3</v>
      </c>
      <c r="O22" s="21">
        <f t="shared" ca="1" si="4"/>
        <v>0</v>
      </c>
      <c r="P22" s="262" t="str">
        <f>IF('Etape 1'!J18=999,"",IF('Etape 1'!J18=9999,txt_Schritt1.Angaben.fehlen,VLOOKUP(N22,Matrix_1.2.3.Test.Punkte.ID.Beurteilung,4,1)))</f>
        <v/>
      </c>
      <c r="Q22" s="21">
        <f t="shared" ca="1" si="49"/>
        <v>0</v>
      </c>
      <c r="R22" s="136">
        <f t="shared" si="37"/>
        <v>11</v>
      </c>
      <c r="S22" s="136">
        <f t="shared" ca="1" si="5"/>
        <v>162.03654485049833</v>
      </c>
      <c r="T22" s="136">
        <f t="shared" ca="1" si="38"/>
        <v>750.03654485049833</v>
      </c>
      <c r="U22" s="136">
        <f t="shared" ca="1" si="39"/>
        <v>1224000.0365448506</v>
      </c>
      <c r="V22" s="211">
        <f t="shared" ca="1" si="40"/>
        <v>235406.22858916991</v>
      </c>
      <c r="W22" s="136">
        <f t="shared" ca="1" si="6"/>
        <v>11</v>
      </c>
      <c r="X22" s="136">
        <f t="shared" ca="1" si="7"/>
        <v>162.999000999001</v>
      </c>
      <c r="Y22" s="21">
        <f t="shared" si="8"/>
        <v>1</v>
      </c>
      <c r="Z22" s="21" t="str">
        <f t="shared" si="9"/>
        <v>&lt;IE0</v>
      </c>
      <c r="AA22" s="21">
        <f t="shared" si="10"/>
        <v>1</v>
      </c>
      <c r="AB22" s="21" t="str">
        <f t="shared" si="11"/>
        <v>a - "&lt; 1990 (Eff3)"</v>
      </c>
      <c r="AC22" s="21">
        <f t="shared" si="12"/>
        <v>999999</v>
      </c>
      <c r="AD22" s="21" t="str">
        <f t="shared" si="13"/>
        <v/>
      </c>
      <c r="AE22" s="21" t="str">
        <f t="shared" si="14"/>
        <v/>
      </c>
      <c r="AF22" s="21" t="str">
        <f t="shared" si="15"/>
        <v/>
      </c>
      <c r="AG22" s="21">
        <f t="shared" si="16"/>
        <v>0</v>
      </c>
      <c r="AH22" s="21">
        <f>IF('Etape 1'!H18=St.Wert_Hacken,1,0)</f>
        <v>0</v>
      </c>
      <c r="AI22" s="21">
        <f t="shared" si="41"/>
        <v>0</v>
      </c>
      <c r="AJ22" s="21">
        <f t="shared" si="17"/>
        <v>1000999</v>
      </c>
      <c r="AK22" s="58">
        <f t="shared" si="18"/>
        <v>1100</v>
      </c>
      <c r="AL22" s="58">
        <f t="shared" si="19"/>
        <v>440</v>
      </c>
      <c r="AM22" s="21">
        <f t="shared" si="20"/>
        <v>0</v>
      </c>
      <c r="AN22" s="58">
        <f t="shared" si="21"/>
        <v>1</v>
      </c>
      <c r="AO22" s="58" t="str">
        <f t="shared" si="22"/>
        <v>114</v>
      </c>
      <c r="AP22" s="58" t="str">
        <f t="shared" si="23"/>
        <v>164</v>
      </c>
      <c r="AQ22" s="21" t="e">
        <f t="shared" si="24"/>
        <v>#NUM!</v>
      </c>
      <c r="AR22" s="21" t="e">
        <f t="shared" si="25"/>
        <v>#NUM!</v>
      </c>
      <c r="AS22" s="136" t="e">
        <f t="shared" si="42"/>
        <v>#NUM!</v>
      </c>
      <c r="AT22" s="59" t="e">
        <f t="shared" si="26"/>
        <v>#NUM!</v>
      </c>
      <c r="AU22" s="21" t="e">
        <f t="shared" si="43"/>
        <v>#NUM!</v>
      </c>
      <c r="AV22" s="58">
        <f t="shared" si="27"/>
        <v>1500</v>
      </c>
      <c r="AW22" s="58">
        <f t="shared" si="28"/>
        <v>600</v>
      </c>
      <c r="AX22" s="60">
        <f t="shared" si="29"/>
        <v>0.11</v>
      </c>
      <c r="AY22" s="212">
        <f t="shared" si="44"/>
        <v>0</v>
      </c>
      <c r="AZ22" s="59">
        <f t="shared" si="30"/>
        <v>0</v>
      </c>
      <c r="BA22" s="21" t="e">
        <f t="shared" si="45"/>
        <v>#DIV/0!</v>
      </c>
      <c r="BB22" s="58">
        <f t="shared" si="31"/>
        <v>2900</v>
      </c>
      <c r="BC22" s="58">
        <f t="shared" si="32"/>
        <v>1160</v>
      </c>
      <c r="BD22" s="60">
        <f t="shared" si="33"/>
        <v>0.15</v>
      </c>
      <c r="BE22" s="212" t="e">
        <f t="shared" si="46"/>
        <v>#NUM!</v>
      </c>
      <c r="BF22" s="59" t="e">
        <f t="shared" si="34"/>
        <v>#NUM!</v>
      </c>
      <c r="BG22" s="21" t="e">
        <f t="shared" si="47"/>
        <v>#NUM!</v>
      </c>
      <c r="BH22" s="55">
        <f t="shared" ca="1" si="35"/>
        <v>0</v>
      </c>
    </row>
    <row r="23" spans="1:60" x14ac:dyDescent="0.2">
      <c r="A23" s="61">
        <f ca="1">RANK(W23,W$12:W$311,0)+COUNTIF(W$12:W23,W23)-1</f>
        <v>289</v>
      </c>
      <c r="B23" s="55">
        <f>'Etape 1'!A19</f>
        <v>12</v>
      </c>
      <c r="C23" s="55">
        <f>'Etape 1'!B19</f>
        <v>0</v>
      </c>
      <c r="D23" s="55">
        <f>'Etape 1'!C19</f>
        <v>0</v>
      </c>
      <c r="E23" s="55">
        <f>'Etape 1'!D19</f>
        <v>0</v>
      </c>
      <c r="F23" s="55">
        <f>'Etape 1'!E19</f>
        <v>0</v>
      </c>
      <c r="G23" s="55">
        <f>'Etape 1'!F19</f>
        <v>0</v>
      </c>
      <c r="H23" s="55">
        <f>'Etape 1'!G19</f>
        <v>0</v>
      </c>
      <c r="I23" s="209">
        <v>1</v>
      </c>
      <c r="J23" s="58">
        <f t="shared" si="48"/>
        <v>0</v>
      </c>
      <c r="K23" s="21">
        <f t="shared" si="0"/>
        <v>0</v>
      </c>
      <c r="L23" s="21">
        <f t="shared" si="1"/>
        <v>0</v>
      </c>
      <c r="M23" s="21">
        <f t="shared" ca="1" si="2"/>
        <v>3</v>
      </c>
      <c r="N23" s="21">
        <f t="shared" ca="1" si="3"/>
        <v>3</v>
      </c>
      <c r="O23" s="21">
        <f t="shared" ca="1" si="4"/>
        <v>0</v>
      </c>
      <c r="P23" s="262" t="str">
        <f>IF('Etape 1'!J19=999,"",IF('Etape 1'!J19=9999,txt_Schritt1.Angaben.fehlen,VLOOKUP(N23,Matrix_1.2.3.Test.Punkte.ID.Beurteilung,4,1)))</f>
        <v/>
      </c>
      <c r="Q23" s="21">
        <f t="shared" ca="1" si="49"/>
        <v>0</v>
      </c>
      <c r="R23" s="136">
        <f t="shared" si="37"/>
        <v>12</v>
      </c>
      <c r="S23" s="136">
        <f t="shared" ca="1" si="5"/>
        <v>162.03986710963454</v>
      </c>
      <c r="T23" s="136">
        <f t="shared" ca="1" si="38"/>
        <v>750.03986710963454</v>
      </c>
      <c r="U23" s="136">
        <f t="shared" ca="1" si="39"/>
        <v>1224000.0398671096</v>
      </c>
      <c r="V23" s="211">
        <f t="shared" ca="1" si="40"/>
        <v>235406.23191142906</v>
      </c>
      <c r="W23" s="136">
        <f t="shared" ca="1" si="6"/>
        <v>12</v>
      </c>
      <c r="X23" s="136">
        <f t="shared" ca="1" si="7"/>
        <v>162.999000999001</v>
      </c>
      <c r="Y23" s="21">
        <f t="shared" si="8"/>
        <v>1</v>
      </c>
      <c r="Z23" s="21" t="str">
        <f t="shared" si="9"/>
        <v>&lt;IE0</v>
      </c>
      <c r="AA23" s="21">
        <f t="shared" si="10"/>
        <v>1</v>
      </c>
      <c r="AB23" s="21" t="str">
        <f t="shared" si="11"/>
        <v>a - "&lt; 1990 (Eff3)"</v>
      </c>
      <c r="AC23" s="21">
        <f t="shared" si="12"/>
        <v>999999</v>
      </c>
      <c r="AD23" s="21" t="str">
        <f t="shared" si="13"/>
        <v/>
      </c>
      <c r="AE23" s="21" t="str">
        <f t="shared" si="14"/>
        <v/>
      </c>
      <c r="AF23" s="21" t="str">
        <f t="shared" si="15"/>
        <v/>
      </c>
      <c r="AG23" s="21">
        <f t="shared" si="16"/>
        <v>0</v>
      </c>
      <c r="AH23" s="21">
        <f>IF('Etape 1'!H19=St.Wert_Hacken,1,0)</f>
        <v>0</v>
      </c>
      <c r="AI23" s="21">
        <f t="shared" si="41"/>
        <v>0</v>
      </c>
      <c r="AJ23" s="21">
        <f t="shared" si="17"/>
        <v>1000999</v>
      </c>
      <c r="AK23" s="58">
        <f t="shared" si="18"/>
        <v>1100</v>
      </c>
      <c r="AL23" s="58">
        <f t="shared" si="19"/>
        <v>440</v>
      </c>
      <c r="AM23" s="21">
        <f t="shared" si="20"/>
        <v>0</v>
      </c>
      <c r="AN23" s="58">
        <f t="shared" si="21"/>
        <v>1</v>
      </c>
      <c r="AO23" s="58" t="str">
        <f t="shared" si="22"/>
        <v>114</v>
      </c>
      <c r="AP23" s="58" t="str">
        <f t="shared" si="23"/>
        <v>164</v>
      </c>
      <c r="AQ23" s="21" t="e">
        <f t="shared" si="24"/>
        <v>#NUM!</v>
      </c>
      <c r="AR23" s="21" t="e">
        <f t="shared" si="25"/>
        <v>#NUM!</v>
      </c>
      <c r="AS23" s="136" t="e">
        <f t="shared" si="42"/>
        <v>#NUM!</v>
      </c>
      <c r="AT23" s="59" t="e">
        <f t="shared" si="26"/>
        <v>#NUM!</v>
      </c>
      <c r="AU23" s="21" t="e">
        <f t="shared" si="43"/>
        <v>#NUM!</v>
      </c>
      <c r="AV23" s="58">
        <f t="shared" si="27"/>
        <v>1500</v>
      </c>
      <c r="AW23" s="58">
        <f t="shared" si="28"/>
        <v>600</v>
      </c>
      <c r="AX23" s="60">
        <f t="shared" si="29"/>
        <v>0.11</v>
      </c>
      <c r="AY23" s="212">
        <f t="shared" si="44"/>
        <v>0</v>
      </c>
      <c r="AZ23" s="59">
        <f t="shared" si="30"/>
        <v>0</v>
      </c>
      <c r="BA23" s="21" t="e">
        <f t="shared" si="45"/>
        <v>#DIV/0!</v>
      </c>
      <c r="BB23" s="58">
        <f t="shared" si="31"/>
        <v>2900</v>
      </c>
      <c r="BC23" s="58">
        <f t="shared" si="32"/>
        <v>1160</v>
      </c>
      <c r="BD23" s="60">
        <f t="shared" si="33"/>
        <v>0.15</v>
      </c>
      <c r="BE23" s="212" t="e">
        <f t="shared" si="46"/>
        <v>#NUM!</v>
      </c>
      <c r="BF23" s="59" t="e">
        <f t="shared" si="34"/>
        <v>#NUM!</v>
      </c>
      <c r="BG23" s="21" t="e">
        <f t="shared" si="47"/>
        <v>#NUM!</v>
      </c>
      <c r="BH23" s="55">
        <f t="shared" ca="1" si="35"/>
        <v>0</v>
      </c>
    </row>
    <row r="24" spans="1:60" x14ac:dyDescent="0.2">
      <c r="A24" s="61">
        <f ca="1">RANK(W24,W$12:W$311,0)+COUNTIF(W$12:W24,W24)-1</f>
        <v>288</v>
      </c>
      <c r="B24" s="55">
        <f>'Etape 1'!A20</f>
        <v>13</v>
      </c>
      <c r="C24" s="55">
        <f>'Etape 1'!B20</f>
        <v>0</v>
      </c>
      <c r="D24" s="55">
        <f>'Etape 1'!C20</f>
        <v>0</v>
      </c>
      <c r="E24" s="55">
        <f>'Etape 1'!D20</f>
        <v>0</v>
      </c>
      <c r="F24" s="55">
        <f>'Etape 1'!E20</f>
        <v>0</v>
      </c>
      <c r="G24" s="55">
        <f>'Etape 1'!F20</f>
        <v>0</v>
      </c>
      <c r="H24" s="55">
        <f>'Etape 1'!G20</f>
        <v>0</v>
      </c>
      <c r="I24" s="209">
        <v>1</v>
      </c>
      <c r="J24" s="58">
        <f t="shared" si="48"/>
        <v>0</v>
      </c>
      <c r="K24" s="21">
        <f t="shared" si="0"/>
        <v>0</v>
      </c>
      <c r="L24" s="21">
        <f t="shared" si="1"/>
        <v>0</v>
      </c>
      <c r="M24" s="21">
        <f t="shared" ca="1" si="2"/>
        <v>3</v>
      </c>
      <c r="N24" s="21">
        <f t="shared" ca="1" si="3"/>
        <v>3</v>
      </c>
      <c r="O24" s="21">
        <f t="shared" ca="1" si="4"/>
        <v>0</v>
      </c>
      <c r="P24" s="262" t="str">
        <f>IF('Etape 1'!J20=999,"",IF('Etape 1'!J20=9999,txt_Schritt1.Angaben.fehlen,VLOOKUP(N24,Matrix_1.2.3.Test.Punkte.ID.Beurteilung,4,1)))</f>
        <v/>
      </c>
      <c r="Q24" s="21">
        <f t="shared" ca="1" si="49"/>
        <v>0</v>
      </c>
      <c r="R24" s="136">
        <f t="shared" si="37"/>
        <v>13</v>
      </c>
      <c r="S24" s="136">
        <f t="shared" ca="1" si="5"/>
        <v>162.04318936877075</v>
      </c>
      <c r="T24" s="136">
        <f t="shared" ca="1" si="38"/>
        <v>750.04318936877075</v>
      </c>
      <c r="U24" s="136">
        <f t="shared" ca="1" si="39"/>
        <v>1224000.0431893687</v>
      </c>
      <c r="V24" s="211">
        <f t="shared" ca="1" si="40"/>
        <v>235406.23523368817</v>
      </c>
      <c r="W24" s="136">
        <f t="shared" ca="1" si="6"/>
        <v>13</v>
      </c>
      <c r="X24" s="136">
        <f t="shared" ca="1" si="7"/>
        <v>162.999000999001</v>
      </c>
      <c r="Y24" s="21">
        <f t="shared" si="8"/>
        <v>1</v>
      </c>
      <c r="Z24" s="21" t="str">
        <f t="shared" si="9"/>
        <v>&lt;IE0</v>
      </c>
      <c r="AA24" s="21">
        <f t="shared" si="10"/>
        <v>1</v>
      </c>
      <c r="AB24" s="21" t="str">
        <f t="shared" si="11"/>
        <v>a - "&lt; 1990 (Eff3)"</v>
      </c>
      <c r="AC24" s="21">
        <f t="shared" si="12"/>
        <v>999999</v>
      </c>
      <c r="AD24" s="21" t="str">
        <f t="shared" si="13"/>
        <v/>
      </c>
      <c r="AE24" s="21" t="str">
        <f t="shared" si="14"/>
        <v/>
      </c>
      <c r="AF24" s="21" t="str">
        <f t="shared" si="15"/>
        <v/>
      </c>
      <c r="AG24" s="21">
        <f t="shared" si="16"/>
        <v>0</v>
      </c>
      <c r="AH24" s="21">
        <f>IF('Etape 1'!H20=St.Wert_Hacken,1,0)</f>
        <v>0</v>
      </c>
      <c r="AI24" s="21">
        <f t="shared" si="41"/>
        <v>0</v>
      </c>
      <c r="AJ24" s="21">
        <f t="shared" si="17"/>
        <v>1000999</v>
      </c>
      <c r="AK24" s="58">
        <f t="shared" si="18"/>
        <v>1100</v>
      </c>
      <c r="AL24" s="58">
        <f t="shared" si="19"/>
        <v>440</v>
      </c>
      <c r="AM24" s="21">
        <f t="shared" si="20"/>
        <v>0</v>
      </c>
      <c r="AN24" s="58">
        <f t="shared" si="21"/>
        <v>1</v>
      </c>
      <c r="AO24" s="58" t="str">
        <f t="shared" si="22"/>
        <v>114</v>
      </c>
      <c r="AP24" s="58" t="str">
        <f t="shared" si="23"/>
        <v>164</v>
      </c>
      <c r="AQ24" s="21" t="e">
        <f t="shared" si="24"/>
        <v>#NUM!</v>
      </c>
      <c r="AR24" s="21" t="e">
        <f t="shared" si="25"/>
        <v>#NUM!</v>
      </c>
      <c r="AS24" s="136" t="e">
        <f t="shared" si="42"/>
        <v>#NUM!</v>
      </c>
      <c r="AT24" s="59" t="e">
        <f t="shared" si="26"/>
        <v>#NUM!</v>
      </c>
      <c r="AU24" s="21" t="e">
        <f t="shared" si="43"/>
        <v>#NUM!</v>
      </c>
      <c r="AV24" s="58">
        <f t="shared" si="27"/>
        <v>1500</v>
      </c>
      <c r="AW24" s="58">
        <f t="shared" si="28"/>
        <v>600</v>
      </c>
      <c r="AX24" s="60">
        <f t="shared" si="29"/>
        <v>0.11</v>
      </c>
      <c r="AY24" s="212">
        <f t="shared" si="44"/>
        <v>0</v>
      </c>
      <c r="AZ24" s="59">
        <f t="shared" si="30"/>
        <v>0</v>
      </c>
      <c r="BA24" s="21" t="e">
        <f t="shared" si="45"/>
        <v>#DIV/0!</v>
      </c>
      <c r="BB24" s="58">
        <f t="shared" si="31"/>
        <v>2900</v>
      </c>
      <c r="BC24" s="58">
        <f t="shared" si="32"/>
        <v>1160</v>
      </c>
      <c r="BD24" s="60">
        <f t="shared" si="33"/>
        <v>0.15</v>
      </c>
      <c r="BE24" s="212" t="e">
        <f t="shared" si="46"/>
        <v>#NUM!</v>
      </c>
      <c r="BF24" s="59" t="e">
        <f t="shared" si="34"/>
        <v>#NUM!</v>
      </c>
      <c r="BG24" s="21" t="e">
        <f t="shared" si="47"/>
        <v>#NUM!</v>
      </c>
      <c r="BH24" s="55">
        <f t="shared" ca="1" si="35"/>
        <v>0</v>
      </c>
    </row>
    <row r="25" spans="1:60" x14ac:dyDescent="0.2">
      <c r="A25" s="61">
        <f ca="1">RANK(W25,W$12:W$311,0)+COUNTIF(W$12:W25,W25)-1</f>
        <v>287</v>
      </c>
      <c r="B25" s="55">
        <f>'Etape 1'!A21</f>
        <v>14</v>
      </c>
      <c r="C25" s="55">
        <f>'Etape 1'!B21</f>
        <v>0</v>
      </c>
      <c r="D25" s="55">
        <f>'Etape 1'!C21</f>
        <v>0</v>
      </c>
      <c r="E25" s="55">
        <f>'Etape 1'!D21</f>
        <v>0</v>
      </c>
      <c r="F25" s="55">
        <f>'Etape 1'!E21</f>
        <v>0</v>
      </c>
      <c r="G25" s="55">
        <f>'Etape 1'!F21</f>
        <v>0</v>
      </c>
      <c r="H25" s="55">
        <f>'Etape 1'!G21</f>
        <v>0</v>
      </c>
      <c r="I25" s="209">
        <v>1</v>
      </c>
      <c r="J25" s="58">
        <f t="shared" si="48"/>
        <v>0</v>
      </c>
      <c r="K25" s="21">
        <f t="shared" si="0"/>
        <v>0</v>
      </c>
      <c r="L25" s="21">
        <f t="shared" si="1"/>
        <v>0</v>
      </c>
      <c r="M25" s="21">
        <f t="shared" ca="1" si="2"/>
        <v>3</v>
      </c>
      <c r="N25" s="21">
        <f t="shared" ca="1" si="3"/>
        <v>3</v>
      </c>
      <c r="O25" s="21">
        <f t="shared" ca="1" si="4"/>
        <v>0</v>
      </c>
      <c r="P25" s="262" t="str">
        <f>IF('Etape 1'!J21=999,"",IF('Etape 1'!J21=9999,txt_Schritt1.Angaben.fehlen,VLOOKUP(N25,Matrix_1.2.3.Test.Punkte.ID.Beurteilung,4,1)))</f>
        <v/>
      </c>
      <c r="Q25" s="21">
        <f t="shared" ca="1" si="49"/>
        <v>0</v>
      </c>
      <c r="R25" s="136">
        <f t="shared" si="37"/>
        <v>14</v>
      </c>
      <c r="S25" s="136">
        <f t="shared" ca="1" si="5"/>
        <v>162.04651162790697</v>
      </c>
      <c r="T25" s="136">
        <f t="shared" ca="1" si="38"/>
        <v>750.04651162790697</v>
      </c>
      <c r="U25" s="136">
        <f t="shared" ca="1" si="39"/>
        <v>1224000.046511628</v>
      </c>
      <c r="V25" s="211">
        <f t="shared" ca="1" si="40"/>
        <v>235406.23855594732</v>
      </c>
      <c r="W25" s="136">
        <f t="shared" ca="1" si="6"/>
        <v>14</v>
      </c>
      <c r="X25" s="136">
        <f t="shared" ca="1" si="7"/>
        <v>162.999000999001</v>
      </c>
      <c r="Y25" s="21">
        <f t="shared" si="8"/>
        <v>1</v>
      </c>
      <c r="Z25" s="21" t="str">
        <f t="shared" si="9"/>
        <v>&lt;IE0</v>
      </c>
      <c r="AA25" s="21">
        <f t="shared" si="10"/>
        <v>1</v>
      </c>
      <c r="AB25" s="21" t="str">
        <f t="shared" si="11"/>
        <v>a - "&lt; 1990 (Eff3)"</v>
      </c>
      <c r="AC25" s="21">
        <f t="shared" si="12"/>
        <v>999999</v>
      </c>
      <c r="AD25" s="21" t="str">
        <f t="shared" si="13"/>
        <v/>
      </c>
      <c r="AE25" s="21" t="str">
        <f t="shared" si="14"/>
        <v/>
      </c>
      <c r="AF25" s="21" t="str">
        <f t="shared" si="15"/>
        <v/>
      </c>
      <c r="AG25" s="21">
        <f t="shared" si="16"/>
        <v>0</v>
      </c>
      <c r="AH25" s="21">
        <f>IF('Etape 1'!H21=St.Wert_Hacken,1,0)</f>
        <v>0</v>
      </c>
      <c r="AI25" s="21">
        <f t="shared" si="41"/>
        <v>0</v>
      </c>
      <c r="AJ25" s="21">
        <f t="shared" si="17"/>
        <v>1000999</v>
      </c>
      <c r="AK25" s="58">
        <f t="shared" si="18"/>
        <v>1100</v>
      </c>
      <c r="AL25" s="58">
        <f t="shared" si="19"/>
        <v>440</v>
      </c>
      <c r="AM25" s="21">
        <f t="shared" si="20"/>
        <v>0</v>
      </c>
      <c r="AN25" s="58">
        <f t="shared" si="21"/>
        <v>1</v>
      </c>
      <c r="AO25" s="58" t="str">
        <f t="shared" si="22"/>
        <v>114</v>
      </c>
      <c r="AP25" s="58" t="str">
        <f t="shared" si="23"/>
        <v>164</v>
      </c>
      <c r="AQ25" s="21" t="e">
        <f t="shared" si="24"/>
        <v>#NUM!</v>
      </c>
      <c r="AR25" s="21" t="e">
        <f t="shared" si="25"/>
        <v>#NUM!</v>
      </c>
      <c r="AS25" s="136" t="e">
        <f t="shared" si="42"/>
        <v>#NUM!</v>
      </c>
      <c r="AT25" s="59" t="e">
        <f t="shared" si="26"/>
        <v>#NUM!</v>
      </c>
      <c r="AU25" s="21" t="e">
        <f t="shared" si="43"/>
        <v>#NUM!</v>
      </c>
      <c r="AV25" s="58">
        <f t="shared" si="27"/>
        <v>1500</v>
      </c>
      <c r="AW25" s="58">
        <f t="shared" si="28"/>
        <v>600</v>
      </c>
      <c r="AX25" s="60">
        <f t="shared" si="29"/>
        <v>0.11</v>
      </c>
      <c r="AY25" s="212">
        <f t="shared" si="44"/>
        <v>0</v>
      </c>
      <c r="AZ25" s="59">
        <f t="shared" si="30"/>
        <v>0</v>
      </c>
      <c r="BA25" s="21" t="e">
        <f t="shared" si="45"/>
        <v>#DIV/0!</v>
      </c>
      <c r="BB25" s="58">
        <f t="shared" si="31"/>
        <v>2900</v>
      </c>
      <c r="BC25" s="58">
        <f t="shared" si="32"/>
        <v>1160</v>
      </c>
      <c r="BD25" s="60">
        <f t="shared" si="33"/>
        <v>0.15</v>
      </c>
      <c r="BE25" s="212" t="e">
        <f t="shared" si="46"/>
        <v>#NUM!</v>
      </c>
      <c r="BF25" s="59" t="e">
        <f t="shared" si="34"/>
        <v>#NUM!</v>
      </c>
      <c r="BG25" s="21" t="e">
        <f t="shared" si="47"/>
        <v>#NUM!</v>
      </c>
      <c r="BH25" s="55">
        <f t="shared" ca="1" si="35"/>
        <v>0</v>
      </c>
    </row>
    <row r="26" spans="1:60" x14ac:dyDescent="0.2">
      <c r="A26" s="61">
        <f ca="1">RANK(W26,W$12:W$311,0)+COUNTIF(W$12:W26,W26)-1</f>
        <v>286</v>
      </c>
      <c r="B26" s="55">
        <f>'Etape 1'!A22</f>
        <v>15</v>
      </c>
      <c r="C26" s="55">
        <f>'Etape 1'!B22</f>
        <v>0</v>
      </c>
      <c r="D26" s="55">
        <f>'Etape 1'!C22</f>
        <v>0</v>
      </c>
      <c r="E26" s="55">
        <f>'Etape 1'!D22</f>
        <v>0</v>
      </c>
      <c r="F26" s="55">
        <f>'Etape 1'!E22</f>
        <v>0</v>
      </c>
      <c r="G26" s="55">
        <f>'Etape 1'!F22</f>
        <v>0</v>
      </c>
      <c r="H26" s="55">
        <f>'Etape 1'!G22</f>
        <v>0</v>
      </c>
      <c r="I26" s="209">
        <v>1</v>
      </c>
      <c r="J26" s="58">
        <f t="shared" si="48"/>
        <v>0</v>
      </c>
      <c r="K26" s="21">
        <f t="shared" si="0"/>
        <v>0</v>
      </c>
      <c r="L26" s="21">
        <f t="shared" si="1"/>
        <v>0</v>
      </c>
      <c r="M26" s="21">
        <f t="shared" ca="1" si="2"/>
        <v>3</v>
      </c>
      <c r="N26" s="21">
        <f t="shared" ca="1" si="3"/>
        <v>3</v>
      </c>
      <c r="O26" s="21">
        <f t="shared" ca="1" si="4"/>
        <v>0</v>
      </c>
      <c r="P26" s="262" t="str">
        <f>IF('Etape 1'!J22=999,"",IF('Etape 1'!J22=9999,txt_Schritt1.Angaben.fehlen,VLOOKUP(N26,Matrix_1.2.3.Test.Punkte.ID.Beurteilung,4,1)))</f>
        <v/>
      </c>
      <c r="Q26" s="21">
        <f t="shared" ca="1" si="49"/>
        <v>0</v>
      </c>
      <c r="R26" s="136">
        <f t="shared" si="37"/>
        <v>15</v>
      </c>
      <c r="S26" s="136">
        <f t="shared" ca="1" si="5"/>
        <v>162.04983388704318</v>
      </c>
      <c r="T26" s="136">
        <f t="shared" ca="1" si="38"/>
        <v>750.04983388704318</v>
      </c>
      <c r="U26" s="136">
        <f t="shared" ca="1" si="39"/>
        <v>1224000.049833887</v>
      </c>
      <c r="V26" s="211">
        <f t="shared" ca="1" si="40"/>
        <v>235406.24187820646</v>
      </c>
      <c r="W26" s="136">
        <f t="shared" ca="1" si="6"/>
        <v>15</v>
      </c>
      <c r="X26" s="136">
        <f t="shared" ca="1" si="7"/>
        <v>162.999000999001</v>
      </c>
      <c r="Y26" s="21">
        <f t="shared" si="8"/>
        <v>1</v>
      </c>
      <c r="Z26" s="21" t="str">
        <f t="shared" si="9"/>
        <v>&lt;IE0</v>
      </c>
      <c r="AA26" s="21">
        <f t="shared" si="10"/>
        <v>1</v>
      </c>
      <c r="AB26" s="21" t="str">
        <f t="shared" si="11"/>
        <v>a - "&lt; 1990 (Eff3)"</v>
      </c>
      <c r="AC26" s="21">
        <f t="shared" si="12"/>
        <v>999999</v>
      </c>
      <c r="AD26" s="21" t="str">
        <f t="shared" si="13"/>
        <v/>
      </c>
      <c r="AE26" s="21" t="str">
        <f t="shared" si="14"/>
        <v/>
      </c>
      <c r="AF26" s="21" t="str">
        <f t="shared" si="15"/>
        <v/>
      </c>
      <c r="AG26" s="21">
        <f t="shared" si="16"/>
        <v>0</v>
      </c>
      <c r="AH26" s="21">
        <f>IF('Etape 1'!H22=St.Wert_Hacken,1,0)</f>
        <v>0</v>
      </c>
      <c r="AI26" s="21">
        <f t="shared" si="41"/>
        <v>0</v>
      </c>
      <c r="AJ26" s="21">
        <f t="shared" si="17"/>
        <v>1000999</v>
      </c>
      <c r="AK26" s="58">
        <f t="shared" si="18"/>
        <v>1100</v>
      </c>
      <c r="AL26" s="58">
        <f t="shared" si="19"/>
        <v>440</v>
      </c>
      <c r="AM26" s="21">
        <f t="shared" si="20"/>
        <v>0</v>
      </c>
      <c r="AN26" s="58">
        <f t="shared" si="21"/>
        <v>1</v>
      </c>
      <c r="AO26" s="58" t="str">
        <f t="shared" si="22"/>
        <v>114</v>
      </c>
      <c r="AP26" s="58" t="str">
        <f t="shared" si="23"/>
        <v>164</v>
      </c>
      <c r="AQ26" s="21" t="e">
        <f t="shared" si="24"/>
        <v>#NUM!</v>
      </c>
      <c r="AR26" s="21" t="e">
        <f t="shared" si="25"/>
        <v>#NUM!</v>
      </c>
      <c r="AS26" s="136" t="e">
        <f t="shared" si="42"/>
        <v>#NUM!</v>
      </c>
      <c r="AT26" s="59" t="e">
        <f t="shared" si="26"/>
        <v>#NUM!</v>
      </c>
      <c r="AU26" s="21" t="e">
        <f t="shared" si="43"/>
        <v>#NUM!</v>
      </c>
      <c r="AV26" s="58">
        <f t="shared" si="27"/>
        <v>1500</v>
      </c>
      <c r="AW26" s="58">
        <f t="shared" si="28"/>
        <v>600</v>
      </c>
      <c r="AX26" s="60">
        <f t="shared" si="29"/>
        <v>0.11</v>
      </c>
      <c r="AY26" s="212">
        <f t="shared" si="44"/>
        <v>0</v>
      </c>
      <c r="AZ26" s="59">
        <f t="shared" si="30"/>
        <v>0</v>
      </c>
      <c r="BA26" s="21" t="e">
        <f t="shared" si="45"/>
        <v>#DIV/0!</v>
      </c>
      <c r="BB26" s="58">
        <f t="shared" si="31"/>
        <v>2900</v>
      </c>
      <c r="BC26" s="58">
        <f t="shared" si="32"/>
        <v>1160</v>
      </c>
      <c r="BD26" s="60">
        <f t="shared" si="33"/>
        <v>0.15</v>
      </c>
      <c r="BE26" s="212" t="e">
        <f t="shared" si="46"/>
        <v>#NUM!</v>
      </c>
      <c r="BF26" s="59" t="e">
        <f t="shared" si="34"/>
        <v>#NUM!</v>
      </c>
      <c r="BG26" s="21" t="e">
        <f t="shared" si="47"/>
        <v>#NUM!</v>
      </c>
      <c r="BH26" s="55">
        <f t="shared" ca="1" si="35"/>
        <v>0</v>
      </c>
    </row>
    <row r="27" spans="1:60" x14ac:dyDescent="0.2">
      <c r="A27" s="61">
        <f ca="1">RANK(W27,W$12:W$311,0)+COUNTIF(W$12:W27,W27)-1</f>
        <v>285</v>
      </c>
      <c r="B27" s="55">
        <f>'Etape 1'!A23</f>
        <v>16</v>
      </c>
      <c r="C27" s="55">
        <f>'Etape 1'!B23</f>
        <v>0</v>
      </c>
      <c r="D27" s="55">
        <f>'Etape 1'!C23</f>
        <v>0</v>
      </c>
      <c r="E27" s="55">
        <f>'Etape 1'!D23</f>
        <v>0</v>
      </c>
      <c r="F27" s="55">
        <f>'Etape 1'!E23</f>
        <v>0</v>
      </c>
      <c r="G27" s="55">
        <f>'Etape 1'!F23</f>
        <v>0</v>
      </c>
      <c r="H27" s="55">
        <f>'Etape 1'!G23</f>
        <v>0</v>
      </c>
      <c r="I27" s="209">
        <v>1</v>
      </c>
      <c r="J27" s="58">
        <f t="shared" si="48"/>
        <v>0</v>
      </c>
      <c r="K27" s="21">
        <f t="shared" si="0"/>
        <v>0</v>
      </c>
      <c r="L27" s="21">
        <f t="shared" si="1"/>
        <v>0</v>
      </c>
      <c r="M27" s="21">
        <f t="shared" ca="1" si="2"/>
        <v>3</v>
      </c>
      <c r="N27" s="21">
        <f t="shared" ca="1" si="3"/>
        <v>3</v>
      </c>
      <c r="O27" s="21">
        <f t="shared" ca="1" si="4"/>
        <v>0</v>
      </c>
      <c r="P27" s="262" t="str">
        <f>IF('Etape 1'!J23=999,"",IF('Etape 1'!J23=9999,txt_Schritt1.Angaben.fehlen,VLOOKUP(N27,Matrix_1.2.3.Test.Punkte.ID.Beurteilung,4,1)))</f>
        <v/>
      </c>
      <c r="Q27" s="21">
        <f t="shared" ca="1" si="49"/>
        <v>0</v>
      </c>
      <c r="R27" s="136">
        <f t="shared" si="37"/>
        <v>16</v>
      </c>
      <c r="S27" s="136">
        <f t="shared" ca="1" si="5"/>
        <v>162.05315614617939</v>
      </c>
      <c r="T27" s="136">
        <f t="shared" ca="1" si="38"/>
        <v>750.05315614617939</v>
      </c>
      <c r="U27" s="136">
        <f t="shared" ca="1" si="39"/>
        <v>1224000.0531561461</v>
      </c>
      <c r="V27" s="211">
        <f t="shared" ca="1" si="40"/>
        <v>235406.24520046558</v>
      </c>
      <c r="W27" s="136">
        <f t="shared" ca="1" si="6"/>
        <v>16</v>
      </c>
      <c r="X27" s="136">
        <f t="shared" ca="1" si="7"/>
        <v>162.999000999001</v>
      </c>
      <c r="Y27" s="21">
        <f t="shared" si="8"/>
        <v>1</v>
      </c>
      <c r="Z27" s="21" t="str">
        <f t="shared" si="9"/>
        <v>&lt;IE0</v>
      </c>
      <c r="AA27" s="21">
        <f t="shared" si="10"/>
        <v>1</v>
      </c>
      <c r="AB27" s="21" t="str">
        <f t="shared" si="11"/>
        <v>a - "&lt; 1990 (Eff3)"</v>
      </c>
      <c r="AC27" s="21">
        <f t="shared" si="12"/>
        <v>999999</v>
      </c>
      <c r="AD27" s="21" t="str">
        <f t="shared" si="13"/>
        <v/>
      </c>
      <c r="AE27" s="21" t="str">
        <f t="shared" si="14"/>
        <v/>
      </c>
      <c r="AF27" s="21" t="str">
        <f t="shared" si="15"/>
        <v/>
      </c>
      <c r="AG27" s="21">
        <f t="shared" si="16"/>
        <v>0</v>
      </c>
      <c r="AH27" s="21">
        <f>IF('Etape 1'!H23=St.Wert_Hacken,1,0)</f>
        <v>0</v>
      </c>
      <c r="AI27" s="21">
        <f t="shared" si="41"/>
        <v>0</v>
      </c>
      <c r="AJ27" s="21">
        <f t="shared" si="17"/>
        <v>1000999</v>
      </c>
      <c r="AK27" s="58">
        <f t="shared" si="18"/>
        <v>1100</v>
      </c>
      <c r="AL27" s="58">
        <f t="shared" si="19"/>
        <v>440</v>
      </c>
      <c r="AM27" s="21">
        <f t="shared" si="20"/>
        <v>0</v>
      </c>
      <c r="AN27" s="58">
        <f t="shared" si="21"/>
        <v>1</v>
      </c>
      <c r="AO27" s="58" t="str">
        <f t="shared" si="22"/>
        <v>114</v>
      </c>
      <c r="AP27" s="58" t="str">
        <f t="shared" si="23"/>
        <v>164</v>
      </c>
      <c r="AQ27" s="21" t="e">
        <f t="shared" si="24"/>
        <v>#NUM!</v>
      </c>
      <c r="AR27" s="21" t="e">
        <f t="shared" si="25"/>
        <v>#NUM!</v>
      </c>
      <c r="AS27" s="136" t="e">
        <f t="shared" si="42"/>
        <v>#NUM!</v>
      </c>
      <c r="AT27" s="59" t="e">
        <f t="shared" si="26"/>
        <v>#NUM!</v>
      </c>
      <c r="AU27" s="21" t="e">
        <f t="shared" si="43"/>
        <v>#NUM!</v>
      </c>
      <c r="AV27" s="58">
        <f t="shared" si="27"/>
        <v>1500</v>
      </c>
      <c r="AW27" s="58">
        <f t="shared" si="28"/>
        <v>600</v>
      </c>
      <c r="AX27" s="60">
        <f t="shared" si="29"/>
        <v>0.11</v>
      </c>
      <c r="AY27" s="212">
        <f t="shared" si="44"/>
        <v>0</v>
      </c>
      <c r="AZ27" s="59">
        <f t="shared" si="30"/>
        <v>0</v>
      </c>
      <c r="BA27" s="21" t="e">
        <f t="shared" si="45"/>
        <v>#DIV/0!</v>
      </c>
      <c r="BB27" s="58">
        <f t="shared" si="31"/>
        <v>2900</v>
      </c>
      <c r="BC27" s="58">
        <f t="shared" si="32"/>
        <v>1160</v>
      </c>
      <c r="BD27" s="60">
        <f t="shared" si="33"/>
        <v>0.15</v>
      </c>
      <c r="BE27" s="212" t="e">
        <f t="shared" si="46"/>
        <v>#NUM!</v>
      </c>
      <c r="BF27" s="59" t="e">
        <f t="shared" si="34"/>
        <v>#NUM!</v>
      </c>
      <c r="BG27" s="21" t="e">
        <f t="shared" si="47"/>
        <v>#NUM!</v>
      </c>
      <c r="BH27" s="55">
        <f t="shared" ca="1" si="35"/>
        <v>0</v>
      </c>
    </row>
    <row r="28" spans="1:60" x14ac:dyDescent="0.2">
      <c r="A28" s="61">
        <f ca="1">RANK(W28,W$12:W$311,0)+COUNTIF(W$12:W28,W28)-1</f>
        <v>284</v>
      </c>
      <c r="B28" s="55">
        <f>'Etape 1'!A24</f>
        <v>17</v>
      </c>
      <c r="C28" s="55">
        <f>'Etape 1'!B24</f>
        <v>0</v>
      </c>
      <c r="D28" s="55">
        <f>'Etape 1'!C24</f>
        <v>0</v>
      </c>
      <c r="E28" s="55">
        <f>'Etape 1'!D24</f>
        <v>0</v>
      </c>
      <c r="F28" s="55">
        <f>'Etape 1'!E24</f>
        <v>0</v>
      </c>
      <c r="G28" s="55">
        <f>'Etape 1'!F24</f>
        <v>0</v>
      </c>
      <c r="H28" s="55">
        <f>'Etape 1'!G24</f>
        <v>0</v>
      </c>
      <c r="I28" s="209">
        <v>1</v>
      </c>
      <c r="J28" s="58">
        <f t="shared" si="48"/>
        <v>0</v>
      </c>
      <c r="K28" s="21">
        <f t="shared" si="0"/>
        <v>0</v>
      </c>
      <c r="L28" s="21">
        <f t="shared" si="1"/>
        <v>0</v>
      </c>
      <c r="M28" s="21">
        <f t="shared" ca="1" si="2"/>
        <v>3</v>
      </c>
      <c r="N28" s="21">
        <f t="shared" ca="1" si="3"/>
        <v>3</v>
      </c>
      <c r="O28" s="21">
        <f t="shared" ca="1" si="4"/>
        <v>0</v>
      </c>
      <c r="P28" s="262" t="str">
        <f>IF('Etape 1'!J24=999,"",IF('Etape 1'!J24=9999,txt_Schritt1.Angaben.fehlen,VLOOKUP(N28,Matrix_1.2.3.Test.Punkte.ID.Beurteilung,4,1)))</f>
        <v/>
      </c>
      <c r="Q28" s="21">
        <f t="shared" ca="1" si="49"/>
        <v>0</v>
      </c>
      <c r="R28" s="136">
        <f t="shared" si="37"/>
        <v>17</v>
      </c>
      <c r="S28" s="136">
        <f t="shared" ca="1" si="5"/>
        <v>162.0564784053156</v>
      </c>
      <c r="T28" s="136">
        <f t="shared" ca="1" si="38"/>
        <v>750.0564784053156</v>
      </c>
      <c r="U28" s="136">
        <f t="shared" ca="1" si="39"/>
        <v>1224000.0564784054</v>
      </c>
      <c r="V28" s="211">
        <f t="shared" ca="1" si="40"/>
        <v>235406.24852272472</v>
      </c>
      <c r="W28" s="136">
        <f t="shared" ca="1" si="6"/>
        <v>17</v>
      </c>
      <c r="X28" s="136">
        <f t="shared" ca="1" si="7"/>
        <v>162.999000999001</v>
      </c>
      <c r="Y28" s="21">
        <f t="shared" si="8"/>
        <v>1</v>
      </c>
      <c r="Z28" s="21" t="str">
        <f t="shared" si="9"/>
        <v>&lt;IE0</v>
      </c>
      <c r="AA28" s="21">
        <f t="shared" si="10"/>
        <v>1</v>
      </c>
      <c r="AB28" s="21" t="str">
        <f t="shared" si="11"/>
        <v>a - "&lt; 1990 (Eff3)"</v>
      </c>
      <c r="AC28" s="21">
        <f t="shared" si="12"/>
        <v>999999</v>
      </c>
      <c r="AD28" s="21" t="str">
        <f t="shared" si="13"/>
        <v/>
      </c>
      <c r="AE28" s="21" t="str">
        <f t="shared" si="14"/>
        <v/>
      </c>
      <c r="AF28" s="21" t="str">
        <f t="shared" si="15"/>
        <v/>
      </c>
      <c r="AG28" s="21">
        <f t="shared" si="16"/>
        <v>0</v>
      </c>
      <c r="AH28" s="21">
        <f>IF('Etape 1'!H24=St.Wert_Hacken,1,0)</f>
        <v>0</v>
      </c>
      <c r="AI28" s="21">
        <f t="shared" si="41"/>
        <v>0</v>
      </c>
      <c r="AJ28" s="21">
        <f t="shared" si="17"/>
        <v>1000999</v>
      </c>
      <c r="AK28" s="58">
        <f t="shared" si="18"/>
        <v>1100</v>
      </c>
      <c r="AL28" s="58">
        <f t="shared" si="19"/>
        <v>440</v>
      </c>
      <c r="AM28" s="21">
        <f t="shared" si="20"/>
        <v>0</v>
      </c>
      <c r="AN28" s="58">
        <f t="shared" si="21"/>
        <v>1</v>
      </c>
      <c r="AO28" s="58" t="str">
        <f t="shared" si="22"/>
        <v>114</v>
      </c>
      <c r="AP28" s="58" t="str">
        <f t="shared" si="23"/>
        <v>164</v>
      </c>
      <c r="AQ28" s="21" t="e">
        <f t="shared" si="24"/>
        <v>#NUM!</v>
      </c>
      <c r="AR28" s="21" t="e">
        <f t="shared" si="25"/>
        <v>#NUM!</v>
      </c>
      <c r="AS28" s="136" t="e">
        <f t="shared" si="42"/>
        <v>#NUM!</v>
      </c>
      <c r="AT28" s="59" t="e">
        <f t="shared" si="26"/>
        <v>#NUM!</v>
      </c>
      <c r="AU28" s="21" t="e">
        <f t="shared" si="43"/>
        <v>#NUM!</v>
      </c>
      <c r="AV28" s="58">
        <f t="shared" si="27"/>
        <v>1500</v>
      </c>
      <c r="AW28" s="58">
        <f t="shared" si="28"/>
        <v>600</v>
      </c>
      <c r="AX28" s="60">
        <f t="shared" si="29"/>
        <v>0.11</v>
      </c>
      <c r="AY28" s="212">
        <f t="shared" si="44"/>
        <v>0</v>
      </c>
      <c r="AZ28" s="59">
        <f t="shared" si="30"/>
        <v>0</v>
      </c>
      <c r="BA28" s="21" t="e">
        <f t="shared" si="45"/>
        <v>#DIV/0!</v>
      </c>
      <c r="BB28" s="58">
        <f t="shared" si="31"/>
        <v>2900</v>
      </c>
      <c r="BC28" s="58">
        <f t="shared" si="32"/>
        <v>1160</v>
      </c>
      <c r="BD28" s="60">
        <f t="shared" si="33"/>
        <v>0.15</v>
      </c>
      <c r="BE28" s="212" t="e">
        <f t="shared" si="46"/>
        <v>#NUM!</v>
      </c>
      <c r="BF28" s="59" t="e">
        <f t="shared" si="34"/>
        <v>#NUM!</v>
      </c>
      <c r="BG28" s="21" t="e">
        <f t="shared" si="47"/>
        <v>#NUM!</v>
      </c>
      <c r="BH28" s="55">
        <f t="shared" ca="1" si="35"/>
        <v>0</v>
      </c>
    </row>
    <row r="29" spans="1:60" x14ac:dyDescent="0.2">
      <c r="A29" s="61">
        <f ca="1">RANK(W29,W$12:W$311,0)+COUNTIF(W$12:W29,W29)-1</f>
        <v>283</v>
      </c>
      <c r="B29" s="55">
        <f>'Etape 1'!A25</f>
        <v>18</v>
      </c>
      <c r="C29" s="55">
        <f>'Etape 1'!B25</f>
        <v>0</v>
      </c>
      <c r="D29" s="55">
        <f>'Etape 1'!C25</f>
        <v>0</v>
      </c>
      <c r="E29" s="55">
        <f>'Etape 1'!D25</f>
        <v>0</v>
      </c>
      <c r="F29" s="55">
        <f>'Etape 1'!E25</f>
        <v>0</v>
      </c>
      <c r="G29" s="55">
        <f>'Etape 1'!F25</f>
        <v>0</v>
      </c>
      <c r="H29" s="55">
        <f>'Etape 1'!G25</f>
        <v>0</v>
      </c>
      <c r="I29" s="209">
        <v>1</v>
      </c>
      <c r="J29" s="58">
        <f t="shared" si="48"/>
        <v>0</v>
      </c>
      <c r="K29" s="21">
        <f t="shared" si="0"/>
        <v>0</v>
      </c>
      <c r="L29" s="21">
        <f t="shared" si="1"/>
        <v>0</v>
      </c>
      <c r="M29" s="21">
        <f t="shared" ca="1" si="2"/>
        <v>3</v>
      </c>
      <c r="N29" s="21">
        <f t="shared" ca="1" si="3"/>
        <v>3</v>
      </c>
      <c r="O29" s="21">
        <f t="shared" ca="1" si="4"/>
        <v>0</v>
      </c>
      <c r="P29" s="262" t="str">
        <f>IF('Etape 1'!J25=999,"",IF('Etape 1'!J25=9999,txt_Schritt1.Angaben.fehlen,VLOOKUP(N29,Matrix_1.2.3.Test.Punkte.ID.Beurteilung,4,1)))</f>
        <v/>
      </c>
      <c r="Q29" s="21">
        <f t="shared" ca="1" si="49"/>
        <v>0</v>
      </c>
      <c r="R29" s="136">
        <f t="shared" si="37"/>
        <v>18</v>
      </c>
      <c r="S29" s="136">
        <f t="shared" ca="1" si="5"/>
        <v>162.05980066445181</v>
      </c>
      <c r="T29" s="136">
        <f t="shared" ca="1" si="38"/>
        <v>750.05980066445181</v>
      </c>
      <c r="U29" s="136">
        <f t="shared" ca="1" si="39"/>
        <v>1224000.0598006644</v>
      </c>
      <c r="V29" s="211">
        <f t="shared" ca="1" si="40"/>
        <v>235406.25184498387</v>
      </c>
      <c r="W29" s="136">
        <f t="shared" ca="1" si="6"/>
        <v>18</v>
      </c>
      <c r="X29" s="136">
        <f t="shared" ca="1" si="7"/>
        <v>162.999000999001</v>
      </c>
      <c r="Y29" s="21">
        <f t="shared" si="8"/>
        <v>1</v>
      </c>
      <c r="Z29" s="21" t="str">
        <f t="shared" si="9"/>
        <v>&lt;IE0</v>
      </c>
      <c r="AA29" s="21">
        <f t="shared" si="10"/>
        <v>1</v>
      </c>
      <c r="AB29" s="21" t="str">
        <f t="shared" si="11"/>
        <v>a - "&lt; 1990 (Eff3)"</v>
      </c>
      <c r="AC29" s="21">
        <f t="shared" si="12"/>
        <v>999999</v>
      </c>
      <c r="AD29" s="21" t="str">
        <f t="shared" si="13"/>
        <v/>
      </c>
      <c r="AE29" s="21" t="str">
        <f t="shared" si="14"/>
        <v/>
      </c>
      <c r="AF29" s="21" t="str">
        <f t="shared" si="15"/>
        <v/>
      </c>
      <c r="AG29" s="21">
        <f t="shared" si="16"/>
        <v>0</v>
      </c>
      <c r="AH29" s="21">
        <f>IF('Etape 1'!H25=St.Wert_Hacken,1,0)</f>
        <v>0</v>
      </c>
      <c r="AI29" s="21">
        <f t="shared" si="41"/>
        <v>0</v>
      </c>
      <c r="AJ29" s="21">
        <f t="shared" si="17"/>
        <v>1000999</v>
      </c>
      <c r="AK29" s="58">
        <f t="shared" si="18"/>
        <v>1100</v>
      </c>
      <c r="AL29" s="58">
        <f t="shared" si="19"/>
        <v>440</v>
      </c>
      <c r="AM29" s="21">
        <f t="shared" si="20"/>
        <v>0</v>
      </c>
      <c r="AN29" s="58">
        <f t="shared" si="21"/>
        <v>1</v>
      </c>
      <c r="AO29" s="58" t="str">
        <f t="shared" si="22"/>
        <v>114</v>
      </c>
      <c r="AP29" s="58" t="str">
        <f t="shared" si="23"/>
        <v>164</v>
      </c>
      <c r="AQ29" s="21" t="e">
        <f t="shared" si="24"/>
        <v>#NUM!</v>
      </c>
      <c r="AR29" s="21" t="e">
        <f t="shared" si="25"/>
        <v>#NUM!</v>
      </c>
      <c r="AS29" s="136" t="e">
        <f t="shared" si="42"/>
        <v>#NUM!</v>
      </c>
      <c r="AT29" s="59" t="e">
        <f t="shared" si="26"/>
        <v>#NUM!</v>
      </c>
      <c r="AU29" s="21" t="e">
        <f t="shared" si="43"/>
        <v>#NUM!</v>
      </c>
      <c r="AV29" s="58">
        <f t="shared" si="27"/>
        <v>1500</v>
      </c>
      <c r="AW29" s="58">
        <f t="shared" si="28"/>
        <v>600</v>
      </c>
      <c r="AX29" s="60">
        <f t="shared" si="29"/>
        <v>0.11</v>
      </c>
      <c r="AY29" s="212">
        <f t="shared" si="44"/>
        <v>0</v>
      </c>
      <c r="AZ29" s="59">
        <f t="shared" si="30"/>
        <v>0</v>
      </c>
      <c r="BA29" s="21" t="e">
        <f t="shared" si="45"/>
        <v>#DIV/0!</v>
      </c>
      <c r="BB29" s="58">
        <f t="shared" si="31"/>
        <v>2900</v>
      </c>
      <c r="BC29" s="58">
        <f t="shared" si="32"/>
        <v>1160</v>
      </c>
      <c r="BD29" s="60">
        <f t="shared" si="33"/>
        <v>0.15</v>
      </c>
      <c r="BE29" s="212" t="e">
        <f t="shared" si="46"/>
        <v>#NUM!</v>
      </c>
      <c r="BF29" s="59" t="e">
        <f t="shared" si="34"/>
        <v>#NUM!</v>
      </c>
      <c r="BG29" s="21" t="e">
        <f t="shared" si="47"/>
        <v>#NUM!</v>
      </c>
      <c r="BH29" s="55">
        <f t="shared" ca="1" si="35"/>
        <v>0</v>
      </c>
    </row>
    <row r="30" spans="1:60" x14ac:dyDescent="0.2">
      <c r="A30" s="61">
        <f ca="1">RANK(W30,W$12:W$311,0)+COUNTIF(W$12:W30,W30)-1</f>
        <v>282</v>
      </c>
      <c r="B30" s="55">
        <f>'Etape 1'!A26</f>
        <v>19</v>
      </c>
      <c r="C30" s="55">
        <f>'Etape 1'!B26</f>
        <v>0</v>
      </c>
      <c r="D30" s="55">
        <f>'Etape 1'!C26</f>
        <v>0</v>
      </c>
      <c r="E30" s="55">
        <f>'Etape 1'!D26</f>
        <v>0</v>
      </c>
      <c r="F30" s="55">
        <f>'Etape 1'!E26</f>
        <v>0</v>
      </c>
      <c r="G30" s="55">
        <f>'Etape 1'!F26</f>
        <v>0</v>
      </c>
      <c r="H30" s="55">
        <f>'Etape 1'!G26</f>
        <v>0</v>
      </c>
      <c r="I30" s="209">
        <v>1</v>
      </c>
      <c r="J30" s="58">
        <f t="shared" si="48"/>
        <v>0</v>
      </c>
      <c r="K30" s="21">
        <f t="shared" si="0"/>
        <v>0</v>
      </c>
      <c r="L30" s="21">
        <f t="shared" si="1"/>
        <v>0</v>
      </c>
      <c r="M30" s="21">
        <f t="shared" ca="1" si="2"/>
        <v>3</v>
      </c>
      <c r="N30" s="21">
        <f t="shared" ca="1" si="3"/>
        <v>3</v>
      </c>
      <c r="O30" s="21">
        <f t="shared" ca="1" si="4"/>
        <v>0</v>
      </c>
      <c r="P30" s="262" t="str">
        <f>IF('Etape 1'!J26=999,"",IF('Etape 1'!J26=9999,txt_Schritt1.Angaben.fehlen,VLOOKUP(N30,Matrix_1.2.3.Test.Punkte.ID.Beurteilung,4,1)))</f>
        <v/>
      </c>
      <c r="Q30" s="21">
        <f t="shared" ca="1" si="49"/>
        <v>0</v>
      </c>
      <c r="R30" s="136">
        <f t="shared" si="37"/>
        <v>19</v>
      </c>
      <c r="S30" s="136">
        <f t="shared" ca="1" si="5"/>
        <v>162.06312292358805</v>
      </c>
      <c r="T30" s="136">
        <f t="shared" ca="1" si="38"/>
        <v>750.06312292358803</v>
      </c>
      <c r="U30" s="136">
        <f t="shared" ca="1" si="39"/>
        <v>1224000.0631229235</v>
      </c>
      <c r="V30" s="211">
        <f t="shared" ca="1" si="40"/>
        <v>235406.25516724301</v>
      </c>
      <c r="W30" s="136">
        <f t="shared" ca="1" si="6"/>
        <v>19</v>
      </c>
      <c r="X30" s="136">
        <f t="shared" ca="1" si="7"/>
        <v>162.999000999001</v>
      </c>
      <c r="Y30" s="21">
        <f t="shared" si="8"/>
        <v>1</v>
      </c>
      <c r="Z30" s="21" t="str">
        <f t="shared" si="9"/>
        <v>&lt;IE0</v>
      </c>
      <c r="AA30" s="21">
        <f t="shared" si="10"/>
        <v>1</v>
      </c>
      <c r="AB30" s="21" t="str">
        <f t="shared" si="11"/>
        <v>a - "&lt; 1990 (Eff3)"</v>
      </c>
      <c r="AC30" s="21">
        <f t="shared" si="12"/>
        <v>999999</v>
      </c>
      <c r="AD30" s="21" t="str">
        <f t="shared" si="13"/>
        <v/>
      </c>
      <c r="AE30" s="21" t="str">
        <f t="shared" si="14"/>
        <v/>
      </c>
      <c r="AF30" s="21" t="str">
        <f t="shared" si="15"/>
        <v/>
      </c>
      <c r="AG30" s="21">
        <f t="shared" si="16"/>
        <v>0</v>
      </c>
      <c r="AH30" s="21">
        <f>IF('Etape 1'!H26=St.Wert_Hacken,1,0)</f>
        <v>0</v>
      </c>
      <c r="AI30" s="21">
        <f t="shared" si="41"/>
        <v>0</v>
      </c>
      <c r="AJ30" s="21">
        <f t="shared" si="17"/>
        <v>1000999</v>
      </c>
      <c r="AK30" s="58">
        <f t="shared" si="18"/>
        <v>1100</v>
      </c>
      <c r="AL30" s="58">
        <f t="shared" si="19"/>
        <v>440</v>
      </c>
      <c r="AM30" s="21">
        <f t="shared" si="20"/>
        <v>0</v>
      </c>
      <c r="AN30" s="58">
        <f t="shared" si="21"/>
        <v>1</v>
      </c>
      <c r="AO30" s="58" t="str">
        <f t="shared" si="22"/>
        <v>114</v>
      </c>
      <c r="AP30" s="58" t="str">
        <f t="shared" si="23"/>
        <v>164</v>
      </c>
      <c r="AQ30" s="21" t="e">
        <f t="shared" si="24"/>
        <v>#NUM!</v>
      </c>
      <c r="AR30" s="21" t="e">
        <f t="shared" si="25"/>
        <v>#NUM!</v>
      </c>
      <c r="AS30" s="136" t="e">
        <f t="shared" si="42"/>
        <v>#NUM!</v>
      </c>
      <c r="AT30" s="59" t="e">
        <f t="shared" si="26"/>
        <v>#NUM!</v>
      </c>
      <c r="AU30" s="21" t="e">
        <f t="shared" si="43"/>
        <v>#NUM!</v>
      </c>
      <c r="AV30" s="58">
        <f t="shared" si="27"/>
        <v>1500</v>
      </c>
      <c r="AW30" s="58">
        <f t="shared" si="28"/>
        <v>600</v>
      </c>
      <c r="AX30" s="60">
        <f t="shared" si="29"/>
        <v>0.11</v>
      </c>
      <c r="AY30" s="212">
        <f t="shared" si="44"/>
        <v>0</v>
      </c>
      <c r="AZ30" s="59">
        <f t="shared" si="30"/>
        <v>0</v>
      </c>
      <c r="BA30" s="21" t="e">
        <f t="shared" si="45"/>
        <v>#DIV/0!</v>
      </c>
      <c r="BB30" s="58">
        <f t="shared" si="31"/>
        <v>2900</v>
      </c>
      <c r="BC30" s="58">
        <f t="shared" si="32"/>
        <v>1160</v>
      </c>
      <c r="BD30" s="60">
        <f t="shared" si="33"/>
        <v>0.15</v>
      </c>
      <c r="BE30" s="212" t="e">
        <f t="shared" si="46"/>
        <v>#NUM!</v>
      </c>
      <c r="BF30" s="59" t="e">
        <f t="shared" si="34"/>
        <v>#NUM!</v>
      </c>
      <c r="BG30" s="21" t="e">
        <f t="shared" si="47"/>
        <v>#NUM!</v>
      </c>
      <c r="BH30" s="55">
        <f t="shared" ca="1" si="35"/>
        <v>0</v>
      </c>
    </row>
    <row r="31" spans="1:60" x14ac:dyDescent="0.2">
      <c r="A31" s="61">
        <f ca="1">RANK(W31,W$12:W$311,0)+COUNTIF(W$12:W31,W31)-1</f>
        <v>281</v>
      </c>
      <c r="B31" s="55">
        <f>'Etape 1'!A27</f>
        <v>20</v>
      </c>
      <c r="C31" s="55">
        <f>'Etape 1'!B27</f>
        <v>0</v>
      </c>
      <c r="D31" s="55">
        <f>'Etape 1'!C27</f>
        <v>0</v>
      </c>
      <c r="E31" s="55">
        <f>'Etape 1'!D27</f>
        <v>0</v>
      </c>
      <c r="F31" s="55">
        <f>'Etape 1'!E27</f>
        <v>0</v>
      </c>
      <c r="G31" s="55">
        <f>'Etape 1'!F27</f>
        <v>0</v>
      </c>
      <c r="H31" s="55">
        <f>'Etape 1'!G27</f>
        <v>0</v>
      </c>
      <c r="I31" s="209">
        <v>1</v>
      </c>
      <c r="J31" s="58">
        <f t="shared" si="48"/>
        <v>0</v>
      </c>
      <c r="K31" s="21">
        <f t="shared" si="0"/>
        <v>0</v>
      </c>
      <c r="L31" s="21">
        <f t="shared" si="1"/>
        <v>0</v>
      </c>
      <c r="M31" s="21">
        <f t="shared" ca="1" si="2"/>
        <v>3</v>
      </c>
      <c r="N31" s="21">
        <f t="shared" ca="1" si="3"/>
        <v>3</v>
      </c>
      <c r="O31" s="21">
        <f t="shared" ca="1" si="4"/>
        <v>0</v>
      </c>
      <c r="P31" s="262" t="str">
        <f>IF('Etape 1'!J27=999,"",IF('Etape 1'!J27=9999,txt_Schritt1.Angaben.fehlen,VLOOKUP(N31,Matrix_1.2.3.Test.Punkte.ID.Beurteilung,4,1)))</f>
        <v/>
      </c>
      <c r="Q31" s="21">
        <f t="shared" ca="1" si="49"/>
        <v>0</v>
      </c>
      <c r="R31" s="136">
        <f t="shared" si="37"/>
        <v>20</v>
      </c>
      <c r="S31" s="136">
        <f t="shared" ca="1" si="5"/>
        <v>162.06644518272427</v>
      </c>
      <c r="T31" s="136">
        <f t="shared" ca="1" si="38"/>
        <v>750.06644518272424</v>
      </c>
      <c r="U31" s="136">
        <f t="shared" ca="1" si="39"/>
        <v>1224000.0664451828</v>
      </c>
      <c r="V31" s="211">
        <f t="shared" ca="1" si="40"/>
        <v>235406.25848950213</v>
      </c>
      <c r="W31" s="136">
        <f t="shared" ca="1" si="6"/>
        <v>20</v>
      </c>
      <c r="X31" s="136">
        <f t="shared" ca="1" si="7"/>
        <v>162.999000999001</v>
      </c>
      <c r="Y31" s="21">
        <f t="shared" si="8"/>
        <v>1</v>
      </c>
      <c r="Z31" s="21" t="str">
        <f t="shared" si="9"/>
        <v>&lt;IE0</v>
      </c>
      <c r="AA31" s="21">
        <f t="shared" si="10"/>
        <v>1</v>
      </c>
      <c r="AB31" s="21" t="str">
        <f t="shared" si="11"/>
        <v>a - "&lt; 1990 (Eff3)"</v>
      </c>
      <c r="AC31" s="21">
        <f t="shared" si="12"/>
        <v>999999</v>
      </c>
      <c r="AD31" s="21" t="str">
        <f t="shared" si="13"/>
        <v/>
      </c>
      <c r="AE31" s="21" t="str">
        <f t="shared" si="14"/>
        <v/>
      </c>
      <c r="AF31" s="21" t="str">
        <f t="shared" si="15"/>
        <v/>
      </c>
      <c r="AG31" s="21">
        <f t="shared" si="16"/>
        <v>0</v>
      </c>
      <c r="AH31" s="21">
        <f>IF('Etape 1'!H27=St.Wert_Hacken,1,0)</f>
        <v>0</v>
      </c>
      <c r="AI31" s="21">
        <f t="shared" si="41"/>
        <v>0</v>
      </c>
      <c r="AJ31" s="21">
        <f t="shared" si="17"/>
        <v>1000999</v>
      </c>
      <c r="AK31" s="58">
        <f t="shared" si="18"/>
        <v>1100</v>
      </c>
      <c r="AL31" s="58">
        <f t="shared" si="19"/>
        <v>440</v>
      </c>
      <c r="AM31" s="21">
        <f t="shared" si="20"/>
        <v>0</v>
      </c>
      <c r="AN31" s="58">
        <f t="shared" si="21"/>
        <v>1</v>
      </c>
      <c r="AO31" s="58" t="str">
        <f t="shared" si="22"/>
        <v>114</v>
      </c>
      <c r="AP31" s="58" t="str">
        <f t="shared" si="23"/>
        <v>164</v>
      </c>
      <c r="AQ31" s="21" t="e">
        <f t="shared" si="24"/>
        <v>#NUM!</v>
      </c>
      <c r="AR31" s="21" t="e">
        <f t="shared" si="25"/>
        <v>#NUM!</v>
      </c>
      <c r="AS31" s="136" t="e">
        <f t="shared" si="42"/>
        <v>#NUM!</v>
      </c>
      <c r="AT31" s="59" t="e">
        <f t="shared" si="26"/>
        <v>#NUM!</v>
      </c>
      <c r="AU31" s="21" t="e">
        <f t="shared" si="43"/>
        <v>#NUM!</v>
      </c>
      <c r="AV31" s="58">
        <f t="shared" si="27"/>
        <v>1500</v>
      </c>
      <c r="AW31" s="58">
        <f t="shared" si="28"/>
        <v>600</v>
      </c>
      <c r="AX31" s="60">
        <f t="shared" si="29"/>
        <v>0.11</v>
      </c>
      <c r="AY31" s="212">
        <f t="shared" si="44"/>
        <v>0</v>
      </c>
      <c r="AZ31" s="59">
        <f t="shared" si="30"/>
        <v>0</v>
      </c>
      <c r="BA31" s="21" t="e">
        <f t="shared" si="45"/>
        <v>#DIV/0!</v>
      </c>
      <c r="BB31" s="58">
        <f t="shared" si="31"/>
        <v>2900</v>
      </c>
      <c r="BC31" s="58">
        <f t="shared" si="32"/>
        <v>1160</v>
      </c>
      <c r="BD31" s="60">
        <f t="shared" si="33"/>
        <v>0.15</v>
      </c>
      <c r="BE31" s="212" t="e">
        <f t="shared" si="46"/>
        <v>#NUM!</v>
      </c>
      <c r="BF31" s="59" t="e">
        <f t="shared" si="34"/>
        <v>#NUM!</v>
      </c>
      <c r="BG31" s="21" t="e">
        <f t="shared" si="47"/>
        <v>#NUM!</v>
      </c>
      <c r="BH31" s="55">
        <f t="shared" ca="1" si="35"/>
        <v>0</v>
      </c>
    </row>
    <row r="32" spans="1:60" x14ac:dyDescent="0.2">
      <c r="A32" s="61">
        <f ca="1">RANK(W32,W$12:W$311,0)+COUNTIF(W$12:W32,W32)-1</f>
        <v>280</v>
      </c>
      <c r="B32" s="55">
        <f>'Etape 1'!A28</f>
        <v>21</v>
      </c>
      <c r="C32" s="55">
        <f>'Etape 1'!B28</f>
        <v>0</v>
      </c>
      <c r="D32" s="55">
        <f>'Etape 1'!C28</f>
        <v>0</v>
      </c>
      <c r="E32" s="55">
        <f>'Etape 1'!D28</f>
        <v>0</v>
      </c>
      <c r="F32" s="55">
        <f>'Etape 1'!E28</f>
        <v>0</v>
      </c>
      <c r="G32" s="55">
        <f>'Etape 1'!F28</f>
        <v>0</v>
      </c>
      <c r="H32" s="55">
        <f>'Etape 1'!G28</f>
        <v>0</v>
      </c>
      <c r="I32" s="209">
        <v>1</v>
      </c>
      <c r="J32" s="58">
        <f t="shared" si="48"/>
        <v>0</v>
      </c>
      <c r="K32" s="21">
        <f t="shared" si="0"/>
        <v>0</v>
      </c>
      <c r="L32" s="21">
        <f t="shared" si="1"/>
        <v>0</v>
      </c>
      <c r="M32" s="21">
        <f t="shared" ca="1" si="2"/>
        <v>3</v>
      </c>
      <c r="N32" s="21">
        <f t="shared" ca="1" si="3"/>
        <v>3</v>
      </c>
      <c r="O32" s="21">
        <f t="shared" ca="1" si="4"/>
        <v>0</v>
      </c>
      <c r="P32" s="262" t="str">
        <f>IF('Etape 1'!J28=999,"",IF('Etape 1'!J28=9999,txt_Schritt1.Angaben.fehlen,VLOOKUP(N32,Matrix_1.2.3.Test.Punkte.ID.Beurteilung,4,1)))</f>
        <v/>
      </c>
      <c r="Q32" s="21">
        <f t="shared" ca="1" si="49"/>
        <v>0</v>
      </c>
      <c r="R32" s="136">
        <f t="shared" si="37"/>
        <v>21</v>
      </c>
      <c r="S32" s="136">
        <f t="shared" ca="1" si="5"/>
        <v>162.06976744186048</v>
      </c>
      <c r="T32" s="136">
        <f t="shared" ca="1" si="38"/>
        <v>750.06976744186045</v>
      </c>
      <c r="U32" s="136">
        <f t="shared" ca="1" si="39"/>
        <v>1224000.0697674418</v>
      </c>
      <c r="V32" s="211">
        <f t="shared" ca="1" si="40"/>
        <v>235406.26181176127</v>
      </c>
      <c r="W32" s="136">
        <f t="shared" ca="1" si="6"/>
        <v>21</v>
      </c>
      <c r="X32" s="136">
        <f t="shared" ca="1" si="7"/>
        <v>162.999000999001</v>
      </c>
      <c r="Y32" s="21">
        <f t="shared" si="8"/>
        <v>1</v>
      </c>
      <c r="Z32" s="21" t="str">
        <f t="shared" si="9"/>
        <v>&lt;IE0</v>
      </c>
      <c r="AA32" s="21">
        <f t="shared" si="10"/>
        <v>1</v>
      </c>
      <c r="AB32" s="21" t="str">
        <f t="shared" si="11"/>
        <v>a - "&lt; 1990 (Eff3)"</v>
      </c>
      <c r="AC32" s="21">
        <f t="shared" si="12"/>
        <v>999999</v>
      </c>
      <c r="AD32" s="21" t="str">
        <f t="shared" si="13"/>
        <v/>
      </c>
      <c r="AE32" s="21" t="str">
        <f t="shared" si="14"/>
        <v/>
      </c>
      <c r="AF32" s="21" t="str">
        <f t="shared" si="15"/>
        <v/>
      </c>
      <c r="AG32" s="21">
        <f t="shared" si="16"/>
        <v>0</v>
      </c>
      <c r="AH32" s="21">
        <f>IF('Etape 1'!H28=St.Wert_Hacken,1,0)</f>
        <v>0</v>
      </c>
      <c r="AI32" s="21">
        <f t="shared" si="41"/>
        <v>0</v>
      </c>
      <c r="AJ32" s="21">
        <f t="shared" si="17"/>
        <v>1000999</v>
      </c>
      <c r="AK32" s="58">
        <f t="shared" si="18"/>
        <v>1100</v>
      </c>
      <c r="AL32" s="58">
        <f t="shared" si="19"/>
        <v>440</v>
      </c>
      <c r="AM32" s="21">
        <f t="shared" si="20"/>
        <v>0</v>
      </c>
      <c r="AN32" s="58">
        <f t="shared" si="21"/>
        <v>1</v>
      </c>
      <c r="AO32" s="58" t="str">
        <f t="shared" si="22"/>
        <v>114</v>
      </c>
      <c r="AP32" s="58" t="str">
        <f t="shared" si="23"/>
        <v>164</v>
      </c>
      <c r="AQ32" s="21" t="e">
        <f t="shared" si="24"/>
        <v>#NUM!</v>
      </c>
      <c r="AR32" s="21" t="e">
        <f t="shared" si="25"/>
        <v>#NUM!</v>
      </c>
      <c r="AS32" s="136" t="e">
        <f t="shared" si="42"/>
        <v>#NUM!</v>
      </c>
      <c r="AT32" s="59" t="e">
        <f t="shared" si="26"/>
        <v>#NUM!</v>
      </c>
      <c r="AU32" s="21" t="e">
        <f t="shared" si="43"/>
        <v>#NUM!</v>
      </c>
      <c r="AV32" s="58">
        <f t="shared" si="27"/>
        <v>1500</v>
      </c>
      <c r="AW32" s="58">
        <f t="shared" si="28"/>
        <v>600</v>
      </c>
      <c r="AX32" s="60">
        <f t="shared" si="29"/>
        <v>0.11</v>
      </c>
      <c r="AY32" s="212">
        <f t="shared" si="44"/>
        <v>0</v>
      </c>
      <c r="AZ32" s="59">
        <f t="shared" si="30"/>
        <v>0</v>
      </c>
      <c r="BA32" s="21" t="e">
        <f t="shared" si="45"/>
        <v>#DIV/0!</v>
      </c>
      <c r="BB32" s="58">
        <f t="shared" si="31"/>
        <v>2900</v>
      </c>
      <c r="BC32" s="58">
        <f t="shared" si="32"/>
        <v>1160</v>
      </c>
      <c r="BD32" s="60">
        <f t="shared" si="33"/>
        <v>0.15</v>
      </c>
      <c r="BE32" s="212" t="e">
        <f t="shared" si="46"/>
        <v>#NUM!</v>
      </c>
      <c r="BF32" s="59" t="e">
        <f t="shared" si="34"/>
        <v>#NUM!</v>
      </c>
      <c r="BG32" s="21" t="e">
        <f t="shared" si="47"/>
        <v>#NUM!</v>
      </c>
      <c r="BH32" s="55">
        <f t="shared" ca="1" si="35"/>
        <v>0</v>
      </c>
    </row>
    <row r="33" spans="1:60" x14ac:dyDescent="0.2">
      <c r="A33" s="61">
        <f ca="1">RANK(W33,W$12:W$311,0)+COUNTIF(W$12:W33,W33)-1</f>
        <v>279</v>
      </c>
      <c r="B33" s="55">
        <f>'Etape 1'!A29</f>
        <v>22</v>
      </c>
      <c r="C33" s="55">
        <f>'Etape 1'!B29</f>
        <v>0</v>
      </c>
      <c r="D33" s="55">
        <f>'Etape 1'!C29</f>
        <v>0</v>
      </c>
      <c r="E33" s="55">
        <f>'Etape 1'!D29</f>
        <v>0</v>
      </c>
      <c r="F33" s="55">
        <f>'Etape 1'!E29</f>
        <v>0</v>
      </c>
      <c r="G33" s="55">
        <f>'Etape 1'!F29</f>
        <v>0</v>
      </c>
      <c r="H33" s="55">
        <f>'Etape 1'!G29</f>
        <v>0</v>
      </c>
      <c r="I33" s="209">
        <v>1</v>
      </c>
      <c r="J33" s="58">
        <f t="shared" si="48"/>
        <v>0</v>
      </c>
      <c r="K33" s="21">
        <f t="shared" si="0"/>
        <v>0</v>
      </c>
      <c r="L33" s="21">
        <f t="shared" si="1"/>
        <v>0</v>
      </c>
      <c r="M33" s="21">
        <f t="shared" ca="1" si="2"/>
        <v>3</v>
      </c>
      <c r="N33" s="21">
        <f t="shared" ca="1" si="3"/>
        <v>3</v>
      </c>
      <c r="O33" s="21">
        <f t="shared" ca="1" si="4"/>
        <v>0</v>
      </c>
      <c r="P33" s="262" t="str">
        <f>IF('Etape 1'!J29=999,"",IF('Etape 1'!J29=9999,txt_Schritt1.Angaben.fehlen,VLOOKUP(N33,Matrix_1.2.3.Test.Punkte.ID.Beurteilung,4,1)))</f>
        <v/>
      </c>
      <c r="Q33" s="21">
        <f t="shared" ca="1" si="49"/>
        <v>0</v>
      </c>
      <c r="R33" s="136">
        <f t="shared" si="37"/>
        <v>22</v>
      </c>
      <c r="S33" s="136">
        <f t="shared" ca="1" si="5"/>
        <v>162.07308970099669</v>
      </c>
      <c r="T33" s="136">
        <f t="shared" ca="1" si="38"/>
        <v>750.07308970099666</v>
      </c>
      <c r="U33" s="136">
        <f t="shared" ca="1" si="39"/>
        <v>1224000.0730897009</v>
      </c>
      <c r="V33" s="211">
        <f t="shared" ca="1" si="40"/>
        <v>235406.26513402042</v>
      </c>
      <c r="W33" s="136">
        <f t="shared" ca="1" si="6"/>
        <v>22</v>
      </c>
      <c r="X33" s="136">
        <f t="shared" ca="1" si="7"/>
        <v>162.999000999001</v>
      </c>
      <c r="Y33" s="21">
        <f t="shared" si="8"/>
        <v>1</v>
      </c>
      <c r="Z33" s="21" t="str">
        <f t="shared" si="9"/>
        <v>&lt;IE0</v>
      </c>
      <c r="AA33" s="21">
        <f t="shared" si="10"/>
        <v>1</v>
      </c>
      <c r="AB33" s="21" t="str">
        <f t="shared" si="11"/>
        <v>a - "&lt; 1990 (Eff3)"</v>
      </c>
      <c r="AC33" s="21">
        <f t="shared" si="12"/>
        <v>999999</v>
      </c>
      <c r="AD33" s="21" t="str">
        <f t="shared" si="13"/>
        <v/>
      </c>
      <c r="AE33" s="21" t="str">
        <f t="shared" si="14"/>
        <v/>
      </c>
      <c r="AF33" s="21" t="str">
        <f t="shared" si="15"/>
        <v/>
      </c>
      <c r="AG33" s="21">
        <f t="shared" si="16"/>
        <v>0</v>
      </c>
      <c r="AH33" s="21">
        <f>IF('Etape 1'!H29=St.Wert_Hacken,1,0)</f>
        <v>0</v>
      </c>
      <c r="AI33" s="21">
        <f t="shared" si="41"/>
        <v>0</v>
      </c>
      <c r="AJ33" s="21">
        <f t="shared" si="17"/>
        <v>1000999</v>
      </c>
      <c r="AK33" s="58">
        <f t="shared" si="18"/>
        <v>1100</v>
      </c>
      <c r="AL33" s="58">
        <f t="shared" si="19"/>
        <v>440</v>
      </c>
      <c r="AM33" s="21">
        <f t="shared" si="20"/>
        <v>0</v>
      </c>
      <c r="AN33" s="58">
        <f t="shared" si="21"/>
        <v>1</v>
      </c>
      <c r="AO33" s="58" t="str">
        <f t="shared" si="22"/>
        <v>114</v>
      </c>
      <c r="AP33" s="58" t="str">
        <f t="shared" si="23"/>
        <v>164</v>
      </c>
      <c r="AQ33" s="21" t="e">
        <f t="shared" si="24"/>
        <v>#NUM!</v>
      </c>
      <c r="AR33" s="21" t="e">
        <f t="shared" si="25"/>
        <v>#NUM!</v>
      </c>
      <c r="AS33" s="136" t="e">
        <f t="shared" si="42"/>
        <v>#NUM!</v>
      </c>
      <c r="AT33" s="59" t="e">
        <f t="shared" si="26"/>
        <v>#NUM!</v>
      </c>
      <c r="AU33" s="21" t="e">
        <f t="shared" si="43"/>
        <v>#NUM!</v>
      </c>
      <c r="AV33" s="58">
        <f t="shared" si="27"/>
        <v>1500</v>
      </c>
      <c r="AW33" s="58">
        <f t="shared" si="28"/>
        <v>600</v>
      </c>
      <c r="AX33" s="60">
        <f t="shared" si="29"/>
        <v>0.11</v>
      </c>
      <c r="AY33" s="212">
        <f t="shared" si="44"/>
        <v>0</v>
      </c>
      <c r="AZ33" s="59">
        <f t="shared" si="30"/>
        <v>0</v>
      </c>
      <c r="BA33" s="21" t="e">
        <f t="shared" si="45"/>
        <v>#DIV/0!</v>
      </c>
      <c r="BB33" s="58">
        <f t="shared" si="31"/>
        <v>2900</v>
      </c>
      <c r="BC33" s="58">
        <f t="shared" si="32"/>
        <v>1160</v>
      </c>
      <c r="BD33" s="60">
        <f t="shared" si="33"/>
        <v>0.15</v>
      </c>
      <c r="BE33" s="212" t="e">
        <f t="shared" si="46"/>
        <v>#NUM!</v>
      </c>
      <c r="BF33" s="59" t="e">
        <f t="shared" si="34"/>
        <v>#NUM!</v>
      </c>
      <c r="BG33" s="21" t="e">
        <f t="shared" si="47"/>
        <v>#NUM!</v>
      </c>
      <c r="BH33" s="55">
        <f t="shared" ca="1" si="35"/>
        <v>0</v>
      </c>
    </row>
    <row r="34" spans="1:60" x14ac:dyDescent="0.2">
      <c r="A34" s="61">
        <f ca="1">RANK(W34,W$12:W$311,0)+COUNTIF(W$12:W34,W34)-1</f>
        <v>278</v>
      </c>
      <c r="B34" s="55">
        <f>'Etape 1'!A30</f>
        <v>23</v>
      </c>
      <c r="C34" s="55">
        <f>'Etape 1'!B30</f>
        <v>0</v>
      </c>
      <c r="D34" s="55">
        <f>'Etape 1'!C30</f>
        <v>0</v>
      </c>
      <c r="E34" s="55">
        <f>'Etape 1'!D30</f>
        <v>0</v>
      </c>
      <c r="F34" s="55">
        <f>'Etape 1'!E30</f>
        <v>0</v>
      </c>
      <c r="G34" s="55">
        <f>'Etape 1'!F30</f>
        <v>0</v>
      </c>
      <c r="H34" s="55">
        <f>'Etape 1'!G30</f>
        <v>0</v>
      </c>
      <c r="I34" s="209">
        <v>1</v>
      </c>
      <c r="J34" s="58">
        <f t="shared" si="48"/>
        <v>0</v>
      </c>
      <c r="K34" s="21">
        <f t="shared" si="0"/>
        <v>0</v>
      </c>
      <c r="L34" s="21">
        <f t="shared" si="1"/>
        <v>0</v>
      </c>
      <c r="M34" s="21">
        <f t="shared" ca="1" si="2"/>
        <v>3</v>
      </c>
      <c r="N34" s="21">
        <f t="shared" ca="1" si="3"/>
        <v>3</v>
      </c>
      <c r="O34" s="21">
        <f t="shared" ca="1" si="4"/>
        <v>0</v>
      </c>
      <c r="P34" s="262" t="str">
        <f>IF('Etape 1'!J30=999,"",IF('Etape 1'!J30=9999,txt_Schritt1.Angaben.fehlen,VLOOKUP(N34,Matrix_1.2.3.Test.Punkte.ID.Beurteilung,4,1)))</f>
        <v/>
      </c>
      <c r="Q34" s="21">
        <f t="shared" ca="1" si="49"/>
        <v>0</v>
      </c>
      <c r="R34" s="136">
        <f t="shared" si="37"/>
        <v>23</v>
      </c>
      <c r="S34" s="136">
        <f t="shared" ca="1" si="5"/>
        <v>162.0764119601329</v>
      </c>
      <c r="T34" s="136">
        <f t="shared" ca="1" si="38"/>
        <v>750.07641196013287</v>
      </c>
      <c r="U34" s="136">
        <f t="shared" ca="1" si="39"/>
        <v>1224000.0764119602</v>
      </c>
      <c r="V34" s="211">
        <f t="shared" ca="1" si="40"/>
        <v>235406.26845627953</v>
      </c>
      <c r="W34" s="136">
        <f t="shared" ca="1" si="6"/>
        <v>23</v>
      </c>
      <c r="X34" s="136">
        <f t="shared" ca="1" si="7"/>
        <v>162.999000999001</v>
      </c>
      <c r="Y34" s="21">
        <f t="shared" si="8"/>
        <v>1</v>
      </c>
      <c r="Z34" s="21" t="str">
        <f t="shared" si="9"/>
        <v>&lt;IE0</v>
      </c>
      <c r="AA34" s="21">
        <f t="shared" si="10"/>
        <v>1</v>
      </c>
      <c r="AB34" s="21" t="str">
        <f t="shared" si="11"/>
        <v>a - "&lt; 1990 (Eff3)"</v>
      </c>
      <c r="AC34" s="21">
        <f t="shared" si="12"/>
        <v>999999</v>
      </c>
      <c r="AD34" s="21" t="str">
        <f t="shared" si="13"/>
        <v/>
      </c>
      <c r="AE34" s="21" t="str">
        <f t="shared" si="14"/>
        <v/>
      </c>
      <c r="AF34" s="21" t="str">
        <f t="shared" si="15"/>
        <v/>
      </c>
      <c r="AG34" s="21">
        <f t="shared" si="16"/>
        <v>0</v>
      </c>
      <c r="AH34" s="21">
        <f>IF('Etape 1'!H30=St.Wert_Hacken,1,0)</f>
        <v>0</v>
      </c>
      <c r="AI34" s="21">
        <f t="shared" si="41"/>
        <v>0</v>
      </c>
      <c r="AJ34" s="21">
        <f t="shared" si="17"/>
        <v>1000999</v>
      </c>
      <c r="AK34" s="58">
        <f t="shared" si="18"/>
        <v>1100</v>
      </c>
      <c r="AL34" s="58">
        <f t="shared" si="19"/>
        <v>440</v>
      </c>
      <c r="AM34" s="21">
        <f t="shared" si="20"/>
        <v>0</v>
      </c>
      <c r="AN34" s="58">
        <f t="shared" si="21"/>
        <v>1</v>
      </c>
      <c r="AO34" s="58" t="str">
        <f t="shared" si="22"/>
        <v>114</v>
      </c>
      <c r="AP34" s="58" t="str">
        <f t="shared" si="23"/>
        <v>164</v>
      </c>
      <c r="AQ34" s="21" t="e">
        <f t="shared" si="24"/>
        <v>#NUM!</v>
      </c>
      <c r="AR34" s="21" t="e">
        <f t="shared" si="25"/>
        <v>#NUM!</v>
      </c>
      <c r="AS34" s="136" t="e">
        <f t="shared" si="42"/>
        <v>#NUM!</v>
      </c>
      <c r="AT34" s="59" t="e">
        <f t="shared" si="26"/>
        <v>#NUM!</v>
      </c>
      <c r="AU34" s="21" t="e">
        <f t="shared" si="43"/>
        <v>#NUM!</v>
      </c>
      <c r="AV34" s="58">
        <f t="shared" si="27"/>
        <v>1500</v>
      </c>
      <c r="AW34" s="58">
        <f t="shared" si="28"/>
        <v>600</v>
      </c>
      <c r="AX34" s="60">
        <f t="shared" si="29"/>
        <v>0.11</v>
      </c>
      <c r="AY34" s="212">
        <f t="shared" si="44"/>
        <v>0</v>
      </c>
      <c r="AZ34" s="59">
        <f t="shared" si="30"/>
        <v>0</v>
      </c>
      <c r="BA34" s="21" t="e">
        <f t="shared" si="45"/>
        <v>#DIV/0!</v>
      </c>
      <c r="BB34" s="58">
        <f t="shared" si="31"/>
        <v>2900</v>
      </c>
      <c r="BC34" s="58">
        <f t="shared" si="32"/>
        <v>1160</v>
      </c>
      <c r="BD34" s="60">
        <f t="shared" si="33"/>
        <v>0.15</v>
      </c>
      <c r="BE34" s="212" t="e">
        <f t="shared" si="46"/>
        <v>#NUM!</v>
      </c>
      <c r="BF34" s="59" t="e">
        <f t="shared" si="34"/>
        <v>#NUM!</v>
      </c>
      <c r="BG34" s="21" t="e">
        <f t="shared" si="47"/>
        <v>#NUM!</v>
      </c>
      <c r="BH34" s="55">
        <f t="shared" ca="1" si="35"/>
        <v>0</v>
      </c>
    </row>
    <row r="35" spans="1:60" x14ac:dyDescent="0.2">
      <c r="A35" s="61">
        <f ca="1">RANK(W35,W$12:W$311,0)+COUNTIF(W$12:W35,W35)-1</f>
        <v>277</v>
      </c>
      <c r="B35" s="55">
        <f>'Etape 1'!A31</f>
        <v>24</v>
      </c>
      <c r="C35" s="55">
        <f>'Etape 1'!B31</f>
        <v>0</v>
      </c>
      <c r="D35" s="55">
        <f>'Etape 1'!C31</f>
        <v>0</v>
      </c>
      <c r="E35" s="55">
        <f>'Etape 1'!D31</f>
        <v>0</v>
      </c>
      <c r="F35" s="55">
        <f>'Etape 1'!E31</f>
        <v>0</v>
      </c>
      <c r="G35" s="55">
        <f>'Etape 1'!F31</f>
        <v>0</v>
      </c>
      <c r="H35" s="55">
        <f>'Etape 1'!G31</f>
        <v>0</v>
      </c>
      <c r="I35" s="209">
        <v>1</v>
      </c>
      <c r="J35" s="58">
        <f t="shared" si="48"/>
        <v>0</v>
      </c>
      <c r="K35" s="21">
        <f t="shared" si="0"/>
        <v>0</v>
      </c>
      <c r="L35" s="21">
        <f t="shared" si="1"/>
        <v>0</v>
      </c>
      <c r="M35" s="21">
        <f t="shared" ca="1" si="2"/>
        <v>3</v>
      </c>
      <c r="N35" s="21">
        <f t="shared" ca="1" si="3"/>
        <v>3</v>
      </c>
      <c r="O35" s="21">
        <f t="shared" ca="1" si="4"/>
        <v>0</v>
      </c>
      <c r="P35" s="262" t="str">
        <f>IF('Etape 1'!J31=999,"",IF('Etape 1'!J31=9999,txt_Schritt1.Angaben.fehlen,VLOOKUP(N35,Matrix_1.2.3.Test.Punkte.ID.Beurteilung,4,1)))</f>
        <v/>
      </c>
      <c r="Q35" s="21">
        <f t="shared" ca="1" si="49"/>
        <v>0</v>
      </c>
      <c r="R35" s="136">
        <f t="shared" si="37"/>
        <v>24</v>
      </c>
      <c r="S35" s="136">
        <f t="shared" ca="1" si="5"/>
        <v>162.07973421926911</v>
      </c>
      <c r="T35" s="136">
        <f t="shared" ca="1" si="38"/>
        <v>750.07973421926908</v>
      </c>
      <c r="U35" s="136">
        <f t="shared" ca="1" si="39"/>
        <v>1224000.0797342192</v>
      </c>
      <c r="V35" s="211">
        <f t="shared" ca="1" si="40"/>
        <v>235406.27177853868</v>
      </c>
      <c r="W35" s="136">
        <f t="shared" ca="1" si="6"/>
        <v>24</v>
      </c>
      <c r="X35" s="136">
        <f t="shared" ca="1" si="7"/>
        <v>162.999000999001</v>
      </c>
      <c r="Y35" s="21">
        <f t="shared" si="8"/>
        <v>1</v>
      </c>
      <c r="Z35" s="21" t="str">
        <f t="shared" si="9"/>
        <v>&lt;IE0</v>
      </c>
      <c r="AA35" s="21">
        <f t="shared" si="10"/>
        <v>1</v>
      </c>
      <c r="AB35" s="21" t="str">
        <f t="shared" si="11"/>
        <v>a - "&lt; 1990 (Eff3)"</v>
      </c>
      <c r="AC35" s="21">
        <f t="shared" si="12"/>
        <v>999999</v>
      </c>
      <c r="AD35" s="21" t="str">
        <f t="shared" si="13"/>
        <v/>
      </c>
      <c r="AE35" s="21" t="str">
        <f t="shared" si="14"/>
        <v/>
      </c>
      <c r="AF35" s="21" t="str">
        <f t="shared" si="15"/>
        <v/>
      </c>
      <c r="AG35" s="21">
        <f t="shared" si="16"/>
        <v>0</v>
      </c>
      <c r="AH35" s="21">
        <f>IF('Etape 1'!H31=St.Wert_Hacken,1,0)</f>
        <v>0</v>
      </c>
      <c r="AI35" s="21">
        <f t="shared" si="41"/>
        <v>0</v>
      </c>
      <c r="AJ35" s="21">
        <f t="shared" si="17"/>
        <v>1000999</v>
      </c>
      <c r="AK35" s="58">
        <f t="shared" si="18"/>
        <v>1100</v>
      </c>
      <c r="AL35" s="58">
        <f t="shared" si="19"/>
        <v>440</v>
      </c>
      <c r="AM35" s="21">
        <f t="shared" si="20"/>
        <v>0</v>
      </c>
      <c r="AN35" s="58">
        <f t="shared" si="21"/>
        <v>1</v>
      </c>
      <c r="AO35" s="58" t="str">
        <f t="shared" si="22"/>
        <v>114</v>
      </c>
      <c r="AP35" s="58" t="str">
        <f t="shared" si="23"/>
        <v>164</v>
      </c>
      <c r="AQ35" s="21" t="e">
        <f t="shared" si="24"/>
        <v>#NUM!</v>
      </c>
      <c r="AR35" s="21" t="e">
        <f t="shared" si="25"/>
        <v>#NUM!</v>
      </c>
      <c r="AS35" s="136" t="e">
        <f t="shared" si="42"/>
        <v>#NUM!</v>
      </c>
      <c r="AT35" s="59" t="e">
        <f t="shared" si="26"/>
        <v>#NUM!</v>
      </c>
      <c r="AU35" s="21" t="e">
        <f t="shared" si="43"/>
        <v>#NUM!</v>
      </c>
      <c r="AV35" s="58">
        <f t="shared" si="27"/>
        <v>1500</v>
      </c>
      <c r="AW35" s="58">
        <f t="shared" si="28"/>
        <v>600</v>
      </c>
      <c r="AX35" s="60">
        <f t="shared" si="29"/>
        <v>0.11</v>
      </c>
      <c r="AY35" s="212">
        <f t="shared" si="44"/>
        <v>0</v>
      </c>
      <c r="AZ35" s="59">
        <f t="shared" si="30"/>
        <v>0</v>
      </c>
      <c r="BA35" s="21" t="e">
        <f t="shared" si="45"/>
        <v>#DIV/0!</v>
      </c>
      <c r="BB35" s="58">
        <f t="shared" si="31"/>
        <v>2900</v>
      </c>
      <c r="BC35" s="58">
        <f t="shared" si="32"/>
        <v>1160</v>
      </c>
      <c r="BD35" s="60">
        <f t="shared" si="33"/>
        <v>0.15</v>
      </c>
      <c r="BE35" s="212" t="e">
        <f t="shared" si="46"/>
        <v>#NUM!</v>
      </c>
      <c r="BF35" s="59" t="e">
        <f t="shared" si="34"/>
        <v>#NUM!</v>
      </c>
      <c r="BG35" s="21" t="e">
        <f t="shared" si="47"/>
        <v>#NUM!</v>
      </c>
      <c r="BH35" s="55">
        <f t="shared" ca="1" si="35"/>
        <v>0</v>
      </c>
    </row>
    <row r="36" spans="1:60" x14ac:dyDescent="0.2">
      <c r="A36" s="61">
        <f ca="1">RANK(W36,W$12:W$311,0)+COUNTIF(W$12:W36,W36)-1</f>
        <v>276</v>
      </c>
      <c r="B36" s="55">
        <f>'Etape 1'!A32</f>
        <v>25</v>
      </c>
      <c r="C36" s="55">
        <f>'Etape 1'!B32</f>
        <v>0</v>
      </c>
      <c r="D36" s="55">
        <f>'Etape 1'!C32</f>
        <v>0</v>
      </c>
      <c r="E36" s="55">
        <f>'Etape 1'!D32</f>
        <v>0</v>
      </c>
      <c r="F36" s="55">
        <f>'Etape 1'!E32</f>
        <v>0</v>
      </c>
      <c r="G36" s="55">
        <f>'Etape 1'!F32</f>
        <v>0</v>
      </c>
      <c r="H36" s="55">
        <f>'Etape 1'!G32</f>
        <v>0</v>
      </c>
      <c r="I36" s="209">
        <v>1</v>
      </c>
      <c r="J36" s="58">
        <f t="shared" si="48"/>
        <v>0</v>
      </c>
      <c r="K36" s="21">
        <f t="shared" si="0"/>
        <v>0</v>
      </c>
      <c r="L36" s="21">
        <f t="shared" si="1"/>
        <v>0</v>
      </c>
      <c r="M36" s="21">
        <f t="shared" ca="1" si="2"/>
        <v>3</v>
      </c>
      <c r="N36" s="21">
        <f t="shared" ca="1" si="3"/>
        <v>3</v>
      </c>
      <c r="O36" s="21">
        <f t="shared" ca="1" si="4"/>
        <v>0</v>
      </c>
      <c r="P36" s="262" t="str">
        <f>IF('Etape 1'!J32=999,"",IF('Etape 1'!J32=9999,txt_Schritt1.Angaben.fehlen,VLOOKUP(N36,Matrix_1.2.3.Test.Punkte.ID.Beurteilung,4,1)))</f>
        <v/>
      </c>
      <c r="Q36" s="21">
        <f t="shared" ca="1" si="49"/>
        <v>0</v>
      </c>
      <c r="R36" s="136">
        <f t="shared" si="37"/>
        <v>25</v>
      </c>
      <c r="S36" s="136">
        <f t="shared" ca="1" si="5"/>
        <v>162.08305647840533</v>
      </c>
      <c r="T36" s="136">
        <f t="shared" ca="1" si="38"/>
        <v>750.0830564784053</v>
      </c>
      <c r="U36" s="136">
        <f t="shared" ca="1" si="39"/>
        <v>1224000.0830564783</v>
      </c>
      <c r="V36" s="211">
        <f t="shared" ca="1" si="40"/>
        <v>235406.27510079782</v>
      </c>
      <c r="W36" s="136">
        <f t="shared" ca="1" si="6"/>
        <v>25</v>
      </c>
      <c r="X36" s="136">
        <f t="shared" ca="1" si="7"/>
        <v>162.999000999001</v>
      </c>
      <c r="Y36" s="21">
        <f t="shared" si="8"/>
        <v>1</v>
      </c>
      <c r="Z36" s="21" t="str">
        <f t="shared" si="9"/>
        <v>&lt;IE0</v>
      </c>
      <c r="AA36" s="21">
        <f t="shared" si="10"/>
        <v>1</v>
      </c>
      <c r="AB36" s="21" t="str">
        <f t="shared" si="11"/>
        <v>a - "&lt; 1990 (Eff3)"</v>
      </c>
      <c r="AC36" s="21">
        <f t="shared" si="12"/>
        <v>999999</v>
      </c>
      <c r="AD36" s="21" t="str">
        <f t="shared" si="13"/>
        <v/>
      </c>
      <c r="AE36" s="21" t="str">
        <f t="shared" si="14"/>
        <v/>
      </c>
      <c r="AF36" s="21" t="str">
        <f t="shared" si="15"/>
        <v/>
      </c>
      <c r="AG36" s="21">
        <f t="shared" si="16"/>
        <v>0</v>
      </c>
      <c r="AH36" s="21">
        <f>IF('Etape 1'!H32=St.Wert_Hacken,1,0)</f>
        <v>0</v>
      </c>
      <c r="AI36" s="21">
        <f t="shared" si="41"/>
        <v>0</v>
      </c>
      <c r="AJ36" s="21">
        <f t="shared" si="17"/>
        <v>1000999</v>
      </c>
      <c r="AK36" s="58">
        <f t="shared" si="18"/>
        <v>1100</v>
      </c>
      <c r="AL36" s="58">
        <f t="shared" si="19"/>
        <v>440</v>
      </c>
      <c r="AM36" s="21">
        <f t="shared" si="20"/>
        <v>0</v>
      </c>
      <c r="AN36" s="58">
        <f t="shared" si="21"/>
        <v>1</v>
      </c>
      <c r="AO36" s="58" t="str">
        <f t="shared" si="22"/>
        <v>114</v>
      </c>
      <c r="AP36" s="58" t="str">
        <f t="shared" si="23"/>
        <v>164</v>
      </c>
      <c r="AQ36" s="21" t="e">
        <f t="shared" si="24"/>
        <v>#NUM!</v>
      </c>
      <c r="AR36" s="21" t="e">
        <f t="shared" si="25"/>
        <v>#NUM!</v>
      </c>
      <c r="AS36" s="136" t="e">
        <f t="shared" si="42"/>
        <v>#NUM!</v>
      </c>
      <c r="AT36" s="59" t="e">
        <f t="shared" si="26"/>
        <v>#NUM!</v>
      </c>
      <c r="AU36" s="21" t="e">
        <f t="shared" si="43"/>
        <v>#NUM!</v>
      </c>
      <c r="AV36" s="58">
        <f t="shared" si="27"/>
        <v>1500</v>
      </c>
      <c r="AW36" s="58">
        <f t="shared" si="28"/>
        <v>600</v>
      </c>
      <c r="AX36" s="60">
        <f t="shared" si="29"/>
        <v>0.11</v>
      </c>
      <c r="AY36" s="212">
        <f t="shared" si="44"/>
        <v>0</v>
      </c>
      <c r="AZ36" s="59">
        <f t="shared" si="30"/>
        <v>0</v>
      </c>
      <c r="BA36" s="21" t="e">
        <f t="shared" si="45"/>
        <v>#DIV/0!</v>
      </c>
      <c r="BB36" s="58">
        <f t="shared" si="31"/>
        <v>2900</v>
      </c>
      <c r="BC36" s="58">
        <f t="shared" si="32"/>
        <v>1160</v>
      </c>
      <c r="BD36" s="60">
        <f t="shared" si="33"/>
        <v>0.15</v>
      </c>
      <c r="BE36" s="212" t="e">
        <f t="shared" si="46"/>
        <v>#NUM!</v>
      </c>
      <c r="BF36" s="59" t="e">
        <f t="shared" si="34"/>
        <v>#NUM!</v>
      </c>
      <c r="BG36" s="21" t="e">
        <f t="shared" si="47"/>
        <v>#NUM!</v>
      </c>
      <c r="BH36" s="55">
        <f t="shared" ca="1" si="35"/>
        <v>0</v>
      </c>
    </row>
    <row r="37" spans="1:60" x14ac:dyDescent="0.2">
      <c r="A37" s="61">
        <f ca="1">RANK(W37,W$12:W$311,0)+COUNTIF(W$12:W37,W37)-1</f>
        <v>275</v>
      </c>
      <c r="B37" s="55">
        <f>'Etape 1'!A33</f>
        <v>26</v>
      </c>
      <c r="C37" s="55">
        <f>'Etape 1'!B33</f>
        <v>0</v>
      </c>
      <c r="D37" s="55">
        <f>'Etape 1'!C33</f>
        <v>0</v>
      </c>
      <c r="E37" s="55">
        <f>'Etape 1'!D33</f>
        <v>0</v>
      </c>
      <c r="F37" s="55">
        <f>'Etape 1'!E33</f>
        <v>0</v>
      </c>
      <c r="G37" s="55">
        <f>'Etape 1'!F33</f>
        <v>0</v>
      </c>
      <c r="H37" s="55">
        <f>'Etape 1'!G33</f>
        <v>0</v>
      </c>
      <c r="I37" s="209">
        <v>1</v>
      </c>
      <c r="J37" s="58">
        <f t="shared" si="48"/>
        <v>0</v>
      </c>
      <c r="K37" s="21">
        <f t="shared" si="0"/>
        <v>0</v>
      </c>
      <c r="L37" s="21">
        <f t="shared" si="1"/>
        <v>0</v>
      </c>
      <c r="M37" s="21">
        <f t="shared" ca="1" si="2"/>
        <v>3</v>
      </c>
      <c r="N37" s="21">
        <f t="shared" ca="1" si="3"/>
        <v>3</v>
      </c>
      <c r="O37" s="21">
        <f t="shared" ca="1" si="4"/>
        <v>0</v>
      </c>
      <c r="P37" s="262" t="str">
        <f>IF('Etape 1'!J33=999,"",IF('Etape 1'!J33=9999,txt_Schritt1.Angaben.fehlen,VLOOKUP(N37,Matrix_1.2.3.Test.Punkte.ID.Beurteilung,4,1)))</f>
        <v/>
      </c>
      <c r="Q37" s="21">
        <f t="shared" ca="1" si="49"/>
        <v>0</v>
      </c>
      <c r="R37" s="136">
        <f t="shared" si="37"/>
        <v>26</v>
      </c>
      <c r="S37" s="136">
        <f t="shared" ca="1" si="5"/>
        <v>162.08637873754154</v>
      </c>
      <c r="T37" s="136">
        <f t="shared" ca="1" si="38"/>
        <v>750.08637873754151</v>
      </c>
      <c r="U37" s="136">
        <f t="shared" ca="1" si="39"/>
        <v>1224000.0863787376</v>
      </c>
      <c r="V37" s="211">
        <f t="shared" ca="1" si="40"/>
        <v>235406.27842305694</v>
      </c>
      <c r="W37" s="136">
        <f t="shared" ca="1" si="6"/>
        <v>26</v>
      </c>
      <c r="X37" s="136">
        <f t="shared" ca="1" si="7"/>
        <v>162.999000999001</v>
      </c>
      <c r="Y37" s="21">
        <f t="shared" si="8"/>
        <v>1</v>
      </c>
      <c r="Z37" s="21" t="str">
        <f t="shared" si="9"/>
        <v>&lt;IE0</v>
      </c>
      <c r="AA37" s="21">
        <f t="shared" si="10"/>
        <v>1</v>
      </c>
      <c r="AB37" s="21" t="str">
        <f t="shared" si="11"/>
        <v>a - "&lt; 1990 (Eff3)"</v>
      </c>
      <c r="AC37" s="21">
        <f t="shared" si="12"/>
        <v>999999</v>
      </c>
      <c r="AD37" s="21" t="str">
        <f t="shared" si="13"/>
        <v/>
      </c>
      <c r="AE37" s="21" t="str">
        <f t="shared" si="14"/>
        <v/>
      </c>
      <c r="AF37" s="21" t="str">
        <f t="shared" si="15"/>
        <v/>
      </c>
      <c r="AG37" s="21">
        <f t="shared" si="16"/>
        <v>0</v>
      </c>
      <c r="AH37" s="21">
        <f>IF('Etape 1'!H33=St.Wert_Hacken,1,0)</f>
        <v>0</v>
      </c>
      <c r="AI37" s="21">
        <f t="shared" si="41"/>
        <v>0</v>
      </c>
      <c r="AJ37" s="21">
        <f t="shared" si="17"/>
        <v>1000999</v>
      </c>
      <c r="AK37" s="58">
        <f t="shared" si="18"/>
        <v>1100</v>
      </c>
      <c r="AL37" s="58">
        <f t="shared" si="19"/>
        <v>440</v>
      </c>
      <c r="AM37" s="21">
        <f t="shared" si="20"/>
        <v>0</v>
      </c>
      <c r="AN37" s="58">
        <f t="shared" si="21"/>
        <v>1</v>
      </c>
      <c r="AO37" s="58" t="str">
        <f t="shared" si="22"/>
        <v>114</v>
      </c>
      <c r="AP37" s="58" t="str">
        <f t="shared" si="23"/>
        <v>164</v>
      </c>
      <c r="AQ37" s="21" t="e">
        <f t="shared" si="24"/>
        <v>#NUM!</v>
      </c>
      <c r="AR37" s="21" t="e">
        <f t="shared" si="25"/>
        <v>#NUM!</v>
      </c>
      <c r="AS37" s="136" t="e">
        <f t="shared" si="42"/>
        <v>#NUM!</v>
      </c>
      <c r="AT37" s="59" t="e">
        <f t="shared" si="26"/>
        <v>#NUM!</v>
      </c>
      <c r="AU37" s="21" t="e">
        <f t="shared" si="43"/>
        <v>#NUM!</v>
      </c>
      <c r="AV37" s="58">
        <f t="shared" si="27"/>
        <v>1500</v>
      </c>
      <c r="AW37" s="58">
        <f t="shared" si="28"/>
        <v>600</v>
      </c>
      <c r="AX37" s="60">
        <f t="shared" si="29"/>
        <v>0.11</v>
      </c>
      <c r="AY37" s="212">
        <f t="shared" si="44"/>
        <v>0</v>
      </c>
      <c r="AZ37" s="59">
        <f t="shared" si="30"/>
        <v>0</v>
      </c>
      <c r="BA37" s="21" t="e">
        <f t="shared" si="45"/>
        <v>#DIV/0!</v>
      </c>
      <c r="BB37" s="58">
        <f t="shared" si="31"/>
        <v>2900</v>
      </c>
      <c r="BC37" s="58">
        <f t="shared" si="32"/>
        <v>1160</v>
      </c>
      <c r="BD37" s="60">
        <f t="shared" si="33"/>
        <v>0.15</v>
      </c>
      <c r="BE37" s="212" t="e">
        <f t="shared" si="46"/>
        <v>#NUM!</v>
      </c>
      <c r="BF37" s="59" t="e">
        <f t="shared" si="34"/>
        <v>#NUM!</v>
      </c>
      <c r="BG37" s="21" t="e">
        <f t="shared" si="47"/>
        <v>#NUM!</v>
      </c>
      <c r="BH37" s="55">
        <f t="shared" ca="1" si="35"/>
        <v>0</v>
      </c>
    </row>
    <row r="38" spans="1:60" x14ac:dyDescent="0.2">
      <c r="A38" s="61">
        <f ca="1">RANK(W38,W$12:W$311,0)+COUNTIF(W$12:W38,W38)-1</f>
        <v>274</v>
      </c>
      <c r="B38" s="55">
        <f>'Etape 1'!A34</f>
        <v>27</v>
      </c>
      <c r="C38" s="55">
        <f>'Etape 1'!B34</f>
        <v>0</v>
      </c>
      <c r="D38" s="55">
        <f>'Etape 1'!C34</f>
        <v>0</v>
      </c>
      <c r="E38" s="55">
        <f>'Etape 1'!D34</f>
        <v>0</v>
      </c>
      <c r="F38" s="55">
        <f>'Etape 1'!E34</f>
        <v>0</v>
      </c>
      <c r="G38" s="55">
        <f>'Etape 1'!F34</f>
        <v>0</v>
      </c>
      <c r="H38" s="55">
        <f>'Etape 1'!G34</f>
        <v>0</v>
      </c>
      <c r="I38" s="209">
        <v>1</v>
      </c>
      <c r="J38" s="58">
        <f t="shared" si="48"/>
        <v>0</v>
      </c>
      <c r="K38" s="21">
        <f t="shared" si="0"/>
        <v>0</v>
      </c>
      <c r="L38" s="21">
        <f t="shared" si="1"/>
        <v>0</v>
      </c>
      <c r="M38" s="21">
        <f t="shared" ca="1" si="2"/>
        <v>3</v>
      </c>
      <c r="N38" s="21">
        <f t="shared" ca="1" si="3"/>
        <v>3</v>
      </c>
      <c r="O38" s="21">
        <f t="shared" ca="1" si="4"/>
        <v>0</v>
      </c>
      <c r="P38" s="262" t="str">
        <f>IF('Etape 1'!J34=999,"",IF('Etape 1'!J34=9999,txt_Schritt1.Angaben.fehlen,VLOOKUP(N38,Matrix_1.2.3.Test.Punkte.ID.Beurteilung,4,1)))</f>
        <v/>
      </c>
      <c r="Q38" s="21">
        <f t="shared" ca="1" si="49"/>
        <v>0</v>
      </c>
      <c r="R38" s="136">
        <f t="shared" si="37"/>
        <v>27</v>
      </c>
      <c r="S38" s="136">
        <f t="shared" ca="1" si="5"/>
        <v>162.08970099667775</v>
      </c>
      <c r="T38" s="136">
        <f t="shared" ca="1" si="38"/>
        <v>750.08970099667772</v>
      </c>
      <c r="U38" s="136">
        <f t="shared" ca="1" si="39"/>
        <v>1224000.0897009966</v>
      </c>
      <c r="V38" s="211">
        <f t="shared" ca="1" si="40"/>
        <v>235406.28174531608</v>
      </c>
      <c r="W38" s="136">
        <f t="shared" ca="1" si="6"/>
        <v>27</v>
      </c>
      <c r="X38" s="136">
        <f t="shared" ca="1" si="7"/>
        <v>162.999000999001</v>
      </c>
      <c r="Y38" s="21">
        <f t="shared" si="8"/>
        <v>1</v>
      </c>
      <c r="Z38" s="21" t="str">
        <f t="shared" si="9"/>
        <v>&lt;IE0</v>
      </c>
      <c r="AA38" s="21">
        <f t="shared" si="10"/>
        <v>1</v>
      </c>
      <c r="AB38" s="21" t="str">
        <f t="shared" si="11"/>
        <v>a - "&lt; 1990 (Eff3)"</v>
      </c>
      <c r="AC38" s="21">
        <f t="shared" si="12"/>
        <v>999999</v>
      </c>
      <c r="AD38" s="21" t="str">
        <f t="shared" si="13"/>
        <v/>
      </c>
      <c r="AE38" s="21" t="str">
        <f t="shared" si="14"/>
        <v/>
      </c>
      <c r="AF38" s="21" t="str">
        <f t="shared" si="15"/>
        <v/>
      </c>
      <c r="AG38" s="21">
        <f t="shared" si="16"/>
        <v>0</v>
      </c>
      <c r="AH38" s="21">
        <f>IF('Etape 1'!H34=St.Wert_Hacken,1,0)</f>
        <v>0</v>
      </c>
      <c r="AI38" s="21">
        <f t="shared" si="41"/>
        <v>0</v>
      </c>
      <c r="AJ38" s="21">
        <f t="shared" si="17"/>
        <v>1000999</v>
      </c>
      <c r="AK38" s="58">
        <f t="shared" si="18"/>
        <v>1100</v>
      </c>
      <c r="AL38" s="58">
        <f t="shared" si="19"/>
        <v>440</v>
      </c>
      <c r="AM38" s="21">
        <f t="shared" si="20"/>
        <v>0</v>
      </c>
      <c r="AN38" s="58">
        <f t="shared" si="21"/>
        <v>1</v>
      </c>
      <c r="AO38" s="58" t="str">
        <f t="shared" si="22"/>
        <v>114</v>
      </c>
      <c r="AP38" s="58" t="str">
        <f t="shared" si="23"/>
        <v>164</v>
      </c>
      <c r="AQ38" s="21" t="e">
        <f t="shared" si="24"/>
        <v>#NUM!</v>
      </c>
      <c r="AR38" s="21" t="e">
        <f t="shared" si="25"/>
        <v>#NUM!</v>
      </c>
      <c r="AS38" s="136" t="e">
        <f t="shared" si="42"/>
        <v>#NUM!</v>
      </c>
      <c r="AT38" s="59" t="e">
        <f t="shared" si="26"/>
        <v>#NUM!</v>
      </c>
      <c r="AU38" s="21" t="e">
        <f t="shared" si="43"/>
        <v>#NUM!</v>
      </c>
      <c r="AV38" s="58">
        <f t="shared" si="27"/>
        <v>1500</v>
      </c>
      <c r="AW38" s="58">
        <f t="shared" si="28"/>
        <v>600</v>
      </c>
      <c r="AX38" s="60">
        <f t="shared" si="29"/>
        <v>0.11</v>
      </c>
      <c r="AY38" s="212">
        <f t="shared" si="44"/>
        <v>0</v>
      </c>
      <c r="AZ38" s="59">
        <f t="shared" si="30"/>
        <v>0</v>
      </c>
      <c r="BA38" s="21" t="e">
        <f t="shared" si="45"/>
        <v>#DIV/0!</v>
      </c>
      <c r="BB38" s="58">
        <f t="shared" si="31"/>
        <v>2900</v>
      </c>
      <c r="BC38" s="58">
        <f t="shared" si="32"/>
        <v>1160</v>
      </c>
      <c r="BD38" s="60">
        <f t="shared" si="33"/>
        <v>0.15</v>
      </c>
      <c r="BE38" s="212" t="e">
        <f t="shared" si="46"/>
        <v>#NUM!</v>
      </c>
      <c r="BF38" s="59" t="e">
        <f t="shared" si="34"/>
        <v>#NUM!</v>
      </c>
      <c r="BG38" s="21" t="e">
        <f t="shared" si="47"/>
        <v>#NUM!</v>
      </c>
      <c r="BH38" s="55">
        <f t="shared" ca="1" si="35"/>
        <v>0</v>
      </c>
    </row>
    <row r="39" spans="1:60" x14ac:dyDescent="0.2">
      <c r="A39" s="61">
        <f ca="1">RANK(W39,W$12:W$311,0)+COUNTIF(W$12:W39,W39)-1</f>
        <v>273</v>
      </c>
      <c r="B39" s="55">
        <f>'Etape 1'!A35</f>
        <v>28</v>
      </c>
      <c r="C39" s="55">
        <f>'Etape 1'!B35</f>
        <v>0</v>
      </c>
      <c r="D39" s="55">
        <f>'Etape 1'!C35</f>
        <v>0</v>
      </c>
      <c r="E39" s="55">
        <f>'Etape 1'!D35</f>
        <v>0</v>
      </c>
      <c r="F39" s="55">
        <f>'Etape 1'!E35</f>
        <v>0</v>
      </c>
      <c r="G39" s="55">
        <f>'Etape 1'!F35</f>
        <v>0</v>
      </c>
      <c r="H39" s="55">
        <f>'Etape 1'!G35</f>
        <v>0</v>
      </c>
      <c r="I39" s="209">
        <v>1</v>
      </c>
      <c r="J39" s="58">
        <f t="shared" si="48"/>
        <v>0</v>
      </c>
      <c r="K39" s="21">
        <f t="shared" si="0"/>
        <v>0</v>
      </c>
      <c r="L39" s="21">
        <f t="shared" si="1"/>
        <v>0</v>
      </c>
      <c r="M39" s="21">
        <f t="shared" ca="1" si="2"/>
        <v>3</v>
      </c>
      <c r="N39" s="21">
        <f t="shared" ca="1" si="3"/>
        <v>3</v>
      </c>
      <c r="O39" s="21">
        <f t="shared" ca="1" si="4"/>
        <v>0</v>
      </c>
      <c r="P39" s="262" t="str">
        <f>IF('Etape 1'!J35=999,"",IF('Etape 1'!J35=9999,txt_Schritt1.Angaben.fehlen,VLOOKUP(N39,Matrix_1.2.3.Test.Punkte.ID.Beurteilung,4,1)))</f>
        <v/>
      </c>
      <c r="Q39" s="21">
        <f t="shared" ca="1" si="49"/>
        <v>0</v>
      </c>
      <c r="R39" s="136">
        <f t="shared" si="37"/>
        <v>28</v>
      </c>
      <c r="S39" s="136">
        <f t="shared" ca="1" si="5"/>
        <v>162.09302325581396</v>
      </c>
      <c r="T39" s="136">
        <f t="shared" ca="1" si="38"/>
        <v>750.09302325581393</v>
      </c>
      <c r="U39" s="136">
        <f t="shared" ca="1" si="39"/>
        <v>1224000.0930232557</v>
      </c>
      <c r="V39" s="211">
        <f t="shared" ca="1" si="40"/>
        <v>235406.28506757523</v>
      </c>
      <c r="W39" s="136">
        <f t="shared" ca="1" si="6"/>
        <v>28</v>
      </c>
      <c r="X39" s="136">
        <f t="shared" ca="1" si="7"/>
        <v>162.999000999001</v>
      </c>
      <c r="Y39" s="21">
        <f t="shared" si="8"/>
        <v>1</v>
      </c>
      <c r="Z39" s="21" t="str">
        <f t="shared" si="9"/>
        <v>&lt;IE0</v>
      </c>
      <c r="AA39" s="21">
        <f t="shared" si="10"/>
        <v>1</v>
      </c>
      <c r="AB39" s="21" t="str">
        <f t="shared" si="11"/>
        <v>a - "&lt; 1990 (Eff3)"</v>
      </c>
      <c r="AC39" s="21">
        <f t="shared" si="12"/>
        <v>999999</v>
      </c>
      <c r="AD39" s="21" t="str">
        <f t="shared" si="13"/>
        <v/>
      </c>
      <c r="AE39" s="21" t="str">
        <f t="shared" si="14"/>
        <v/>
      </c>
      <c r="AF39" s="21" t="str">
        <f t="shared" si="15"/>
        <v/>
      </c>
      <c r="AG39" s="21">
        <f t="shared" si="16"/>
        <v>0</v>
      </c>
      <c r="AH39" s="21">
        <f>IF('Etape 1'!H35=St.Wert_Hacken,1,0)</f>
        <v>0</v>
      </c>
      <c r="AI39" s="21">
        <f t="shared" si="41"/>
        <v>0</v>
      </c>
      <c r="AJ39" s="21">
        <f t="shared" si="17"/>
        <v>1000999</v>
      </c>
      <c r="AK39" s="58">
        <f t="shared" si="18"/>
        <v>1100</v>
      </c>
      <c r="AL39" s="58">
        <f t="shared" si="19"/>
        <v>440</v>
      </c>
      <c r="AM39" s="21">
        <f t="shared" si="20"/>
        <v>0</v>
      </c>
      <c r="AN39" s="58">
        <f t="shared" si="21"/>
        <v>1</v>
      </c>
      <c r="AO39" s="58" t="str">
        <f t="shared" si="22"/>
        <v>114</v>
      </c>
      <c r="AP39" s="58" t="str">
        <f t="shared" si="23"/>
        <v>164</v>
      </c>
      <c r="AQ39" s="21" t="e">
        <f t="shared" si="24"/>
        <v>#NUM!</v>
      </c>
      <c r="AR39" s="21" t="e">
        <f t="shared" si="25"/>
        <v>#NUM!</v>
      </c>
      <c r="AS39" s="136" t="e">
        <f t="shared" si="42"/>
        <v>#NUM!</v>
      </c>
      <c r="AT39" s="59" t="e">
        <f t="shared" si="26"/>
        <v>#NUM!</v>
      </c>
      <c r="AU39" s="21" t="e">
        <f t="shared" si="43"/>
        <v>#NUM!</v>
      </c>
      <c r="AV39" s="58">
        <f t="shared" si="27"/>
        <v>1500</v>
      </c>
      <c r="AW39" s="58">
        <f t="shared" si="28"/>
        <v>600</v>
      </c>
      <c r="AX39" s="60">
        <f t="shared" si="29"/>
        <v>0.11</v>
      </c>
      <c r="AY39" s="212">
        <f t="shared" si="44"/>
        <v>0</v>
      </c>
      <c r="AZ39" s="59">
        <f t="shared" si="30"/>
        <v>0</v>
      </c>
      <c r="BA39" s="21" t="e">
        <f t="shared" si="45"/>
        <v>#DIV/0!</v>
      </c>
      <c r="BB39" s="58">
        <f t="shared" si="31"/>
        <v>2900</v>
      </c>
      <c r="BC39" s="58">
        <f t="shared" si="32"/>
        <v>1160</v>
      </c>
      <c r="BD39" s="60">
        <f t="shared" si="33"/>
        <v>0.15</v>
      </c>
      <c r="BE39" s="212" t="e">
        <f t="shared" si="46"/>
        <v>#NUM!</v>
      </c>
      <c r="BF39" s="59" t="e">
        <f t="shared" si="34"/>
        <v>#NUM!</v>
      </c>
      <c r="BG39" s="21" t="e">
        <f t="shared" si="47"/>
        <v>#NUM!</v>
      </c>
      <c r="BH39" s="55">
        <f t="shared" ca="1" si="35"/>
        <v>0</v>
      </c>
    </row>
    <row r="40" spans="1:60" x14ac:dyDescent="0.2">
      <c r="A40" s="61">
        <f ca="1">RANK(W40,W$12:W$311,0)+COUNTIF(W$12:W40,W40)-1</f>
        <v>272</v>
      </c>
      <c r="B40" s="55">
        <f>'Etape 1'!A36</f>
        <v>29</v>
      </c>
      <c r="C40" s="55">
        <f>'Etape 1'!B36</f>
        <v>0</v>
      </c>
      <c r="D40" s="55">
        <f>'Etape 1'!C36</f>
        <v>0</v>
      </c>
      <c r="E40" s="55">
        <f>'Etape 1'!D36</f>
        <v>0</v>
      </c>
      <c r="F40" s="55">
        <f>'Etape 1'!E36</f>
        <v>0</v>
      </c>
      <c r="G40" s="55">
        <f>'Etape 1'!F36</f>
        <v>0</v>
      </c>
      <c r="H40" s="55">
        <f>'Etape 1'!G36</f>
        <v>0</v>
      </c>
      <c r="I40" s="209">
        <v>1</v>
      </c>
      <c r="J40" s="58">
        <f t="shared" si="48"/>
        <v>0</v>
      </c>
      <c r="K40" s="21">
        <f t="shared" si="0"/>
        <v>0</v>
      </c>
      <c r="L40" s="21">
        <f t="shared" si="1"/>
        <v>0</v>
      </c>
      <c r="M40" s="21">
        <f t="shared" ca="1" si="2"/>
        <v>3</v>
      </c>
      <c r="N40" s="21">
        <f t="shared" ca="1" si="3"/>
        <v>3</v>
      </c>
      <c r="O40" s="21">
        <f t="shared" ca="1" si="4"/>
        <v>0</v>
      </c>
      <c r="P40" s="262" t="str">
        <f>IF('Etape 1'!J36=999,"",IF('Etape 1'!J36=9999,txt_Schritt1.Angaben.fehlen,VLOOKUP(N40,Matrix_1.2.3.Test.Punkte.ID.Beurteilung,4,1)))</f>
        <v/>
      </c>
      <c r="Q40" s="21">
        <f t="shared" ca="1" si="49"/>
        <v>0</v>
      </c>
      <c r="R40" s="136">
        <f t="shared" si="37"/>
        <v>29</v>
      </c>
      <c r="S40" s="136">
        <f t="shared" ca="1" si="5"/>
        <v>162.09634551495017</v>
      </c>
      <c r="T40" s="136">
        <f t="shared" ca="1" si="38"/>
        <v>750.09634551495014</v>
      </c>
      <c r="U40" s="136">
        <f t="shared" ca="1" si="39"/>
        <v>1224000.096345515</v>
      </c>
      <c r="V40" s="211">
        <f t="shared" ca="1" si="40"/>
        <v>235406.28838983437</v>
      </c>
      <c r="W40" s="136">
        <f t="shared" ca="1" si="6"/>
        <v>29</v>
      </c>
      <c r="X40" s="136">
        <f t="shared" ca="1" si="7"/>
        <v>162.999000999001</v>
      </c>
      <c r="Y40" s="21">
        <f t="shared" si="8"/>
        <v>1</v>
      </c>
      <c r="Z40" s="21" t="str">
        <f t="shared" si="9"/>
        <v>&lt;IE0</v>
      </c>
      <c r="AA40" s="21">
        <f t="shared" si="10"/>
        <v>1</v>
      </c>
      <c r="AB40" s="21" t="str">
        <f t="shared" si="11"/>
        <v>a - "&lt; 1990 (Eff3)"</v>
      </c>
      <c r="AC40" s="21">
        <f t="shared" si="12"/>
        <v>999999</v>
      </c>
      <c r="AD40" s="21" t="str">
        <f t="shared" si="13"/>
        <v/>
      </c>
      <c r="AE40" s="21" t="str">
        <f t="shared" si="14"/>
        <v/>
      </c>
      <c r="AF40" s="21" t="str">
        <f t="shared" si="15"/>
        <v/>
      </c>
      <c r="AG40" s="21">
        <f t="shared" si="16"/>
        <v>0</v>
      </c>
      <c r="AH40" s="21">
        <f>IF('Etape 1'!H36=St.Wert_Hacken,1,0)</f>
        <v>0</v>
      </c>
      <c r="AI40" s="21">
        <f t="shared" si="41"/>
        <v>0</v>
      </c>
      <c r="AJ40" s="21">
        <f t="shared" si="17"/>
        <v>1000999</v>
      </c>
      <c r="AK40" s="58">
        <f t="shared" si="18"/>
        <v>1100</v>
      </c>
      <c r="AL40" s="58">
        <f t="shared" si="19"/>
        <v>440</v>
      </c>
      <c r="AM40" s="21">
        <f t="shared" si="20"/>
        <v>0</v>
      </c>
      <c r="AN40" s="58">
        <f t="shared" si="21"/>
        <v>1</v>
      </c>
      <c r="AO40" s="58" t="str">
        <f t="shared" si="22"/>
        <v>114</v>
      </c>
      <c r="AP40" s="58" t="str">
        <f t="shared" si="23"/>
        <v>164</v>
      </c>
      <c r="AQ40" s="21" t="e">
        <f t="shared" si="24"/>
        <v>#NUM!</v>
      </c>
      <c r="AR40" s="21" t="e">
        <f t="shared" si="25"/>
        <v>#NUM!</v>
      </c>
      <c r="AS40" s="136" t="e">
        <f t="shared" si="42"/>
        <v>#NUM!</v>
      </c>
      <c r="AT40" s="59" t="e">
        <f t="shared" si="26"/>
        <v>#NUM!</v>
      </c>
      <c r="AU40" s="21" t="e">
        <f t="shared" si="43"/>
        <v>#NUM!</v>
      </c>
      <c r="AV40" s="58">
        <f t="shared" si="27"/>
        <v>1500</v>
      </c>
      <c r="AW40" s="58">
        <f t="shared" si="28"/>
        <v>600</v>
      </c>
      <c r="AX40" s="60">
        <f t="shared" si="29"/>
        <v>0.11</v>
      </c>
      <c r="AY40" s="212">
        <f t="shared" si="44"/>
        <v>0</v>
      </c>
      <c r="AZ40" s="59">
        <f t="shared" si="30"/>
        <v>0</v>
      </c>
      <c r="BA40" s="21" t="e">
        <f t="shared" si="45"/>
        <v>#DIV/0!</v>
      </c>
      <c r="BB40" s="58">
        <f t="shared" si="31"/>
        <v>2900</v>
      </c>
      <c r="BC40" s="58">
        <f t="shared" si="32"/>
        <v>1160</v>
      </c>
      <c r="BD40" s="60">
        <f t="shared" si="33"/>
        <v>0.15</v>
      </c>
      <c r="BE40" s="212" t="e">
        <f t="shared" si="46"/>
        <v>#NUM!</v>
      </c>
      <c r="BF40" s="59" t="e">
        <f t="shared" si="34"/>
        <v>#NUM!</v>
      </c>
      <c r="BG40" s="21" t="e">
        <f t="shared" si="47"/>
        <v>#NUM!</v>
      </c>
      <c r="BH40" s="55">
        <f t="shared" ca="1" si="35"/>
        <v>0</v>
      </c>
    </row>
    <row r="41" spans="1:60" x14ac:dyDescent="0.2">
      <c r="A41" s="61">
        <f ca="1">RANK(W41,W$12:W$311,0)+COUNTIF(W$12:W41,W41)-1</f>
        <v>271</v>
      </c>
      <c r="B41" s="55">
        <f>'Etape 1'!A37</f>
        <v>30</v>
      </c>
      <c r="C41" s="55">
        <f>'Etape 1'!B37</f>
        <v>0</v>
      </c>
      <c r="D41" s="55">
        <f>'Etape 1'!C37</f>
        <v>0</v>
      </c>
      <c r="E41" s="55">
        <f>'Etape 1'!D37</f>
        <v>0</v>
      </c>
      <c r="F41" s="55">
        <f>'Etape 1'!E37</f>
        <v>0</v>
      </c>
      <c r="G41" s="55">
        <f>'Etape 1'!F37</f>
        <v>0</v>
      </c>
      <c r="H41" s="55">
        <f>'Etape 1'!G37</f>
        <v>0</v>
      </c>
      <c r="I41" s="209">
        <v>1</v>
      </c>
      <c r="J41" s="58">
        <f t="shared" si="48"/>
        <v>0</v>
      </c>
      <c r="K41" s="21">
        <f t="shared" si="0"/>
        <v>0</v>
      </c>
      <c r="L41" s="21">
        <f t="shared" si="1"/>
        <v>0</v>
      </c>
      <c r="M41" s="21">
        <f t="shared" ca="1" si="2"/>
        <v>3</v>
      </c>
      <c r="N41" s="21">
        <f t="shared" ca="1" si="3"/>
        <v>3</v>
      </c>
      <c r="O41" s="21">
        <f t="shared" ca="1" si="4"/>
        <v>0</v>
      </c>
      <c r="P41" s="262" t="str">
        <f>IF('Etape 1'!J37=999,"",IF('Etape 1'!J37=9999,txt_Schritt1.Angaben.fehlen,VLOOKUP(N41,Matrix_1.2.3.Test.Punkte.ID.Beurteilung,4,1)))</f>
        <v/>
      </c>
      <c r="Q41" s="21">
        <f t="shared" ca="1" si="49"/>
        <v>0</v>
      </c>
      <c r="R41" s="136">
        <f t="shared" si="37"/>
        <v>30</v>
      </c>
      <c r="S41" s="136">
        <f t="shared" ca="1" si="5"/>
        <v>162.09966777408638</v>
      </c>
      <c r="T41" s="136">
        <f t="shared" ca="1" si="38"/>
        <v>750.09966777408636</v>
      </c>
      <c r="U41" s="136">
        <f t="shared" ca="1" si="39"/>
        <v>1224000.099667774</v>
      </c>
      <c r="V41" s="211">
        <f t="shared" ca="1" si="40"/>
        <v>235406.29171209349</v>
      </c>
      <c r="W41" s="136">
        <f t="shared" ca="1" si="6"/>
        <v>30</v>
      </c>
      <c r="X41" s="136">
        <f t="shared" ca="1" si="7"/>
        <v>162.999000999001</v>
      </c>
      <c r="Y41" s="21">
        <f t="shared" si="8"/>
        <v>1</v>
      </c>
      <c r="Z41" s="21" t="str">
        <f t="shared" si="9"/>
        <v>&lt;IE0</v>
      </c>
      <c r="AA41" s="21">
        <f t="shared" si="10"/>
        <v>1</v>
      </c>
      <c r="AB41" s="21" t="str">
        <f t="shared" si="11"/>
        <v>a - "&lt; 1990 (Eff3)"</v>
      </c>
      <c r="AC41" s="21">
        <f t="shared" si="12"/>
        <v>999999</v>
      </c>
      <c r="AD41" s="21" t="str">
        <f t="shared" si="13"/>
        <v/>
      </c>
      <c r="AE41" s="21" t="str">
        <f t="shared" si="14"/>
        <v/>
      </c>
      <c r="AF41" s="21" t="str">
        <f t="shared" si="15"/>
        <v/>
      </c>
      <c r="AG41" s="21">
        <f t="shared" si="16"/>
        <v>0</v>
      </c>
      <c r="AH41" s="21">
        <f>IF('Etape 1'!H37=St.Wert_Hacken,1,0)</f>
        <v>0</v>
      </c>
      <c r="AI41" s="21">
        <f t="shared" si="41"/>
        <v>0</v>
      </c>
      <c r="AJ41" s="21">
        <f t="shared" si="17"/>
        <v>1000999</v>
      </c>
      <c r="AK41" s="58">
        <f t="shared" si="18"/>
        <v>1100</v>
      </c>
      <c r="AL41" s="58">
        <f t="shared" si="19"/>
        <v>440</v>
      </c>
      <c r="AM41" s="21">
        <f t="shared" si="20"/>
        <v>0</v>
      </c>
      <c r="AN41" s="58">
        <f t="shared" si="21"/>
        <v>1</v>
      </c>
      <c r="AO41" s="58" t="str">
        <f t="shared" si="22"/>
        <v>114</v>
      </c>
      <c r="AP41" s="58" t="str">
        <f t="shared" si="23"/>
        <v>164</v>
      </c>
      <c r="AQ41" s="21" t="e">
        <f t="shared" si="24"/>
        <v>#NUM!</v>
      </c>
      <c r="AR41" s="21" t="e">
        <f t="shared" si="25"/>
        <v>#NUM!</v>
      </c>
      <c r="AS41" s="136" t="e">
        <f t="shared" si="42"/>
        <v>#NUM!</v>
      </c>
      <c r="AT41" s="59" t="e">
        <f t="shared" si="26"/>
        <v>#NUM!</v>
      </c>
      <c r="AU41" s="21" t="e">
        <f t="shared" si="43"/>
        <v>#NUM!</v>
      </c>
      <c r="AV41" s="58">
        <f t="shared" si="27"/>
        <v>1500</v>
      </c>
      <c r="AW41" s="58">
        <f t="shared" si="28"/>
        <v>600</v>
      </c>
      <c r="AX41" s="60">
        <f t="shared" si="29"/>
        <v>0.11</v>
      </c>
      <c r="AY41" s="212">
        <f t="shared" si="44"/>
        <v>0</v>
      </c>
      <c r="AZ41" s="59">
        <f t="shared" si="30"/>
        <v>0</v>
      </c>
      <c r="BA41" s="21" t="e">
        <f t="shared" si="45"/>
        <v>#DIV/0!</v>
      </c>
      <c r="BB41" s="58">
        <f t="shared" si="31"/>
        <v>2900</v>
      </c>
      <c r="BC41" s="58">
        <f t="shared" si="32"/>
        <v>1160</v>
      </c>
      <c r="BD41" s="60">
        <f t="shared" si="33"/>
        <v>0.15</v>
      </c>
      <c r="BE41" s="212" t="e">
        <f t="shared" si="46"/>
        <v>#NUM!</v>
      </c>
      <c r="BF41" s="59" t="e">
        <f t="shared" si="34"/>
        <v>#NUM!</v>
      </c>
      <c r="BG41" s="21" t="e">
        <f t="shared" si="47"/>
        <v>#NUM!</v>
      </c>
      <c r="BH41" s="55">
        <f t="shared" ca="1" si="35"/>
        <v>0</v>
      </c>
    </row>
    <row r="42" spans="1:60" x14ac:dyDescent="0.2">
      <c r="A42" s="61">
        <f ca="1">RANK(W42,W$12:W$311,0)+COUNTIF(W$12:W42,W42)-1</f>
        <v>270</v>
      </c>
      <c r="B42" s="55">
        <f>'Etape 1'!A38</f>
        <v>31</v>
      </c>
      <c r="C42" s="55">
        <f>'Etape 1'!B38</f>
        <v>0</v>
      </c>
      <c r="D42" s="55">
        <f>'Etape 1'!C38</f>
        <v>0</v>
      </c>
      <c r="E42" s="55">
        <f>'Etape 1'!D38</f>
        <v>0</v>
      </c>
      <c r="F42" s="55">
        <f>'Etape 1'!E38</f>
        <v>0</v>
      </c>
      <c r="G42" s="55">
        <f>'Etape 1'!F38</f>
        <v>0</v>
      </c>
      <c r="H42" s="55">
        <f>'Etape 1'!G38</f>
        <v>0</v>
      </c>
      <c r="I42" s="209">
        <v>1</v>
      </c>
      <c r="J42" s="58">
        <f t="shared" si="48"/>
        <v>0</v>
      </c>
      <c r="K42" s="21">
        <f t="shared" si="0"/>
        <v>0</v>
      </c>
      <c r="L42" s="21">
        <f t="shared" si="1"/>
        <v>0</v>
      </c>
      <c r="M42" s="21">
        <f t="shared" ca="1" si="2"/>
        <v>3</v>
      </c>
      <c r="N42" s="21">
        <f t="shared" ca="1" si="3"/>
        <v>3</v>
      </c>
      <c r="O42" s="21">
        <f t="shared" ca="1" si="4"/>
        <v>0</v>
      </c>
      <c r="P42" s="262" t="str">
        <f>IF('Etape 1'!J38=999,"",IF('Etape 1'!J38=9999,txt_Schritt1.Angaben.fehlen,VLOOKUP(N42,Matrix_1.2.3.Test.Punkte.ID.Beurteilung,4,1)))</f>
        <v/>
      </c>
      <c r="Q42" s="21">
        <f t="shared" ca="1" si="49"/>
        <v>0</v>
      </c>
      <c r="R42" s="136">
        <f t="shared" si="37"/>
        <v>31</v>
      </c>
      <c r="S42" s="136">
        <f t="shared" ca="1" si="5"/>
        <v>162.1029900332226</v>
      </c>
      <c r="T42" s="136">
        <f t="shared" ca="1" si="38"/>
        <v>750.10299003322257</v>
      </c>
      <c r="U42" s="136">
        <f t="shared" ca="1" si="39"/>
        <v>1224000.1029900333</v>
      </c>
      <c r="V42" s="211">
        <f t="shared" ca="1" si="40"/>
        <v>235406.29503435263</v>
      </c>
      <c r="W42" s="136">
        <f t="shared" ca="1" si="6"/>
        <v>31</v>
      </c>
      <c r="X42" s="136">
        <f t="shared" ca="1" si="7"/>
        <v>162.999000999001</v>
      </c>
      <c r="Y42" s="21">
        <f t="shared" si="8"/>
        <v>1</v>
      </c>
      <c r="Z42" s="21" t="str">
        <f t="shared" si="9"/>
        <v>&lt;IE0</v>
      </c>
      <c r="AA42" s="21">
        <f t="shared" si="10"/>
        <v>1</v>
      </c>
      <c r="AB42" s="21" t="str">
        <f t="shared" si="11"/>
        <v>a - "&lt; 1990 (Eff3)"</v>
      </c>
      <c r="AC42" s="21">
        <f t="shared" si="12"/>
        <v>999999</v>
      </c>
      <c r="AD42" s="21" t="str">
        <f t="shared" si="13"/>
        <v/>
      </c>
      <c r="AE42" s="21" t="str">
        <f t="shared" si="14"/>
        <v/>
      </c>
      <c r="AF42" s="21" t="str">
        <f t="shared" si="15"/>
        <v/>
      </c>
      <c r="AG42" s="21">
        <f t="shared" si="16"/>
        <v>0</v>
      </c>
      <c r="AH42" s="21">
        <f>IF('Etape 1'!H38=St.Wert_Hacken,1,0)</f>
        <v>0</v>
      </c>
      <c r="AI42" s="21">
        <f t="shared" si="41"/>
        <v>0</v>
      </c>
      <c r="AJ42" s="21">
        <f t="shared" si="17"/>
        <v>1000999</v>
      </c>
      <c r="AK42" s="58">
        <f t="shared" si="18"/>
        <v>1100</v>
      </c>
      <c r="AL42" s="58">
        <f t="shared" si="19"/>
        <v>440</v>
      </c>
      <c r="AM42" s="21">
        <f t="shared" si="20"/>
        <v>0</v>
      </c>
      <c r="AN42" s="58">
        <f t="shared" si="21"/>
        <v>1</v>
      </c>
      <c r="AO42" s="58" t="str">
        <f t="shared" si="22"/>
        <v>114</v>
      </c>
      <c r="AP42" s="58" t="str">
        <f t="shared" si="23"/>
        <v>164</v>
      </c>
      <c r="AQ42" s="21" t="e">
        <f t="shared" si="24"/>
        <v>#NUM!</v>
      </c>
      <c r="AR42" s="21" t="e">
        <f t="shared" si="25"/>
        <v>#NUM!</v>
      </c>
      <c r="AS42" s="136" t="e">
        <f t="shared" si="42"/>
        <v>#NUM!</v>
      </c>
      <c r="AT42" s="59" t="e">
        <f t="shared" si="26"/>
        <v>#NUM!</v>
      </c>
      <c r="AU42" s="21" t="e">
        <f t="shared" si="43"/>
        <v>#NUM!</v>
      </c>
      <c r="AV42" s="58">
        <f t="shared" si="27"/>
        <v>1500</v>
      </c>
      <c r="AW42" s="58">
        <f t="shared" si="28"/>
        <v>600</v>
      </c>
      <c r="AX42" s="60">
        <f t="shared" si="29"/>
        <v>0.11</v>
      </c>
      <c r="AY42" s="212">
        <f t="shared" si="44"/>
        <v>0</v>
      </c>
      <c r="AZ42" s="59">
        <f t="shared" si="30"/>
        <v>0</v>
      </c>
      <c r="BA42" s="21" t="e">
        <f t="shared" si="45"/>
        <v>#DIV/0!</v>
      </c>
      <c r="BB42" s="58">
        <f t="shared" si="31"/>
        <v>2900</v>
      </c>
      <c r="BC42" s="58">
        <f t="shared" si="32"/>
        <v>1160</v>
      </c>
      <c r="BD42" s="60">
        <f t="shared" si="33"/>
        <v>0.15</v>
      </c>
      <c r="BE42" s="212" t="e">
        <f t="shared" si="46"/>
        <v>#NUM!</v>
      </c>
      <c r="BF42" s="59" t="e">
        <f t="shared" si="34"/>
        <v>#NUM!</v>
      </c>
      <c r="BG42" s="21" t="e">
        <f t="shared" si="47"/>
        <v>#NUM!</v>
      </c>
      <c r="BH42" s="55">
        <f t="shared" ca="1" si="35"/>
        <v>0</v>
      </c>
    </row>
    <row r="43" spans="1:60" x14ac:dyDescent="0.2">
      <c r="A43" s="61">
        <f ca="1">RANK(W43,W$12:W$311,0)+COUNTIF(W$12:W43,W43)-1</f>
        <v>269</v>
      </c>
      <c r="B43" s="55">
        <f>'Etape 1'!A39</f>
        <v>32</v>
      </c>
      <c r="C43" s="55">
        <f>'Etape 1'!B39</f>
        <v>0</v>
      </c>
      <c r="D43" s="55">
        <f>'Etape 1'!C39</f>
        <v>0</v>
      </c>
      <c r="E43" s="55">
        <f>'Etape 1'!D39</f>
        <v>0</v>
      </c>
      <c r="F43" s="55">
        <f>'Etape 1'!E39</f>
        <v>0</v>
      </c>
      <c r="G43" s="55">
        <f>'Etape 1'!F39</f>
        <v>0</v>
      </c>
      <c r="H43" s="55">
        <f>'Etape 1'!G39</f>
        <v>0</v>
      </c>
      <c r="I43" s="209">
        <v>1</v>
      </c>
      <c r="J43" s="58">
        <f t="shared" si="48"/>
        <v>0</v>
      </c>
      <c r="K43" s="21">
        <f t="shared" si="0"/>
        <v>0</v>
      </c>
      <c r="L43" s="21">
        <f t="shared" si="1"/>
        <v>0</v>
      </c>
      <c r="M43" s="21">
        <f t="shared" ca="1" si="2"/>
        <v>3</v>
      </c>
      <c r="N43" s="21">
        <f t="shared" ca="1" si="3"/>
        <v>3</v>
      </c>
      <c r="O43" s="21">
        <f t="shared" ca="1" si="4"/>
        <v>0</v>
      </c>
      <c r="P43" s="262" t="str">
        <f>IF('Etape 1'!J39=999,"",IF('Etape 1'!J39=9999,txt_Schritt1.Angaben.fehlen,VLOOKUP(N43,Matrix_1.2.3.Test.Punkte.ID.Beurteilung,4,1)))</f>
        <v/>
      </c>
      <c r="Q43" s="21">
        <f t="shared" ca="1" si="49"/>
        <v>0</v>
      </c>
      <c r="R43" s="136">
        <f t="shared" si="37"/>
        <v>32</v>
      </c>
      <c r="S43" s="136">
        <f t="shared" ca="1" si="5"/>
        <v>162.10631229235881</v>
      </c>
      <c r="T43" s="136">
        <f t="shared" ca="1" si="38"/>
        <v>750.10631229235878</v>
      </c>
      <c r="U43" s="136">
        <f t="shared" ca="1" si="39"/>
        <v>1224000.1063122924</v>
      </c>
      <c r="V43" s="211">
        <f t="shared" ca="1" si="40"/>
        <v>235406.29835661178</v>
      </c>
      <c r="W43" s="136">
        <f t="shared" ca="1" si="6"/>
        <v>32</v>
      </c>
      <c r="X43" s="136">
        <f t="shared" ca="1" si="7"/>
        <v>162.999000999001</v>
      </c>
      <c r="Y43" s="21">
        <f t="shared" si="8"/>
        <v>1</v>
      </c>
      <c r="Z43" s="21" t="str">
        <f t="shared" si="9"/>
        <v>&lt;IE0</v>
      </c>
      <c r="AA43" s="21">
        <f t="shared" si="10"/>
        <v>1</v>
      </c>
      <c r="AB43" s="21" t="str">
        <f t="shared" si="11"/>
        <v>a - "&lt; 1990 (Eff3)"</v>
      </c>
      <c r="AC43" s="21">
        <f t="shared" si="12"/>
        <v>999999</v>
      </c>
      <c r="AD43" s="21" t="str">
        <f t="shared" si="13"/>
        <v/>
      </c>
      <c r="AE43" s="21" t="str">
        <f t="shared" si="14"/>
        <v/>
      </c>
      <c r="AF43" s="21" t="str">
        <f t="shared" si="15"/>
        <v/>
      </c>
      <c r="AG43" s="21">
        <f t="shared" si="16"/>
        <v>0</v>
      </c>
      <c r="AH43" s="21">
        <f>IF('Etape 1'!H39=St.Wert_Hacken,1,0)</f>
        <v>0</v>
      </c>
      <c r="AI43" s="21">
        <f t="shared" si="41"/>
        <v>0</v>
      </c>
      <c r="AJ43" s="21">
        <f t="shared" si="17"/>
        <v>1000999</v>
      </c>
      <c r="AK43" s="58">
        <f t="shared" si="18"/>
        <v>1100</v>
      </c>
      <c r="AL43" s="58">
        <f t="shared" si="19"/>
        <v>440</v>
      </c>
      <c r="AM43" s="21">
        <f t="shared" si="20"/>
        <v>0</v>
      </c>
      <c r="AN43" s="58">
        <f t="shared" si="21"/>
        <v>1</v>
      </c>
      <c r="AO43" s="58" t="str">
        <f t="shared" si="22"/>
        <v>114</v>
      </c>
      <c r="AP43" s="58" t="str">
        <f t="shared" si="23"/>
        <v>164</v>
      </c>
      <c r="AQ43" s="21" t="e">
        <f t="shared" si="24"/>
        <v>#NUM!</v>
      </c>
      <c r="AR43" s="21" t="e">
        <f t="shared" si="25"/>
        <v>#NUM!</v>
      </c>
      <c r="AS43" s="136" t="e">
        <f t="shared" si="42"/>
        <v>#NUM!</v>
      </c>
      <c r="AT43" s="59" t="e">
        <f t="shared" si="26"/>
        <v>#NUM!</v>
      </c>
      <c r="AU43" s="21" t="e">
        <f t="shared" si="43"/>
        <v>#NUM!</v>
      </c>
      <c r="AV43" s="58">
        <f t="shared" si="27"/>
        <v>1500</v>
      </c>
      <c r="AW43" s="58">
        <f t="shared" si="28"/>
        <v>600</v>
      </c>
      <c r="AX43" s="60">
        <f t="shared" si="29"/>
        <v>0.11</v>
      </c>
      <c r="AY43" s="212">
        <f t="shared" si="44"/>
        <v>0</v>
      </c>
      <c r="AZ43" s="59">
        <f t="shared" si="30"/>
        <v>0</v>
      </c>
      <c r="BA43" s="21" t="e">
        <f t="shared" si="45"/>
        <v>#DIV/0!</v>
      </c>
      <c r="BB43" s="58">
        <f t="shared" si="31"/>
        <v>2900</v>
      </c>
      <c r="BC43" s="58">
        <f t="shared" si="32"/>
        <v>1160</v>
      </c>
      <c r="BD43" s="60">
        <f t="shared" si="33"/>
        <v>0.15</v>
      </c>
      <c r="BE43" s="212" t="e">
        <f t="shared" si="46"/>
        <v>#NUM!</v>
      </c>
      <c r="BF43" s="59" t="e">
        <f t="shared" si="34"/>
        <v>#NUM!</v>
      </c>
      <c r="BG43" s="21" t="e">
        <f t="shared" si="47"/>
        <v>#NUM!</v>
      </c>
      <c r="BH43" s="55">
        <f t="shared" ca="1" si="35"/>
        <v>0</v>
      </c>
    </row>
    <row r="44" spans="1:60" x14ac:dyDescent="0.2">
      <c r="A44" s="61">
        <f ca="1">RANK(W44,W$12:W$311,0)+COUNTIF(W$12:W44,W44)-1</f>
        <v>268</v>
      </c>
      <c r="B44" s="55">
        <f>'Etape 1'!A40</f>
        <v>33</v>
      </c>
      <c r="C44" s="55">
        <f>'Etape 1'!B40</f>
        <v>0</v>
      </c>
      <c r="D44" s="55">
        <f>'Etape 1'!C40</f>
        <v>0</v>
      </c>
      <c r="E44" s="55">
        <f>'Etape 1'!D40</f>
        <v>0</v>
      </c>
      <c r="F44" s="55">
        <f>'Etape 1'!E40</f>
        <v>0</v>
      </c>
      <c r="G44" s="55">
        <f>'Etape 1'!F40</f>
        <v>0</v>
      </c>
      <c r="H44" s="55">
        <f>'Etape 1'!G40</f>
        <v>0</v>
      </c>
      <c r="I44" s="209">
        <v>1</v>
      </c>
      <c r="J44" s="58">
        <f t="shared" si="48"/>
        <v>0</v>
      </c>
      <c r="K44" s="21">
        <f t="shared" ref="K44:K75" si="50">VLOOKUP(F44,Matrix_1.2.3.Test.Leistung.Punkte,2,TRUE)</f>
        <v>0</v>
      </c>
      <c r="L44" s="21">
        <f t="shared" ref="L44:L75" si="51">VLOOKUP(G44,Matrix_1.2.3.Test.Betriebszeit.Punkte,2,TRUE)</f>
        <v>0</v>
      </c>
      <c r="M44" s="21">
        <f t="shared" ref="M44:M75" ca="1" si="52">IF(H44=0,3,VLOOKUP(YEAR(TODAY())-H44,Matrix_1.2.3.Test.Alter.Punkte,2,TRUE))</f>
        <v>3</v>
      </c>
      <c r="N44" s="21">
        <f t="shared" ref="N44:N75" ca="1" si="53">M44+Wert_1.2.3.Test.Faktor.A*L44*K44</f>
        <v>3</v>
      </c>
      <c r="O44" s="21">
        <f t="shared" ref="O44:O75" ca="1" si="54">VLOOKUP(N44,Matrix_1.2.3.Test.Punkte.ID.Beurteilung,3,TRUE)</f>
        <v>0</v>
      </c>
      <c r="P44" s="262" t="str">
        <f>IF('Etape 1'!J40=999,"",IF('Etape 1'!J40=9999,txt_Schritt1.Angaben.fehlen,VLOOKUP(N44,Matrix_1.2.3.Test.Punkte.ID.Beurteilung,4,1)))</f>
        <v/>
      </c>
      <c r="Q44" s="21">
        <f t="shared" ca="1" si="49"/>
        <v>0</v>
      </c>
      <c r="R44" s="136">
        <f t="shared" si="37"/>
        <v>33</v>
      </c>
      <c r="S44" s="136">
        <f t="shared" ca="1" si="5"/>
        <v>162.10963455149502</v>
      </c>
      <c r="T44" s="136">
        <f t="shared" ca="1" si="38"/>
        <v>750.10963455149499</v>
      </c>
      <c r="U44" s="136">
        <f t="shared" ca="1" si="39"/>
        <v>1224000.1096345515</v>
      </c>
      <c r="V44" s="211">
        <f t="shared" ca="1" si="40"/>
        <v>235406.30167887089</v>
      </c>
      <c r="W44" s="136">
        <f t="shared" ca="1" si="6"/>
        <v>33</v>
      </c>
      <c r="X44" s="136">
        <f t="shared" ref="X44:X75" ca="1" si="55">IF(Q44=0,3,Q44)*St.Wert_1.2.3.Test.PkteMax-N44+IF(AC44&gt;St.Wert_Payback.Max,St.Wert_Payback.Max,AC44)/(St.Wert_Payback.Max+1)</f>
        <v>162.999000999001</v>
      </c>
      <c r="Y44" s="21">
        <f t="shared" ref="Y44:Y75" si="56">VLOOKUP(H44,Matrix_Motor.Jahr.EffKl,2,1)</f>
        <v>1</v>
      </c>
      <c r="Z44" s="21" t="str">
        <f t="shared" ref="Z44:Z75" si="57">VLOOKUP(H44,Matrix_Motor.Jahr.EffKl,3,1)</f>
        <v>&lt;IE0</v>
      </c>
      <c r="AA44" s="21">
        <f t="shared" ref="AA44:AA75" si="58">VLOOKUP(H44,Matrix_Pumpe.Jahr.EffKl,2,1)</f>
        <v>1</v>
      </c>
      <c r="AB44" s="21" t="str">
        <f t="shared" ref="AB44:AB75" si="59">VLOOKUP(H44,Matrix_Pumpe.Jahr.EffKl,3,1)</f>
        <v>a - "&lt; 1990 (Eff3)"</v>
      </c>
      <c r="AC44" s="21">
        <f t="shared" ref="AC44:AC75" si="60">IF(ISNUMBER(MIN(AU44,BA44,BG44)),MIN(AU44,BA44,BG44),St.Wert_Platzhalter.Payback)</f>
        <v>999999</v>
      </c>
      <c r="AD44" s="21" t="str">
        <f t="shared" ref="AD44:AD75" si="61">IF(AC44=St.Wert_Platzhalter.Payback,"",VLOOKUP(AC44,Matrix_Wirtschaftlichkeit.Payback.ID.Txt,2,1))</f>
        <v/>
      </c>
      <c r="AE44" s="21" t="str">
        <f t="shared" ref="AE44:AE75" si="62">IF(AC44=St.Wert_Platzhalter.Payback,"",VLOOKUP(AC44,Matrix_Wirtschaftlichkeit.Payback.ID.Txt,3,1))</f>
        <v/>
      </c>
      <c r="AF44" s="21" t="str">
        <f t="shared" ref="AF44:AF75" si="63">IF(AC44=St.Wert_Platzhalter.Payback,"",VLOOKUP(AC44,Matrix_Wirtschaftlichkeit.Payback.ID.Txt,4,1))</f>
        <v/>
      </c>
      <c r="AG44" s="21">
        <f t="shared" ref="AG44:AG75" si="64">VLOOKUP(AC44,Matrix_Wirtschaftlichkeit.Payback.ID.Txt,6,1)</f>
        <v>0</v>
      </c>
      <c r="AH44" s="21">
        <f>IF('Etape 1'!H40=St.Wert_Hacken,1,0)</f>
        <v>0</v>
      </c>
      <c r="AI44" s="21">
        <f t="shared" si="41"/>
        <v>0</v>
      </c>
      <c r="AJ44" s="21">
        <f t="shared" ref="AJ44:AJ75" si="65">IF(AI44=1,IF(AC44&gt;St.Wert_Payback.Max,St.Wert_Payback.Max,AC44),AC44+St.Wert_Payback.Max)</f>
        <v>1000999</v>
      </c>
      <c r="AK44" s="58">
        <f t="shared" ref="AK44:AK75" si="66">Preis_Motor.a*F44+Preis_Motor.b+Preis_Motor.Planung</f>
        <v>1100</v>
      </c>
      <c r="AL44" s="58">
        <f t="shared" ref="AL44:AL75" si="67">AK44*IF(Wert_Wirtschaftlichkeit.EnergieAnteil.Ja.Nein.Schritt1,VLOOKUP(AA44,Matrix_Anlage.AlterID.Einsparpotential.und.EnergieAnteil,6,0),1)</f>
        <v>440</v>
      </c>
      <c r="AM44" s="21">
        <f t="shared" ref="AM44:AM75" si="68">IF(F44&lt;Wert_Motor.max.Leistung.fuer.Berechnung.Wirkungsgrad,F44,Wert_Motor.max.Leistung.fuer.Berechnung.Wirkungsgrad)</f>
        <v>0</v>
      </c>
      <c r="AN44" s="58">
        <f t="shared" ref="AN44:AN75" si="69">VLOOKUP(F44,Matrix_Motor.LeistungsKl.ID,2,1)</f>
        <v>1</v>
      </c>
      <c r="AO44" s="58" t="str">
        <f t="shared" ref="AO44:AO75" si="70">CONCATENATE(AN44,Y44,Wert_Motor.Pole.Anzahl.Schritt1)</f>
        <v>114</v>
      </c>
      <c r="AP44" s="58" t="str">
        <f t="shared" ref="AP44:AP75" si="71">CONCATENATE(AN44,Wert_Motor.IEID.neu.Schritt1,Wert_Motor.Pole.Anzahl.Schritt1)</f>
        <v>164</v>
      </c>
      <c r="AQ44" s="21" t="e">
        <f t="shared" ref="AQ44:AQ75" si="72">(VLOOKUP(AO44,Matrix_Motor.KombiKl.EffParameter,3,0)*(LOG(AM44))^3+VLOOKUP(AO44,Matrix_Motor.KombiKl.EffParameter,4,0)*(LOG(AM44))^2+VLOOKUP(AO44,Matrix_Motor.KombiKl.EffParameter,5,0)*(LOG(AM44))+VLOOKUP(AO44,Matrix_Motor.KombiKl.EffParameter,6,0))/100</f>
        <v>#NUM!</v>
      </c>
      <c r="AR44" s="21" t="e">
        <f t="shared" ref="AR44:AR75" si="73">(VLOOKUP(AP44,Matrix_Motor.KombiKl.EffParameter,3,0)*(LOG(AM44))^3+VLOOKUP(AP44,Matrix_Motor.KombiKl.EffParameter,4,0)*(LOG(AM44))^2+VLOOKUP(AP44,Matrix_Motor.KombiKl.EffParameter,5,0)*(LOG(AM44))+VLOOKUP(AP44,Matrix_Motor.KombiKl.EffParameter,6,0))/100</f>
        <v>#NUM!</v>
      </c>
      <c r="AS44" s="136" t="e">
        <f t="shared" si="42"/>
        <v>#NUM!</v>
      </c>
      <c r="AT44" s="59" t="e">
        <f t="shared" ref="AT44:AT75" si="74">AS44*Preis_Strom.Schritt1/100</f>
        <v>#NUM!</v>
      </c>
      <c r="AU44" s="21" t="e">
        <f t="shared" si="43"/>
        <v>#NUM!</v>
      </c>
      <c r="AV44" s="58">
        <f t="shared" ref="AV44:AV75" si="75">Preis_FU.a*F44+Preis_FU.b+Preis_FU.Planung</f>
        <v>1500</v>
      </c>
      <c r="AW44" s="58">
        <f t="shared" ref="AW44:AW75" si="76">AV44*IF(Wert_Wirtschaftlichkeit.EnergieAnteil.Ja.Nein.Schritt1,VLOOKUP(AA44,Matrix_Anlage.AlterID.Einsparpotential.und.EnergieAnteil,6,0),1)</f>
        <v>600</v>
      </c>
      <c r="AX44" s="60">
        <f t="shared" ref="AX44:AX75" si="77">VLOOKUP(AA44,Matrix_Anlage.AlterID.Einsparpotential.und.EnergieAnteil,4,0)</f>
        <v>0.11</v>
      </c>
      <c r="AY44" s="212">
        <f t="shared" si="44"/>
        <v>0</v>
      </c>
      <c r="AZ44" s="59">
        <f t="shared" ref="AZ44:AZ75" si="78">AY44*Preis_Strom.Schritt1/100</f>
        <v>0</v>
      </c>
      <c r="BA44" s="21" t="e">
        <f t="shared" si="45"/>
        <v>#DIV/0!</v>
      </c>
      <c r="BB44" s="58">
        <f t="shared" ref="BB44:BB75" si="79">Preis_Redim.a*F44+Preis_Redim.b+Preis_Redim.Planung</f>
        <v>2900</v>
      </c>
      <c r="BC44" s="58">
        <f t="shared" ref="BC44:BC75" si="80">BB44*IF(Wert_Wirtschaftlichkeit.EnergieAnteil.Ja.Nein.Schritt1,VLOOKUP(AA44,Matrix_Anlage.AlterID.Einsparpotential.und.EnergieAnteil,6,0),1)</f>
        <v>1160</v>
      </c>
      <c r="BD44" s="60">
        <f t="shared" ref="BD44:BD75" si="81">VLOOKUP(AA44,Matrix_Anlage.AlterID.Einsparpotential.und.EnergieAnteil,5,0)</f>
        <v>0.15</v>
      </c>
      <c r="BE44" s="212" t="e">
        <f t="shared" si="46"/>
        <v>#NUM!</v>
      </c>
      <c r="BF44" s="59" t="e">
        <f t="shared" ref="BF44:BF75" si="82">BE44*Preis_Strom.Schritt1/100</f>
        <v>#NUM!</v>
      </c>
      <c r="BG44" s="21" t="e">
        <f t="shared" si="47"/>
        <v>#NUM!</v>
      </c>
      <c r="BH44" s="55">
        <f t="shared" ca="1" si="35"/>
        <v>0</v>
      </c>
    </row>
    <row r="45" spans="1:60" x14ac:dyDescent="0.2">
      <c r="A45" s="61">
        <f ca="1">RANK(W45,W$12:W$311,0)+COUNTIF(W$12:W45,W45)-1</f>
        <v>267</v>
      </c>
      <c r="B45" s="55">
        <f>'Etape 1'!A41</f>
        <v>34</v>
      </c>
      <c r="C45" s="55">
        <f>'Etape 1'!B41</f>
        <v>0</v>
      </c>
      <c r="D45" s="55">
        <f>'Etape 1'!C41</f>
        <v>0</v>
      </c>
      <c r="E45" s="55">
        <f>'Etape 1'!D41</f>
        <v>0</v>
      </c>
      <c r="F45" s="55">
        <f>'Etape 1'!E41</f>
        <v>0</v>
      </c>
      <c r="G45" s="55">
        <f>'Etape 1'!F41</f>
        <v>0</v>
      </c>
      <c r="H45" s="55">
        <f>'Etape 1'!G41</f>
        <v>0</v>
      </c>
      <c r="I45" s="209">
        <v>1</v>
      </c>
      <c r="J45" s="58">
        <f t="shared" si="48"/>
        <v>0</v>
      </c>
      <c r="K45" s="21">
        <f t="shared" si="50"/>
        <v>0</v>
      </c>
      <c r="L45" s="21">
        <f t="shared" si="51"/>
        <v>0</v>
      </c>
      <c r="M45" s="21">
        <f t="shared" ca="1" si="52"/>
        <v>3</v>
      </c>
      <c r="N45" s="21">
        <f t="shared" ca="1" si="53"/>
        <v>3</v>
      </c>
      <c r="O45" s="21">
        <f t="shared" ca="1" si="54"/>
        <v>0</v>
      </c>
      <c r="P45" s="262" t="str">
        <f>IF('Etape 1'!J41=999,"",IF('Etape 1'!J41=9999,txt_Schritt1.Angaben.fehlen,VLOOKUP(N45,Matrix_1.2.3.Test.Punkte.ID.Beurteilung,4,1)))</f>
        <v/>
      </c>
      <c r="Q45" s="21">
        <f t="shared" ca="1" si="49"/>
        <v>0</v>
      </c>
      <c r="R45" s="136">
        <f t="shared" si="37"/>
        <v>34</v>
      </c>
      <c r="S45" s="136">
        <f t="shared" ca="1" si="5"/>
        <v>162.11295681063123</v>
      </c>
      <c r="T45" s="136">
        <f t="shared" ca="1" si="38"/>
        <v>750.1129568106312</v>
      </c>
      <c r="U45" s="136">
        <f t="shared" ca="1" si="39"/>
        <v>1224000.1129568107</v>
      </c>
      <c r="V45" s="211">
        <f t="shared" ca="1" si="40"/>
        <v>235406.30500113004</v>
      </c>
      <c r="W45" s="136">
        <f t="shared" ca="1" si="6"/>
        <v>34</v>
      </c>
      <c r="X45" s="136">
        <f t="shared" ca="1" si="55"/>
        <v>162.999000999001</v>
      </c>
      <c r="Y45" s="21">
        <f t="shared" si="56"/>
        <v>1</v>
      </c>
      <c r="Z45" s="21" t="str">
        <f t="shared" si="57"/>
        <v>&lt;IE0</v>
      </c>
      <c r="AA45" s="21">
        <f t="shared" si="58"/>
        <v>1</v>
      </c>
      <c r="AB45" s="21" t="str">
        <f t="shared" si="59"/>
        <v>a - "&lt; 1990 (Eff3)"</v>
      </c>
      <c r="AC45" s="21">
        <f t="shared" si="60"/>
        <v>999999</v>
      </c>
      <c r="AD45" s="21" t="str">
        <f t="shared" si="61"/>
        <v/>
      </c>
      <c r="AE45" s="21" t="str">
        <f t="shared" si="62"/>
        <v/>
      </c>
      <c r="AF45" s="21" t="str">
        <f t="shared" si="63"/>
        <v/>
      </c>
      <c r="AG45" s="21">
        <f t="shared" si="64"/>
        <v>0</v>
      </c>
      <c r="AH45" s="21">
        <f>IF('Etape 1'!H41=St.Wert_Hacken,1,0)</f>
        <v>0</v>
      </c>
      <c r="AI45" s="21">
        <f t="shared" si="41"/>
        <v>0</v>
      </c>
      <c r="AJ45" s="21">
        <f t="shared" si="65"/>
        <v>1000999</v>
      </c>
      <c r="AK45" s="58">
        <f t="shared" si="66"/>
        <v>1100</v>
      </c>
      <c r="AL45" s="58">
        <f t="shared" si="67"/>
        <v>440</v>
      </c>
      <c r="AM45" s="21">
        <f t="shared" si="68"/>
        <v>0</v>
      </c>
      <c r="AN45" s="58">
        <f t="shared" si="69"/>
        <v>1</v>
      </c>
      <c r="AO45" s="58" t="str">
        <f t="shared" si="70"/>
        <v>114</v>
      </c>
      <c r="AP45" s="58" t="str">
        <f t="shared" si="71"/>
        <v>164</v>
      </c>
      <c r="AQ45" s="21" t="e">
        <f t="shared" si="72"/>
        <v>#NUM!</v>
      </c>
      <c r="AR45" s="21" t="e">
        <f t="shared" si="73"/>
        <v>#NUM!</v>
      </c>
      <c r="AS45" s="136" t="e">
        <f t="shared" si="42"/>
        <v>#NUM!</v>
      </c>
      <c r="AT45" s="59" t="e">
        <f t="shared" si="74"/>
        <v>#NUM!</v>
      </c>
      <c r="AU45" s="21" t="e">
        <f t="shared" si="43"/>
        <v>#NUM!</v>
      </c>
      <c r="AV45" s="58">
        <f t="shared" si="75"/>
        <v>1500</v>
      </c>
      <c r="AW45" s="58">
        <f t="shared" si="76"/>
        <v>600</v>
      </c>
      <c r="AX45" s="60">
        <f t="shared" si="77"/>
        <v>0.11</v>
      </c>
      <c r="AY45" s="212">
        <f t="shared" si="44"/>
        <v>0</v>
      </c>
      <c r="AZ45" s="59">
        <f t="shared" si="78"/>
        <v>0</v>
      </c>
      <c r="BA45" s="21" t="e">
        <f t="shared" si="45"/>
        <v>#DIV/0!</v>
      </c>
      <c r="BB45" s="58">
        <f t="shared" si="79"/>
        <v>2900</v>
      </c>
      <c r="BC45" s="58">
        <f t="shared" si="80"/>
        <v>1160</v>
      </c>
      <c r="BD45" s="60">
        <f t="shared" si="81"/>
        <v>0.15</v>
      </c>
      <c r="BE45" s="212" t="e">
        <f t="shared" si="46"/>
        <v>#NUM!</v>
      </c>
      <c r="BF45" s="59" t="e">
        <f t="shared" si="82"/>
        <v>#NUM!</v>
      </c>
      <c r="BG45" s="21" t="e">
        <f t="shared" si="47"/>
        <v>#NUM!</v>
      </c>
      <c r="BH45" s="55">
        <f t="shared" ca="1" si="35"/>
        <v>0</v>
      </c>
    </row>
    <row r="46" spans="1:60" x14ac:dyDescent="0.2">
      <c r="A46" s="61">
        <f ca="1">RANK(W46,W$12:W$311,0)+COUNTIF(W$12:W46,W46)-1</f>
        <v>266</v>
      </c>
      <c r="B46" s="55">
        <f>'Etape 1'!A42</f>
        <v>35</v>
      </c>
      <c r="C46" s="55">
        <f>'Etape 1'!B42</f>
        <v>0</v>
      </c>
      <c r="D46" s="55">
        <f>'Etape 1'!C42</f>
        <v>0</v>
      </c>
      <c r="E46" s="55">
        <f>'Etape 1'!D42</f>
        <v>0</v>
      </c>
      <c r="F46" s="55">
        <f>'Etape 1'!E42</f>
        <v>0</v>
      </c>
      <c r="G46" s="55">
        <f>'Etape 1'!F42</f>
        <v>0</v>
      </c>
      <c r="H46" s="55">
        <f>'Etape 1'!G42</f>
        <v>0</v>
      </c>
      <c r="I46" s="209">
        <v>1</v>
      </c>
      <c r="J46" s="58">
        <f t="shared" si="48"/>
        <v>0</v>
      </c>
      <c r="K46" s="21">
        <f t="shared" si="50"/>
        <v>0</v>
      </c>
      <c r="L46" s="21">
        <f t="shared" si="51"/>
        <v>0</v>
      </c>
      <c r="M46" s="21">
        <f t="shared" ca="1" si="52"/>
        <v>3</v>
      </c>
      <c r="N46" s="21">
        <f t="shared" ca="1" si="53"/>
        <v>3</v>
      </c>
      <c r="O46" s="21">
        <f t="shared" ca="1" si="54"/>
        <v>0</v>
      </c>
      <c r="P46" s="262" t="str">
        <f>IF('Etape 1'!J42=999,"",IF('Etape 1'!J42=9999,txt_Schritt1.Angaben.fehlen,VLOOKUP(N46,Matrix_1.2.3.Test.Punkte.ID.Beurteilung,4,1)))</f>
        <v/>
      </c>
      <c r="Q46" s="21">
        <f t="shared" ca="1" si="49"/>
        <v>0</v>
      </c>
      <c r="R46" s="136">
        <f t="shared" si="37"/>
        <v>35</v>
      </c>
      <c r="S46" s="136">
        <f t="shared" ca="1" si="5"/>
        <v>162.11627906976744</v>
      </c>
      <c r="T46" s="136">
        <f t="shared" ca="1" si="38"/>
        <v>750.11627906976742</v>
      </c>
      <c r="U46" s="136">
        <f t="shared" ca="1" si="39"/>
        <v>1224000.1162790698</v>
      </c>
      <c r="V46" s="211">
        <f t="shared" ca="1" si="40"/>
        <v>235406.30832338918</v>
      </c>
      <c r="W46" s="136">
        <f t="shared" ca="1" si="6"/>
        <v>35</v>
      </c>
      <c r="X46" s="136">
        <f t="shared" ca="1" si="55"/>
        <v>162.999000999001</v>
      </c>
      <c r="Y46" s="21">
        <f t="shared" si="56"/>
        <v>1</v>
      </c>
      <c r="Z46" s="21" t="str">
        <f t="shared" si="57"/>
        <v>&lt;IE0</v>
      </c>
      <c r="AA46" s="21">
        <f t="shared" si="58"/>
        <v>1</v>
      </c>
      <c r="AB46" s="21" t="str">
        <f t="shared" si="59"/>
        <v>a - "&lt; 1990 (Eff3)"</v>
      </c>
      <c r="AC46" s="21">
        <f t="shared" si="60"/>
        <v>999999</v>
      </c>
      <c r="AD46" s="21" t="str">
        <f t="shared" si="61"/>
        <v/>
      </c>
      <c r="AE46" s="21" t="str">
        <f t="shared" si="62"/>
        <v/>
      </c>
      <c r="AF46" s="21" t="str">
        <f t="shared" si="63"/>
        <v/>
      </c>
      <c r="AG46" s="21">
        <f t="shared" si="64"/>
        <v>0</v>
      </c>
      <c r="AH46" s="21">
        <f>IF('Etape 1'!H42=St.Wert_Hacken,1,0)</f>
        <v>0</v>
      </c>
      <c r="AI46" s="21">
        <f t="shared" si="41"/>
        <v>0</v>
      </c>
      <c r="AJ46" s="21">
        <f t="shared" si="65"/>
        <v>1000999</v>
      </c>
      <c r="AK46" s="58">
        <f t="shared" si="66"/>
        <v>1100</v>
      </c>
      <c r="AL46" s="58">
        <f t="shared" si="67"/>
        <v>440</v>
      </c>
      <c r="AM46" s="21">
        <f t="shared" si="68"/>
        <v>0</v>
      </c>
      <c r="AN46" s="58">
        <f t="shared" si="69"/>
        <v>1</v>
      </c>
      <c r="AO46" s="58" t="str">
        <f t="shared" si="70"/>
        <v>114</v>
      </c>
      <c r="AP46" s="58" t="str">
        <f t="shared" si="71"/>
        <v>164</v>
      </c>
      <c r="AQ46" s="21" t="e">
        <f t="shared" si="72"/>
        <v>#NUM!</v>
      </c>
      <c r="AR46" s="21" t="e">
        <f t="shared" si="73"/>
        <v>#NUM!</v>
      </c>
      <c r="AS46" s="136" t="e">
        <f t="shared" si="42"/>
        <v>#NUM!</v>
      </c>
      <c r="AT46" s="59" t="e">
        <f t="shared" si="74"/>
        <v>#NUM!</v>
      </c>
      <c r="AU46" s="21" t="e">
        <f t="shared" si="43"/>
        <v>#NUM!</v>
      </c>
      <c r="AV46" s="58">
        <f t="shared" si="75"/>
        <v>1500</v>
      </c>
      <c r="AW46" s="58">
        <f t="shared" si="76"/>
        <v>600</v>
      </c>
      <c r="AX46" s="60">
        <f t="shared" si="77"/>
        <v>0.11</v>
      </c>
      <c r="AY46" s="212">
        <f t="shared" si="44"/>
        <v>0</v>
      </c>
      <c r="AZ46" s="59">
        <f t="shared" si="78"/>
        <v>0</v>
      </c>
      <c r="BA46" s="21" t="e">
        <f t="shared" si="45"/>
        <v>#DIV/0!</v>
      </c>
      <c r="BB46" s="58">
        <f t="shared" si="79"/>
        <v>2900</v>
      </c>
      <c r="BC46" s="58">
        <f t="shared" si="80"/>
        <v>1160</v>
      </c>
      <c r="BD46" s="60">
        <f t="shared" si="81"/>
        <v>0.15</v>
      </c>
      <c r="BE46" s="212" t="e">
        <f t="shared" si="46"/>
        <v>#NUM!</v>
      </c>
      <c r="BF46" s="59" t="e">
        <f t="shared" si="82"/>
        <v>#NUM!</v>
      </c>
      <c r="BG46" s="21" t="e">
        <f t="shared" si="47"/>
        <v>#NUM!</v>
      </c>
      <c r="BH46" s="55">
        <f t="shared" ca="1" si="35"/>
        <v>0</v>
      </c>
    </row>
    <row r="47" spans="1:60" x14ac:dyDescent="0.2">
      <c r="A47" s="61">
        <f ca="1">RANK(W47,W$12:W$311,0)+COUNTIF(W$12:W47,W47)-1</f>
        <v>265</v>
      </c>
      <c r="B47" s="55">
        <f>'Etape 1'!A43</f>
        <v>36</v>
      </c>
      <c r="C47" s="55">
        <f>'Etape 1'!B43</f>
        <v>0</v>
      </c>
      <c r="D47" s="55">
        <f>'Etape 1'!C43</f>
        <v>0</v>
      </c>
      <c r="E47" s="55">
        <f>'Etape 1'!D43</f>
        <v>0</v>
      </c>
      <c r="F47" s="55">
        <f>'Etape 1'!E43</f>
        <v>0</v>
      </c>
      <c r="G47" s="55">
        <f>'Etape 1'!F43</f>
        <v>0</v>
      </c>
      <c r="H47" s="55">
        <f>'Etape 1'!G43</f>
        <v>0</v>
      </c>
      <c r="I47" s="209">
        <v>1</v>
      </c>
      <c r="J47" s="58">
        <f t="shared" si="48"/>
        <v>0</v>
      </c>
      <c r="K47" s="21">
        <f t="shared" si="50"/>
        <v>0</v>
      </c>
      <c r="L47" s="21">
        <f t="shared" si="51"/>
        <v>0</v>
      </c>
      <c r="M47" s="21">
        <f t="shared" ca="1" si="52"/>
        <v>3</v>
      </c>
      <c r="N47" s="21">
        <f t="shared" ca="1" si="53"/>
        <v>3</v>
      </c>
      <c r="O47" s="21">
        <f t="shared" ca="1" si="54"/>
        <v>0</v>
      </c>
      <c r="P47" s="262" t="str">
        <f>IF('Etape 1'!J43=999,"",IF('Etape 1'!J43=9999,txt_Schritt1.Angaben.fehlen,VLOOKUP(N47,Matrix_1.2.3.Test.Punkte.ID.Beurteilung,4,1)))</f>
        <v/>
      </c>
      <c r="Q47" s="21">
        <f t="shared" ca="1" si="49"/>
        <v>0</v>
      </c>
      <c r="R47" s="136">
        <f t="shared" si="37"/>
        <v>36</v>
      </c>
      <c r="S47" s="136">
        <f t="shared" ca="1" si="5"/>
        <v>162.11960132890366</v>
      </c>
      <c r="T47" s="136">
        <f t="shared" ca="1" si="38"/>
        <v>750.11960132890363</v>
      </c>
      <c r="U47" s="136">
        <f t="shared" ca="1" si="39"/>
        <v>1224000.1196013289</v>
      </c>
      <c r="V47" s="211">
        <f t="shared" ca="1" si="40"/>
        <v>235406.31164564833</v>
      </c>
      <c r="W47" s="136">
        <f t="shared" ca="1" si="6"/>
        <v>36</v>
      </c>
      <c r="X47" s="136">
        <f t="shared" ca="1" si="55"/>
        <v>162.999000999001</v>
      </c>
      <c r="Y47" s="21">
        <f t="shared" si="56"/>
        <v>1</v>
      </c>
      <c r="Z47" s="21" t="str">
        <f t="shared" si="57"/>
        <v>&lt;IE0</v>
      </c>
      <c r="AA47" s="21">
        <f t="shared" si="58"/>
        <v>1</v>
      </c>
      <c r="AB47" s="21" t="str">
        <f t="shared" si="59"/>
        <v>a - "&lt; 1990 (Eff3)"</v>
      </c>
      <c r="AC47" s="21">
        <f t="shared" si="60"/>
        <v>999999</v>
      </c>
      <c r="AD47" s="21" t="str">
        <f t="shared" si="61"/>
        <v/>
      </c>
      <c r="AE47" s="21" t="str">
        <f t="shared" si="62"/>
        <v/>
      </c>
      <c r="AF47" s="21" t="str">
        <f t="shared" si="63"/>
        <v/>
      </c>
      <c r="AG47" s="21">
        <f t="shared" si="64"/>
        <v>0</v>
      </c>
      <c r="AH47" s="21">
        <f>IF('Etape 1'!H43=St.Wert_Hacken,1,0)</f>
        <v>0</v>
      </c>
      <c r="AI47" s="21">
        <f t="shared" si="41"/>
        <v>0</v>
      </c>
      <c r="AJ47" s="21">
        <f t="shared" si="65"/>
        <v>1000999</v>
      </c>
      <c r="AK47" s="58">
        <f t="shared" si="66"/>
        <v>1100</v>
      </c>
      <c r="AL47" s="58">
        <f t="shared" si="67"/>
        <v>440</v>
      </c>
      <c r="AM47" s="21">
        <f t="shared" si="68"/>
        <v>0</v>
      </c>
      <c r="AN47" s="58">
        <f t="shared" si="69"/>
        <v>1</v>
      </c>
      <c r="AO47" s="58" t="str">
        <f t="shared" si="70"/>
        <v>114</v>
      </c>
      <c r="AP47" s="58" t="str">
        <f t="shared" si="71"/>
        <v>164</v>
      </c>
      <c r="AQ47" s="21" t="e">
        <f t="shared" si="72"/>
        <v>#NUM!</v>
      </c>
      <c r="AR47" s="21" t="e">
        <f t="shared" si="73"/>
        <v>#NUM!</v>
      </c>
      <c r="AS47" s="136" t="e">
        <f t="shared" si="42"/>
        <v>#NUM!</v>
      </c>
      <c r="AT47" s="59" t="e">
        <f t="shared" si="74"/>
        <v>#NUM!</v>
      </c>
      <c r="AU47" s="21" t="e">
        <f t="shared" si="43"/>
        <v>#NUM!</v>
      </c>
      <c r="AV47" s="58">
        <f t="shared" si="75"/>
        <v>1500</v>
      </c>
      <c r="AW47" s="58">
        <f t="shared" si="76"/>
        <v>600</v>
      </c>
      <c r="AX47" s="60">
        <f t="shared" si="77"/>
        <v>0.11</v>
      </c>
      <c r="AY47" s="212">
        <f t="shared" si="44"/>
        <v>0</v>
      </c>
      <c r="AZ47" s="59">
        <f t="shared" si="78"/>
        <v>0</v>
      </c>
      <c r="BA47" s="21" t="e">
        <f t="shared" si="45"/>
        <v>#DIV/0!</v>
      </c>
      <c r="BB47" s="58">
        <f t="shared" si="79"/>
        <v>2900</v>
      </c>
      <c r="BC47" s="58">
        <f t="shared" si="80"/>
        <v>1160</v>
      </c>
      <c r="BD47" s="60">
        <f t="shared" si="81"/>
        <v>0.15</v>
      </c>
      <c r="BE47" s="212" t="e">
        <f t="shared" si="46"/>
        <v>#NUM!</v>
      </c>
      <c r="BF47" s="59" t="e">
        <f t="shared" si="82"/>
        <v>#NUM!</v>
      </c>
      <c r="BG47" s="21" t="e">
        <f t="shared" si="47"/>
        <v>#NUM!</v>
      </c>
      <c r="BH47" s="55">
        <f t="shared" ca="1" si="35"/>
        <v>0</v>
      </c>
    </row>
    <row r="48" spans="1:60" x14ac:dyDescent="0.2">
      <c r="A48" s="61">
        <f ca="1">RANK(W48,W$12:W$311,0)+COUNTIF(W$12:W48,W48)-1</f>
        <v>264</v>
      </c>
      <c r="B48" s="55">
        <f>'Etape 1'!A44</f>
        <v>37</v>
      </c>
      <c r="C48" s="55">
        <f>'Etape 1'!B44</f>
        <v>0</v>
      </c>
      <c r="D48" s="55">
        <f>'Etape 1'!C44</f>
        <v>0</v>
      </c>
      <c r="E48" s="55">
        <f>'Etape 1'!D44</f>
        <v>0</v>
      </c>
      <c r="F48" s="55">
        <f>'Etape 1'!E44</f>
        <v>0</v>
      </c>
      <c r="G48" s="55">
        <f>'Etape 1'!F44</f>
        <v>0</v>
      </c>
      <c r="H48" s="55">
        <f>'Etape 1'!G44</f>
        <v>0</v>
      </c>
      <c r="I48" s="209">
        <v>1</v>
      </c>
      <c r="J48" s="58">
        <f t="shared" si="48"/>
        <v>0</v>
      </c>
      <c r="K48" s="21">
        <f t="shared" si="50"/>
        <v>0</v>
      </c>
      <c r="L48" s="21">
        <f t="shared" si="51"/>
        <v>0</v>
      </c>
      <c r="M48" s="21">
        <f t="shared" ca="1" si="52"/>
        <v>3</v>
      </c>
      <c r="N48" s="21">
        <f t="shared" ca="1" si="53"/>
        <v>3</v>
      </c>
      <c r="O48" s="21">
        <f t="shared" ca="1" si="54"/>
        <v>0</v>
      </c>
      <c r="P48" s="262" t="str">
        <f>IF('Etape 1'!J44=999,"",IF('Etape 1'!J44=9999,txt_Schritt1.Angaben.fehlen,VLOOKUP(N48,Matrix_1.2.3.Test.Punkte.ID.Beurteilung,4,1)))</f>
        <v/>
      </c>
      <c r="Q48" s="21">
        <f t="shared" ca="1" si="49"/>
        <v>0</v>
      </c>
      <c r="R48" s="136">
        <f t="shared" si="37"/>
        <v>37</v>
      </c>
      <c r="S48" s="136">
        <f t="shared" ca="1" si="5"/>
        <v>162.12292358803987</v>
      </c>
      <c r="T48" s="136">
        <f t="shared" ca="1" si="38"/>
        <v>750.12292358803984</v>
      </c>
      <c r="U48" s="136">
        <f t="shared" ca="1" si="39"/>
        <v>1224000.1229235881</v>
      </c>
      <c r="V48" s="211">
        <f t="shared" ca="1" si="40"/>
        <v>235406.31496790744</v>
      </c>
      <c r="W48" s="136">
        <f t="shared" ca="1" si="6"/>
        <v>37</v>
      </c>
      <c r="X48" s="136">
        <f t="shared" ca="1" si="55"/>
        <v>162.999000999001</v>
      </c>
      <c r="Y48" s="21">
        <f t="shared" si="56"/>
        <v>1</v>
      </c>
      <c r="Z48" s="21" t="str">
        <f t="shared" si="57"/>
        <v>&lt;IE0</v>
      </c>
      <c r="AA48" s="21">
        <f t="shared" si="58"/>
        <v>1</v>
      </c>
      <c r="AB48" s="21" t="str">
        <f t="shared" si="59"/>
        <v>a - "&lt; 1990 (Eff3)"</v>
      </c>
      <c r="AC48" s="21">
        <f t="shared" si="60"/>
        <v>999999</v>
      </c>
      <c r="AD48" s="21" t="str">
        <f t="shared" si="61"/>
        <v/>
      </c>
      <c r="AE48" s="21" t="str">
        <f t="shared" si="62"/>
        <v/>
      </c>
      <c r="AF48" s="21" t="str">
        <f t="shared" si="63"/>
        <v/>
      </c>
      <c r="AG48" s="21">
        <f t="shared" si="64"/>
        <v>0</v>
      </c>
      <c r="AH48" s="21">
        <f>IF('Etape 1'!H44=St.Wert_Hacken,1,0)</f>
        <v>0</v>
      </c>
      <c r="AI48" s="21">
        <f t="shared" si="41"/>
        <v>0</v>
      </c>
      <c r="AJ48" s="21">
        <f t="shared" si="65"/>
        <v>1000999</v>
      </c>
      <c r="AK48" s="58">
        <f t="shared" si="66"/>
        <v>1100</v>
      </c>
      <c r="AL48" s="58">
        <f t="shared" si="67"/>
        <v>440</v>
      </c>
      <c r="AM48" s="21">
        <f t="shared" si="68"/>
        <v>0</v>
      </c>
      <c r="AN48" s="58">
        <f t="shared" si="69"/>
        <v>1</v>
      </c>
      <c r="AO48" s="58" t="str">
        <f t="shared" si="70"/>
        <v>114</v>
      </c>
      <c r="AP48" s="58" t="str">
        <f t="shared" si="71"/>
        <v>164</v>
      </c>
      <c r="AQ48" s="21" t="e">
        <f t="shared" si="72"/>
        <v>#NUM!</v>
      </c>
      <c r="AR48" s="21" t="e">
        <f t="shared" si="73"/>
        <v>#NUM!</v>
      </c>
      <c r="AS48" s="136" t="e">
        <f t="shared" si="42"/>
        <v>#NUM!</v>
      </c>
      <c r="AT48" s="59" t="e">
        <f t="shared" si="74"/>
        <v>#NUM!</v>
      </c>
      <c r="AU48" s="21" t="e">
        <f t="shared" si="43"/>
        <v>#NUM!</v>
      </c>
      <c r="AV48" s="58">
        <f t="shared" si="75"/>
        <v>1500</v>
      </c>
      <c r="AW48" s="58">
        <f t="shared" si="76"/>
        <v>600</v>
      </c>
      <c r="AX48" s="60">
        <f t="shared" si="77"/>
        <v>0.11</v>
      </c>
      <c r="AY48" s="212">
        <f t="shared" si="44"/>
        <v>0</v>
      </c>
      <c r="AZ48" s="59">
        <f t="shared" si="78"/>
        <v>0</v>
      </c>
      <c r="BA48" s="21" t="e">
        <f t="shared" si="45"/>
        <v>#DIV/0!</v>
      </c>
      <c r="BB48" s="58">
        <f t="shared" si="79"/>
        <v>2900</v>
      </c>
      <c r="BC48" s="58">
        <f t="shared" si="80"/>
        <v>1160</v>
      </c>
      <c r="BD48" s="60">
        <f t="shared" si="81"/>
        <v>0.15</v>
      </c>
      <c r="BE48" s="212" t="e">
        <f t="shared" si="46"/>
        <v>#NUM!</v>
      </c>
      <c r="BF48" s="59" t="e">
        <f t="shared" si="82"/>
        <v>#NUM!</v>
      </c>
      <c r="BG48" s="21" t="e">
        <f t="shared" si="47"/>
        <v>#NUM!</v>
      </c>
      <c r="BH48" s="55">
        <f t="shared" ca="1" si="35"/>
        <v>0</v>
      </c>
    </row>
    <row r="49" spans="1:60" x14ac:dyDescent="0.2">
      <c r="A49" s="61">
        <f ca="1">RANK(W49,W$12:W$311,0)+COUNTIF(W$12:W49,W49)-1</f>
        <v>263</v>
      </c>
      <c r="B49" s="55">
        <f>'Etape 1'!A45</f>
        <v>38</v>
      </c>
      <c r="C49" s="55">
        <f>'Etape 1'!B45</f>
        <v>0</v>
      </c>
      <c r="D49" s="55">
        <f>'Etape 1'!C45</f>
        <v>0</v>
      </c>
      <c r="E49" s="55">
        <f>'Etape 1'!D45</f>
        <v>0</v>
      </c>
      <c r="F49" s="55">
        <f>'Etape 1'!E45</f>
        <v>0</v>
      </c>
      <c r="G49" s="55">
        <f>'Etape 1'!F45</f>
        <v>0</v>
      </c>
      <c r="H49" s="55">
        <f>'Etape 1'!G45</f>
        <v>0</v>
      </c>
      <c r="I49" s="209">
        <v>1</v>
      </c>
      <c r="J49" s="58">
        <f t="shared" si="48"/>
        <v>0</v>
      </c>
      <c r="K49" s="21">
        <f t="shared" si="50"/>
        <v>0</v>
      </c>
      <c r="L49" s="21">
        <f t="shared" si="51"/>
        <v>0</v>
      </c>
      <c r="M49" s="21">
        <f t="shared" ca="1" si="52"/>
        <v>3</v>
      </c>
      <c r="N49" s="21">
        <f t="shared" ca="1" si="53"/>
        <v>3</v>
      </c>
      <c r="O49" s="21">
        <f t="shared" ca="1" si="54"/>
        <v>0</v>
      </c>
      <c r="P49" s="262" t="str">
        <f>IF('Etape 1'!J45=999,"",IF('Etape 1'!J45=9999,txt_Schritt1.Angaben.fehlen,VLOOKUP(N49,Matrix_1.2.3.Test.Punkte.ID.Beurteilung,4,1)))</f>
        <v/>
      </c>
      <c r="Q49" s="21">
        <f t="shared" ca="1" si="49"/>
        <v>0</v>
      </c>
      <c r="R49" s="136">
        <f t="shared" si="37"/>
        <v>38</v>
      </c>
      <c r="S49" s="136">
        <f t="shared" ca="1" si="5"/>
        <v>162.12624584717608</v>
      </c>
      <c r="T49" s="136">
        <f t="shared" ca="1" si="38"/>
        <v>750.12624584717605</v>
      </c>
      <c r="U49" s="136">
        <f t="shared" ca="1" si="39"/>
        <v>1224000.1262458472</v>
      </c>
      <c r="V49" s="211">
        <f t="shared" ca="1" si="40"/>
        <v>235406.31829016659</v>
      </c>
      <c r="W49" s="136">
        <f t="shared" ca="1" si="6"/>
        <v>38</v>
      </c>
      <c r="X49" s="136">
        <f t="shared" ca="1" si="55"/>
        <v>162.999000999001</v>
      </c>
      <c r="Y49" s="21">
        <f t="shared" si="56"/>
        <v>1</v>
      </c>
      <c r="Z49" s="21" t="str">
        <f t="shared" si="57"/>
        <v>&lt;IE0</v>
      </c>
      <c r="AA49" s="21">
        <f t="shared" si="58"/>
        <v>1</v>
      </c>
      <c r="AB49" s="21" t="str">
        <f t="shared" si="59"/>
        <v>a - "&lt; 1990 (Eff3)"</v>
      </c>
      <c r="AC49" s="21">
        <f t="shared" si="60"/>
        <v>999999</v>
      </c>
      <c r="AD49" s="21" t="str">
        <f t="shared" si="61"/>
        <v/>
      </c>
      <c r="AE49" s="21" t="str">
        <f t="shared" si="62"/>
        <v/>
      </c>
      <c r="AF49" s="21" t="str">
        <f t="shared" si="63"/>
        <v/>
      </c>
      <c r="AG49" s="21">
        <f t="shared" si="64"/>
        <v>0</v>
      </c>
      <c r="AH49" s="21">
        <f>IF('Etape 1'!H45=St.Wert_Hacken,1,0)</f>
        <v>0</v>
      </c>
      <c r="AI49" s="21">
        <f t="shared" si="41"/>
        <v>0</v>
      </c>
      <c r="AJ49" s="21">
        <f t="shared" si="65"/>
        <v>1000999</v>
      </c>
      <c r="AK49" s="58">
        <f t="shared" si="66"/>
        <v>1100</v>
      </c>
      <c r="AL49" s="58">
        <f t="shared" si="67"/>
        <v>440</v>
      </c>
      <c r="AM49" s="21">
        <f t="shared" si="68"/>
        <v>0</v>
      </c>
      <c r="AN49" s="58">
        <f t="shared" si="69"/>
        <v>1</v>
      </c>
      <c r="AO49" s="58" t="str">
        <f t="shared" si="70"/>
        <v>114</v>
      </c>
      <c r="AP49" s="58" t="str">
        <f t="shared" si="71"/>
        <v>164</v>
      </c>
      <c r="AQ49" s="21" t="e">
        <f t="shared" si="72"/>
        <v>#NUM!</v>
      </c>
      <c r="AR49" s="21" t="e">
        <f t="shared" si="73"/>
        <v>#NUM!</v>
      </c>
      <c r="AS49" s="136" t="e">
        <f t="shared" si="42"/>
        <v>#NUM!</v>
      </c>
      <c r="AT49" s="59" t="e">
        <f t="shared" si="74"/>
        <v>#NUM!</v>
      </c>
      <c r="AU49" s="21" t="e">
        <f t="shared" si="43"/>
        <v>#NUM!</v>
      </c>
      <c r="AV49" s="58">
        <f t="shared" si="75"/>
        <v>1500</v>
      </c>
      <c r="AW49" s="58">
        <f t="shared" si="76"/>
        <v>600</v>
      </c>
      <c r="AX49" s="60">
        <f t="shared" si="77"/>
        <v>0.11</v>
      </c>
      <c r="AY49" s="212">
        <f t="shared" si="44"/>
        <v>0</v>
      </c>
      <c r="AZ49" s="59">
        <f t="shared" si="78"/>
        <v>0</v>
      </c>
      <c r="BA49" s="21" t="e">
        <f t="shared" si="45"/>
        <v>#DIV/0!</v>
      </c>
      <c r="BB49" s="58">
        <f t="shared" si="79"/>
        <v>2900</v>
      </c>
      <c r="BC49" s="58">
        <f t="shared" si="80"/>
        <v>1160</v>
      </c>
      <c r="BD49" s="60">
        <f t="shared" si="81"/>
        <v>0.15</v>
      </c>
      <c r="BE49" s="212" t="e">
        <f t="shared" si="46"/>
        <v>#NUM!</v>
      </c>
      <c r="BF49" s="59" t="e">
        <f t="shared" si="82"/>
        <v>#NUM!</v>
      </c>
      <c r="BG49" s="21" t="e">
        <f t="shared" si="47"/>
        <v>#NUM!</v>
      </c>
      <c r="BH49" s="55">
        <f t="shared" ca="1" si="35"/>
        <v>0</v>
      </c>
    </row>
    <row r="50" spans="1:60" x14ac:dyDescent="0.2">
      <c r="A50" s="61">
        <f ca="1">RANK(W50,W$12:W$311,0)+COUNTIF(W$12:W50,W50)-1</f>
        <v>262</v>
      </c>
      <c r="B50" s="55">
        <f>'Etape 1'!A46</f>
        <v>39</v>
      </c>
      <c r="C50" s="55">
        <f>'Etape 1'!B46</f>
        <v>0</v>
      </c>
      <c r="D50" s="55">
        <f>'Etape 1'!C46</f>
        <v>0</v>
      </c>
      <c r="E50" s="55">
        <f>'Etape 1'!D46</f>
        <v>0</v>
      </c>
      <c r="F50" s="55">
        <f>'Etape 1'!E46</f>
        <v>0</v>
      </c>
      <c r="G50" s="55">
        <f>'Etape 1'!F46</f>
        <v>0</v>
      </c>
      <c r="H50" s="55">
        <f>'Etape 1'!G46</f>
        <v>0</v>
      </c>
      <c r="I50" s="209">
        <v>1</v>
      </c>
      <c r="J50" s="58">
        <f t="shared" si="48"/>
        <v>0</v>
      </c>
      <c r="K50" s="21">
        <f t="shared" si="50"/>
        <v>0</v>
      </c>
      <c r="L50" s="21">
        <f t="shared" si="51"/>
        <v>0</v>
      </c>
      <c r="M50" s="21">
        <f t="shared" ca="1" si="52"/>
        <v>3</v>
      </c>
      <c r="N50" s="21">
        <f t="shared" ca="1" si="53"/>
        <v>3</v>
      </c>
      <c r="O50" s="21">
        <f t="shared" ca="1" si="54"/>
        <v>0</v>
      </c>
      <c r="P50" s="262" t="str">
        <f>IF('Etape 1'!J46=999,"",IF('Etape 1'!J46=9999,txt_Schritt1.Angaben.fehlen,VLOOKUP(N50,Matrix_1.2.3.Test.Punkte.ID.Beurteilung,4,1)))</f>
        <v/>
      </c>
      <c r="Q50" s="21">
        <f t="shared" ca="1" si="49"/>
        <v>0</v>
      </c>
      <c r="R50" s="136">
        <f t="shared" si="37"/>
        <v>39</v>
      </c>
      <c r="S50" s="136">
        <f t="shared" ca="1" si="5"/>
        <v>162.12956810631229</v>
      </c>
      <c r="T50" s="136">
        <f t="shared" ca="1" si="38"/>
        <v>750.12956810631226</v>
      </c>
      <c r="U50" s="136">
        <f t="shared" ca="1" si="39"/>
        <v>1224000.1295681063</v>
      </c>
      <c r="V50" s="211">
        <f t="shared" ca="1" si="40"/>
        <v>235406.32161242573</v>
      </c>
      <c r="W50" s="136">
        <f t="shared" ca="1" si="6"/>
        <v>39</v>
      </c>
      <c r="X50" s="136">
        <f t="shared" ca="1" si="55"/>
        <v>162.999000999001</v>
      </c>
      <c r="Y50" s="21">
        <f t="shared" si="56"/>
        <v>1</v>
      </c>
      <c r="Z50" s="21" t="str">
        <f t="shared" si="57"/>
        <v>&lt;IE0</v>
      </c>
      <c r="AA50" s="21">
        <f t="shared" si="58"/>
        <v>1</v>
      </c>
      <c r="AB50" s="21" t="str">
        <f t="shared" si="59"/>
        <v>a - "&lt; 1990 (Eff3)"</v>
      </c>
      <c r="AC50" s="21">
        <f t="shared" si="60"/>
        <v>999999</v>
      </c>
      <c r="AD50" s="21" t="str">
        <f t="shared" si="61"/>
        <v/>
      </c>
      <c r="AE50" s="21" t="str">
        <f t="shared" si="62"/>
        <v/>
      </c>
      <c r="AF50" s="21" t="str">
        <f t="shared" si="63"/>
        <v/>
      </c>
      <c r="AG50" s="21">
        <f t="shared" si="64"/>
        <v>0</v>
      </c>
      <c r="AH50" s="21">
        <f>IF('Etape 1'!H46=St.Wert_Hacken,1,0)</f>
        <v>0</v>
      </c>
      <c r="AI50" s="21">
        <f t="shared" si="41"/>
        <v>0</v>
      </c>
      <c r="AJ50" s="21">
        <f t="shared" si="65"/>
        <v>1000999</v>
      </c>
      <c r="AK50" s="58">
        <f t="shared" si="66"/>
        <v>1100</v>
      </c>
      <c r="AL50" s="58">
        <f t="shared" si="67"/>
        <v>440</v>
      </c>
      <c r="AM50" s="21">
        <f t="shared" si="68"/>
        <v>0</v>
      </c>
      <c r="AN50" s="58">
        <f t="shared" si="69"/>
        <v>1</v>
      </c>
      <c r="AO50" s="58" t="str">
        <f t="shared" si="70"/>
        <v>114</v>
      </c>
      <c r="AP50" s="58" t="str">
        <f t="shared" si="71"/>
        <v>164</v>
      </c>
      <c r="AQ50" s="21" t="e">
        <f t="shared" si="72"/>
        <v>#NUM!</v>
      </c>
      <c r="AR50" s="21" t="e">
        <f t="shared" si="73"/>
        <v>#NUM!</v>
      </c>
      <c r="AS50" s="136" t="e">
        <f t="shared" si="42"/>
        <v>#NUM!</v>
      </c>
      <c r="AT50" s="59" t="e">
        <f t="shared" si="74"/>
        <v>#NUM!</v>
      </c>
      <c r="AU50" s="21" t="e">
        <f t="shared" si="43"/>
        <v>#NUM!</v>
      </c>
      <c r="AV50" s="58">
        <f t="shared" si="75"/>
        <v>1500</v>
      </c>
      <c r="AW50" s="58">
        <f t="shared" si="76"/>
        <v>600</v>
      </c>
      <c r="AX50" s="60">
        <f t="shared" si="77"/>
        <v>0.11</v>
      </c>
      <c r="AY50" s="212">
        <f t="shared" si="44"/>
        <v>0</v>
      </c>
      <c r="AZ50" s="59">
        <f t="shared" si="78"/>
        <v>0</v>
      </c>
      <c r="BA50" s="21" t="e">
        <f t="shared" si="45"/>
        <v>#DIV/0!</v>
      </c>
      <c r="BB50" s="58">
        <f t="shared" si="79"/>
        <v>2900</v>
      </c>
      <c r="BC50" s="58">
        <f t="shared" si="80"/>
        <v>1160</v>
      </c>
      <c r="BD50" s="60">
        <f t="shared" si="81"/>
        <v>0.15</v>
      </c>
      <c r="BE50" s="212" t="e">
        <f t="shared" si="46"/>
        <v>#NUM!</v>
      </c>
      <c r="BF50" s="59" t="e">
        <f t="shared" si="82"/>
        <v>#NUM!</v>
      </c>
      <c r="BG50" s="21" t="e">
        <f t="shared" si="47"/>
        <v>#NUM!</v>
      </c>
      <c r="BH50" s="55">
        <f t="shared" ca="1" si="35"/>
        <v>0</v>
      </c>
    </row>
    <row r="51" spans="1:60" x14ac:dyDescent="0.2">
      <c r="A51" s="61">
        <f ca="1">RANK(W51,W$12:W$311,0)+COUNTIF(W$12:W51,W51)-1</f>
        <v>261</v>
      </c>
      <c r="B51" s="55">
        <f>'Etape 1'!A47</f>
        <v>40</v>
      </c>
      <c r="C51" s="55">
        <f>'Etape 1'!B47</f>
        <v>0</v>
      </c>
      <c r="D51" s="55">
        <f>'Etape 1'!C47</f>
        <v>0</v>
      </c>
      <c r="E51" s="55">
        <f>'Etape 1'!D47</f>
        <v>0</v>
      </c>
      <c r="F51" s="55">
        <f>'Etape 1'!E47</f>
        <v>0</v>
      </c>
      <c r="G51" s="55">
        <f>'Etape 1'!F47</f>
        <v>0</v>
      </c>
      <c r="H51" s="55">
        <f>'Etape 1'!G47</f>
        <v>0</v>
      </c>
      <c r="I51" s="209">
        <v>1</v>
      </c>
      <c r="J51" s="58">
        <f t="shared" si="48"/>
        <v>0</v>
      </c>
      <c r="K51" s="21">
        <f t="shared" si="50"/>
        <v>0</v>
      </c>
      <c r="L51" s="21">
        <f t="shared" si="51"/>
        <v>0</v>
      </c>
      <c r="M51" s="21">
        <f t="shared" ca="1" si="52"/>
        <v>3</v>
      </c>
      <c r="N51" s="21">
        <f t="shared" ca="1" si="53"/>
        <v>3</v>
      </c>
      <c r="O51" s="21">
        <f t="shared" ca="1" si="54"/>
        <v>0</v>
      </c>
      <c r="P51" s="262" t="str">
        <f>IF('Etape 1'!J47=999,"",IF('Etape 1'!J47=9999,txt_Schritt1.Angaben.fehlen,VLOOKUP(N51,Matrix_1.2.3.Test.Punkte.ID.Beurteilung,4,1)))</f>
        <v/>
      </c>
      <c r="Q51" s="21">
        <f t="shared" ca="1" si="49"/>
        <v>0</v>
      </c>
      <c r="R51" s="136">
        <f t="shared" si="37"/>
        <v>40</v>
      </c>
      <c r="S51" s="136">
        <f t="shared" ca="1" si="5"/>
        <v>162.1328903654485</v>
      </c>
      <c r="T51" s="136">
        <f t="shared" ca="1" si="38"/>
        <v>750.13289036544847</v>
      </c>
      <c r="U51" s="136">
        <f t="shared" ca="1" si="39"/>
        <v>1224000.1328903656</v>
      </c>
      <c r="V51" s="211">
        <f t="shared" ca="1" si="40"/>
        <v>235406.32493468485</v>
      </c>
      <c r="W51" s="136">
        <f t="shared" ca="1" si="6"/>
        <v>40</v>
      </c>
      <c r="X51" s="136">
        <f t="shared" ca="1" si="55"/>
        <v>162.999000999001</v>
      </c>
      <c r="Y51" s="21">
        <f t="shared" si="56"/>
        <v>1</v>
      </c>
      <c r="Z51" s="21" t="str">
        <f t="shared" si="57"/>
        <v>&lt;IE0</v>
      </c>
      <c r="AA51" s="21">
        <f t="shared" si="58"/>
        <v>1</v>
      </c>
      <c r="AB51" s="21" t="str">
        <f t="shared" si="59"/>
        <v>a - "&lt; 1990 (Eff3)"</v>
      </c>
      <c r="AC51" s="21">
        <f t="shared" si="60"/>
        <v>999999</v>
      </c>
      <c r="AD51" s="21" t="str">
        <f t="shared" si="61"/>
        <v/>
      </c>
      <c r="AE51" s="21" t="str">
        <f t="shared" si="62"/>
        <v/>
      </c>
      <c r="AF51" s="21" t="str">
        <f t="shared" si="63"/>
        <v/>
      </c>
      <c r="AG51" s="21">
        <f t="shared" si="64"/>
        <v>0</v>
      </c>
      <c r="AH51" s="21">
        <f>IF('Etape 1'!H47=St.Wert_Hacken,1,0)</f>
        <v>0</v>
      </c>
      <c r="AI51" s="21">
        <f t="shared" si="41"/>
        <v>0</v>
      </c>
      <c r="AJ51" s="21">
        <f t="shared" si="65"/>
        <v>1000999</v>
      </c>
      <c r="AK51" s="58">
        <f t="shared" si="66"/>
        <v>1100</v>
      </c>
      <c r="AL51" s="58">
        <f t="shared" si="67"/>
        <v>440</v>
      </c>
      <c r="AM51" s="21">
        <f t="shared" si="68"/>
        <v>0</v>
      </c>
      <c r="AN51" s="58">
        <f t="shared" si="69"/>
        <v>1</v>
      </c>
      <c r="AO51" s="58" t="str">
        <f t="shared" si="70"/>
        <v>114</v>
      </c>
      <c r="AP51" s="58" t="str">
        <f t="shared" si="71"/>
        <v>164</v>
      </c>
      <c r="AQ51" s="21" t="e">
        <f t="shared" si="72"/>
        <v>#NUM!</v>
      </c>
      <c r="AR51" s="21" t="e">
        <f t="shared" si="73"/>
        <v>#NUM!</v>
      </c>
      <c r="AS51" s="136" t="e">
        <f t="shared" si="42"/>
        <v>#NUM!</v>
      </c>
      <c r="AT51" s="59" t="e">
        <f t="shared" si="74"/>
        <v>#NUM!</v>
      </c>
      <c r="AU51" s="21" t="e">
        <f t="shared" si="43"/>
        <v>#NUM!</v>
      </c>
      <c r="AV51" s="58">
        <f t="shared" si="75"/>
        <v>1500</v>
      </c>
      <c r="AW51" s="58">
        <f t="shared" si="76"/>
        <v>600</v>
      </c>
      <c r="AX51" s="60">
        <f t="shared" si="77"/>
        <v>0.11</v>
      </c>
      <c r="AY51" s="212">
        <f t="shared" si="44"/>
        <v>0</v>
      </c>
      <c r="AZ51" s="59">
        <f t="shared" si="78"/>
        <v>0</v>
      </c>
      <c r="BA51" s="21" t="e">
        <f t="shared" si="45"/>
        <v>#DIV/0!</v>
      </c>
      <c r="BB51" s="58">
        <f t="shared" si="79"/>
        <v>2900</v>
      </c>
      <c r="BC51" s="58">
        <f t="shared" si="80"/>
        <v>1160</v>
      </c>
      <c r="BD51" s="60">
        <f t="shared" si="81"/>
        <v>0.15</v>
      </c>
      <c r="BE51" s="212" t="e">
        <f t="shared" si="46"/>
        <v>#NUM!</v>
      </c>
      <c r="BF51" s="59" t="e">
        <f t="shared" si="82"/>
        <v>#NUM!</v>
      </c>
      <c r="BG51" s="21" t="e">
        <f t="shared" si="47"/>
        <v>#NUM!</v>
      </c>
      <c r="BH51" s="55">
        <f t="shared" ca="1" si="35"/>
        <v>0</v>
      </c>
    </row>
    <row r="52" spans="1:60" x14ac:dyDescent="0.2">
      <c r="A52" s="61">
        <f ca="1">RANK(W52,W$12:W$311,0)+COUNTIF(W$12:W52,W52)-1</f>
        <v>260</v>
      </c>
      <c r="B52" s="55">
        <f>'Etape 1'!A48</f>
        <v>41</v>
      </c>
      <c r="C52" s="55">
        <f>'Etape 1'!B48</f>
        <v>0</v>
      </c>
      <c r="D52" s="55">
        <f>'Etape 1'!C48</f>
        <v>0</v>
      </c>
      <c r="E52" s="55">
        <f>'Etape 1'!D48</f>
        <v>0</v>
      </c>
      <c r="F52" s="55">
        <f>'Etape 1'!E48</f>
        <v>0</v>
      </c>
      <c r="G52" s="55">
        <f>'Etape 1'!F48</f>
        <v>0</v>
      </c>
      <c r="H52" s="55">
        <f>'Etape 1'!G48</f>
        <v>0</v>
      </c>
      <c r="I52" s="209">
        <v>1</v>
      </c>
      <c r="J52" s="58">
        <f t="shared" si="48"/>
        <v>0</v>
      </c>
      <c r="K52" s="21">
        <f t="shared" si="50"/>
        <v>0</v>
      </c>
      <c r="L52" s="21">
        <f t="shared" si="51"/>
        <v>0</v>
      </c>
      <c r="M52" s="21">
        <f t="shared" ca="1" si="52"/>
        <v>3</v>
      </c>
      <c r="N52" s="21">
        <f t="shared" ca="1" si="53"/>
        <v>3</v>
      </c>
      <c r="O52" s="21">
        <f t="shared" ca="1" si="54"/>
        <v>0</v>
      </c>
      <c r="P52" s="262" t="str">
        <f>IF('Etape 1'!J48=999,"",IF('Etape 1'!J48=9999,txt_Schritt1.Angaben.fehlen,VLOOKUP(N52,Matrix_1.2.3.Test.Punkte.ID.Beurteilung,4,1)))</f>
        <v/>
      </c>
      <c r="Q52" s="21">
        <f t="shared" ca="1" si="49"/>
        <v>0</v>
      </c>
      <c r="R52" s="136">
        <f t="shared" si="37"/>
        <v>41</v>
      </c>
      <c r="S52" s="136">
        <f t="shared" ca="1" si="5"/>
        <v>162.13621262458472</v>
      </c>
      <c r="T52" s="136">
        <f t="shared" ca="1" si="38"/>
        <v>750.13621262458469</v>
      </c>
      <c r="U52" s="136">
        <f t="shared" ca="1" si="39"/>
        <v>1224000.1362126246</v>
      </c>
      <c r="V52" s="211">
        <f t="shared" ca="1" si="40"/>
        <v>235406.32825694399</v>
      </c>
      <c r="W52" s="136">
        <f t="shared" ca="1" si="6"/>
        <v>41</v>
      </c>
      <c r="X52" s="136">
        <f t="shared" ca="1" si="55"/>
        <v>162.999000999001</v>
      </c>
      <c r="Y52" s="21">
        <f t="shared" si="56"/>
        <v>1</v>
      </c>
      <c r="Z52" s="21" t="str">
        <f t="shared" si="57"/>
        <v>&lt;IE0</v>
      </c>
      <c r="AA52" s="21">
        <f t="shared" si="58"/>
        <v>1</v>
      </c>
      <c r="AB52" s="21" t="str">
        <f t="shared" si="59"/>
        <v>a - "&lt; 1990 (Eff3)"</v>
      </c>
      <c r="AC52" s="21">
        <f t="shared" si="60"/>
        <v>999999</v>
      </c>
      <c r="AD52" s="21" t="str">
        <f t="shared" si="61"/>
        <v/>
      </c>
      <c r="AE52" s="21" t="str">
        <f t="shared" si="62"/>
        <v/>
      </c>
      <c r="AF52" s="21" t="str">
        <f t="shared" si="63"/>
        <v/>
      </c>
      <c r="AG52" s="21">
        <f t="shared" si="64"/>
        <v>0</v>
      </c>
      <c r="AH52" s="21">
        <f>IF('Etape 1'!H48=St.Wert_Hacken,1,0)</f>
        <v>0</v>
      </c>
      <c r="AI52" s="21">
        <f t="shared" si="41"/>
        <v>0</v>
      </c>
      <c r="AJ52" s="21">
        <f t="shared" si="65"/>
        <v>1000999</v>
      </c>
      <c r="AK52" s="58">
        <f t="shared" si="66"/>
        <v>1100</v>
      </c>
      <c r="AL52" s="58">
        <f t="shared" si="67"/>
        <v>440</v>
      </c>
      <c r="AM52" s="21">
        <f t="shared" si="68"/>
        <v>0</v>
      </c>
      <c r="AN52" s="58">
        <f t="shared" si="69"/>
        <v>1</v>
      </c>
      <c r="AO52" s="58" t="str">
        <f t="shared" si="70"/>
        <v>114</v>
      </c>
      <c r="AP52" s="58" t="str">
        <f t="shared" si="71"/>
        <v>164</v>
      </c>
      <c r="AQ52" s="21" t="e">
        <f t="shared" si="72"/>
        <v>#NUM!</v>
      </c>
      <c r="AR52" s="21" t="e">
        <f t="shared" si="73"/>
        <v>#NUM!</v>
      </c>
      <c r="AS52" s="136" t="e">
        <f t="shared" si="42"/>
        <v>#NUM!</v>
      </c>
      <c r="AT52" s="59" t="e">
        <f t="shared" si="74"/>
        <v>#NUM!</v>
      </c>
      <c r="AU52" s="21" t="e">
        <f t="shared" si="43"/>
        <v>#NUM!</v>
      </c>
      <c r="AV52" s="58">
        <f t="shared" si="75"/>
        <v>1500</v>
      </c>
      <c r="AW52" s="58">
        <f t="shared" si="76"/>
        <v>600</v>
      </c>
      <c r="AX52" s="60">
        <f t="shared" si="77"/>
        <v>0.11</v>
      </c>
      <c r="AY52" s="212">
        <f t="shared" si="44"/>
        <v>0</v>
      </c>
      <c r="AZ52" s="59">
        <f t="shared" si="78"/>
        <v>0</v>
      </c>
      <c r="BA52" s="21" t="e">
        <f t="shared" si="45"/>
        <v>#DIV/0!</v>
      </c>
      <c r="BB52" s="58">
        <f t="shared" si="79"/>
        <v>2900</v>
      </c>
      <c r="BC52" s="58">
        <f t="shared" si="80"/>
        <v>1160</v>
      </c>
      <c r="BD52" s="60">
        <f t="shared" si="81"/>
        <v>0.15</v>
      </c>
      <c r="BE52" s="212" t="e">
        <f t="shared" si="46"/>
        <v>#NUM!</v>
      </c>
      <c r="BF52" s="59" t="e">
        <f t="shared" si="82"/>
        <v>#NUM!</v>
      </c>
      <c r="BG52" s="21" t="e">
        <f t="shared" si="47"/>
        <v>#NUM!</v>
      </c>
      <c r="BH52" s="55">
        <f t="shared" ca="1" si="35"/>
        <v>0</v>
      </c>
    </row>
    <row r="53" spans="1:60" x14ac:dyDescent="0.2">
      <c r="A53" s="61">
        <f ca="1">RANK(W53,W$12:W$311,0)+COUNTIF(W$12:W53,W53)-1</f>
        <v>259</v>
      </c>
      <c r="B53" s="55">
        <f>'Etape 1'!A49</f>
        <v>42</v>
      </c>
      <c r="C53" s="55">
        <f>'Etape 1'!B49</f>
        <v>0</v>
      </c>
      <c r="D53" s="55">
        <f>'Etape 1'!C49</f>
        <v>0</v>
      </c>
      <c r="E53" s="55">
        <f>'Etape 1'!D49</f>
        <v>0</v>
      </c>
      <c r="F53" s="55">
        <f>'Etape 1'!E49</f>
        <v>0</v>
      </c>
      <c r="G53" s="55">
        <f>'Etape 1'!F49</f>
        <v>0</v>
      </c>
      <c r="H53" s="55">
        <f>'Etape 1'!G49</f>
        <v>0</v>
      </c>
      <c r="I53" s="209">
        <v>1</v>
      </c>
      <c r="J53" s="58">
        <f t="shared" si="48"/>
        <v>0</v>
      </c>
      <c r="K53" s="21">
        <f t="shared" si="50"/>
        <v>0</v>
      </c>
      <c r="L53" s="21">
        <f t="shared" si="51"/>
        <v>0</v>
      </c>
      <c r="M53" s="21">
        <f t="shared" ca="1" si="52"/>
        <v>3</v>
      </c>
      <c r="N53" s="21">
        <f t="shared" ca="1" si="53"/>
        <v>3</v>
      </c>
      <c r="O53" s="21">
        <f t="shared" ca="1" si="54"/>
        <v>0</v>
      </c>
      <c r="P53" s="262" t="str">
        <f>IF('Etape 1'!J49=999,"",IF('Etape 1'!J49=9999,txt_Schritt1.Angaben.fehlen,VLOOKUP(N53,Matrix_1.2.3.Test.Punkte.ID.Beurteilung,4,1)))</f>
        <v/>
      </c>
      <c r="Q53" s="21">
        <f t="shared" ca="1" si="49"/>
        <v>0</v>
      </c>
      <c r="R53" s="136">
        <f t="shared" si="37"/>
        <v>42</v>
      </c>
      <c r="S53" s="136">
        <f t="shared" ca="1" si="5"/>
        <v>162.13953488372093</v>
      </c>
      <c r="T53" s="136">
        <f t="shared" ca="1" si="38"/>
        <v>750.1395348837209</v>
      </c>
      <c r="U53" s="136">
        <f t="shared" ca="1" si="39"/>
        <v>1224000.1395348837</v>
      </c>
      <c r="V53" s="211">
        <f t="shared" ca="1" si="40"/>
        <v>235406.33157920314</v>
      </c>
      <c r="W53" s="136">
        <f t="shared" ca="1" si="6"/>
        <v>42</v>
      </c>
      <c r="X53" s="136">
        <f t="shared" ca="1" si="55"/>
        <v>162.999000999001</v>
      </c>
      <c r="Y53" s="21">
        <f t="shared" si="56"/>
        <v>1</v>
      </c>
      <c r="Z53" s="21" t="str">
        <f t="shared" si="57"/>
        <v>&lt;IE0</v>
      </c>
      <c r="AA53" s="21">
        <f t="shared" si="58"/>
        <v>1</v>
      </c>
      <c r="AB53" s="21" t="str">
        <f t="shared" si="59"/>
        <v>a - "&lt; 1990 (Eff3)"</v>
      </c>
      <c r="AC53" s="21">
        <f t="shared" si="60"/>
        <v>999999</v>
      </c>
      <c r="AD53" s="21" t="str">
        <f t="shared" si="61"/>
        <v/>
      </c>
      <c r="AE53" s="21" t="str">
        <f t="shared" si="62"/>
        <v/>
      </c>
      <c r="AF53" s="21" t="str">
        <f t="shared" si="63"/>
        <v/>
      </c>
      <c r="AG53" s="21">
        <f t="shared" si="64"/>
        <v>0</v>
      </c>
      <c r="AH53" s="21">
        <f>IF('Etape 1'!H49=St.Wert_Hacken,1,0)</f>
        <v>0</v>
      </c>
      <c r="AI53" s="21">
        <f t="shared" si="41"/>
        <v>0</v>
      </c>
      <c r="AJ53" s="21">
        <f t="shared" si="65"/>
        <v>1000999</v>
      </c>
      <c r="AK53" s="58">
        <f t="shared" si="66"/>
        <v>1100</v>
      </c>
      <c r="AL53" s="58">
        <f t="shared" si="67"/>
        <v>440</v>
      </c>
      <c r="AM53" s="21">
        <f t="shared" si="68"/>
        <v>0</v>
      </c>
      <c r="AN53" s="58">
        <f t="shared" si="69"/>
        <v>1</v>
      </c>
      <c r="AO53" s="58" t="str">
        <f t="shared" si="70"/>
        <v>114</v>
      </c>
      <c r="AP53" s="58" t="str">
        <f t="shared" si="71"/>
        <v>164</v>
      </c>
      <c r="AQ53" s="21" t="e">
        <f t="shared" si="72"/>
        <v>#NUM!</v>
      </c>
      <c r="AR53" s="21" t="e">
        <f t="shared" si="73"/>
        <v>#NUM!</v>
      </c>
      <c r="AS53" s="136" t="e">
        <f t="shared" si="42"/>
        <v>#NUM!</v>
      </c>
      <c r="AT53" s="59" t="e">
        <f t="shared" si="74"/>
        <v>#NUM!</v>
      </c>
      <c r="AU53" s="21" t="e">
        <f t="shared" si="43"/>
        <v>#NUM!</v>
      </c>
      <c r="AV53" s="58">
        <f t="shared" si="75"/>
        <v>1500</v>
      </c>
      <c r="AW53" s="58">
        <f t="shared" si="76"/>
        <v>600</v>
      </c>
      <c r="AX53" s="60">
        <f t="shared" si="77"/>
        <v>0.11</v>
      </c>
      <c r="AY53" s="212">
        <f t="shared" si="44"/>
        <v>0</v>
      </c>
      <c r="AZ53" s="59">
        <f t="shared" si="78"/>
        <v>0</v>
      </c>
      <c r="BA53" s="21" t="e">
        <f t="shared" si="45"/>
        <v>#DIV/0!</v>
      </c>
      <c r="BB53" s="58">
        <f t="shared" si="79"/>
        <v>2900</v>
      </c>
      <c r="BC53" s="58">
        <f t="shared" si="80"/>
        <v>1160</v>
      </c>
      <c r="BD53" s="60">
        <f t="shared" si="81"/>
        <v>0.15</v>
      </c>
      <c r="BE53" s="212" t="e">
        <f t="shared" si="46"/>
        <v>#NUM!</v>
      </c>
      <c r="BF53" s="59" t="e">
        <f t="shared" si="82"/>
        <v>#NUM!</v>
      </c>
      <c r="BG53" s="21" t="e">
        <f t="shared" si="47"/>
        <v>#NUM!</v>
      </c>
      <c r="BH53" s="55">
        <f t="shared" ca="1" si="35"/>
        <v>0</v>
      </c>
    </row>
    <row r="54" spans="1:60" x14ac:dyDescent="0.2">
      <c r="A54" s="61">
        <f ca="1">RANK(W54,W$12:W$311,0)+COUNTIF(W$12:W54,W54)-1</f>
        <v>258</v>
      </c>
      <c r="B54" s="55">
        <f>'Etape 1'!A50</f>
        <v>43</v>
      </c>
      <c r="C54" s="55">
        <f>'Etape 1'!B50</f>
        <v>0</v>
      </c>
      <c r="D54" s="55">
        <f>'Etape 1'!C50</f>
        <v>0</v>
      </c>
      <c r="E54" s="55">
        <f>'Etape 1'!D50</f>
        <v>0</v>
      </c>
      <c r="F54" s="55">
        <f>'Etape 1'!E50</f>
        <v>0</v>
      </c>
      <c r="G54" s="55">
        <f>'Etape 1'!F50</f>
        <v>0</v>
      </c>
      <c r="H54" s="55">
        <f>'Etape 1'!G50</f>
        <v>0</v>
      </c>
      <c r="I54" s="209">
        <v>1</v>
      </c>
      <c r="J54" s="58">
        <f t="shared" si="48"/>
        <v>0</v>
      </c>
      <c r="K54" s="21">
        <f t="shared" si="50"/>
        <v>0</v>
      </c>
      <c r="L54" s="21">
        <f t="shared" si="51"/>
        <v>0</v>
      </c>
      <c r="M54" s="21">
        <f t="shared" ca="1" si="52"/>
        <v>3</v>
      </c>
      <c r="N54" s="21">
        <f t="shared" ca="1" si="53"/>
        <v>3</v>
      </c>
      <c r="O54" s="21">
        <f t="shared" ca="1" si="54"/>
        <v>0</v>
      </c>
      <c r="P54" s="262" t="str">
        <f>IF('Etape 1'!J50=999,"",IF('Etape 1'!J50=9999,txt_Schritt1.Angaben.fehlen,VLOOKUP(N54,Matrix_1.2.3.Test.Punkte.ID.Beurteilung,4,1)))</f>
        <v/>
      </c>
      <c r="Q54" s="21">
        <f t="shared" ca="1" si="49"/>
        <v>0</v>
      </c>
      <c r="R54" s="136">
        <f t="shared" si="37"/>
        <v>43</v>
      </c>
      <c r="S54" s="136">
        <f t="shared" ca="1" si="5"/>
        <v>162.14285714285714</v>
      </c>
      <c r="T54" s="136">
        <f t="shared" ca="1" si="38"/>
        <v>750.14285714285711</v>
      </c>
      <c r="U54" s="136">
        <f t="shared" ca="1" si="39"/>
        <v>1224000.142857143</v>
      </c>
      <c r="V54" s="211">
        <f t="shared" ca="1" si="40"/>
        <v>235406.33490146228</v>
      </c>
      <c r="W54" s="136">
        <f t="shared" ca="1" si="6"/>
        <v>43</v>
      </c>
      <c r="X54" s="136">
        <f t="shared" ca="1" si="55"/>
        <v>162.999000999001</v>
      </c>
      <c r="Y54" s="21">
        <f t="shared" si="56"/>
        <v>1</v>
      </c>
      <c r="Z54" s="21" t="str">
        <f t="shared" si="57"/>
        <v>&lt;IE0</v>
      </c>
      <c r="AA54" s="21">
        <f t="shared" si="58"/>
        <v>1</v>
      </c>
      <c r="AB54" s="21" t="str">
        <f t="shared" si="59"/>
        <v>a - "&lt; 1990 (Eff3)"</v>
      </c>
      <c r="AC54" s="21">
        <f t="shared" si="60"/>
        <v>999999</v>
      </c>
      <c r="AD54" s="21" t="str">
        <f t="shared" si="61"/>
        <v/>
      </c>
      <c r="AE54" s="21" t="str">
        <f t="shared" si="62"/>
        <v/>
      </c>
      <c r="AF54" s="21" t="str">
        <f t="shared" si="63"/>
        <v/>
      </c>
      <c r="AG54" s="21">
        <f t="shared" si="64"/>
        <v>0</v>
      </c>
      <c r="AH54" s="21">
        <f>IF('Etape 1'!H50=St.Wert_Hacken,1,0)</f>
        <v>0</v>
      </c>
      <c r="AI54" s="21">
        <f t="shared" si="41"/>
        <v>0</v>
      </c>
      <c r="AJ54" s="21">
        <f t="shared" si="65"/>
        <v>1000999</v>
      </c>
      <c r="AK54" s="58">
        <f t="shared" si="66"/>
        <v>1100</v>
      </c>
      <c r="AL54" s="58">
        <f t="shared" si="67"/>
        <v>440</v>
      </c>
      <c r="AM54" s="21">
        <f t="shared" si="68"/>
        <v>0</v>
      </c>
      <c r="AN54" s="58">
        <f t="shared" si="69"/>
        <v>1</v>
      </c>
      <c r="AO54" s="58" t="str">
        <f t="shared" si="70"/>
        <v>114</v>
      </c>
      <c r="AP54" s="58" t="str">
        <f t="shared" si="71"/>
        <v>164</v>
      </c>
      <c r="AQ54" s="21" t="e">
        <f t="shared" si="72"/>
        <v>#NUM!</v>
      </c>
      <c r="AR54" s="21" t="e">
        <f t="shared" si="73"/>
        <v>#NUM!</v>
      </c>
      <c r="AS54" s="136" t="e">
        <f t="shared" si="42"/>
        <v>#NUM!</v>
      </c>
      <c r="AT54" s="59" t="e">
        <f t="shared" si="74"/>
        <v>#NUM!</v>
      </c>
      <c r="AU54" s="21" t="e">
        <f t="shared" si="43"/>
        <v>#NUM!</v>
      </c>
      <c r="AV54" s="58">
        <f t="shared" si="75"/>
        <v>1500</v>
      </c>
      <c r="AW54" s="58">
        <f t="shared" si="76"/>
        <v>600</v>
      </c>
      <c r="AX54" s="60">
        <f t="shared" si="77"/>
        <v>0.11</v>
      </c>
      <c r="AY54" s="212">
        <f t="shared" si="44"/>
        <v>0</v>
      </c>
      <c r="AZ54" s="59">
        <f t="shared" si="78"/>
        <v>0</v>
      </c>
      <c r="BA54" s="21" t="e">
        <f t="shared" si="45"/>
        <v>#DIV/0!</v>
      </c>
      <c r="BB54" s="58">
        <f t="shared" si="79"/>
        <v>2900</v>
      </c>
      <c r="BC54" s="58">
        <f t="shared" si="80"/>
        <v>1160</v>
      </c>
      <c r="BD54" s="60">
        <f t="shared" si="81"/>
        <v>0.15</v>
      </c>
      <c r="BE54" s="212" t="e">
        <f t="shared" si="46"/>
        <v>#NUM!</v>
      </c>
      <c r="BF54" s="59" t="e">
        <f t="shared" si="82"/>
        <v>#NUM!</v>
      </c>
      <c r="BG54" s="21" t="e">
        <f t="shared" si="47"/>
        <v>#NUM!</v>
      </c>
      <c r="BH54" s="55">
        <f t="shared" ca="1" si="35"/>
        <v>0</v>
      </c>
    </row>
    <row r="55" spans="1:60" x14ac:dyDescent="0.2">
      <c r="A55" s="61">
        <f ca="1">RANK(W55,W$12:W$311,0)+COUNTIF(W$12:W55,W55)-1</f>
        <v>257</v>
      </c>
      <c r="B55" s="55">
        <f>'Etape 1'!A51</f>
        <v>44</v>
      </c>
      <c r="C55" s="55">
        <f>'Etape 1'!B51</f>
        <v>0</v>
      </c>
      <c r="D55" s="55">
        <f>'Etape 1'!C51</f>
        <v>0</v>
      </c>
      <c r="E55" s="55">
        <f>'Etape 1'!D51</f>
        <v>0</v>
      </c>
      <c r="F55" s="55">
        <f>'Etape 1'!E51</f>
        <v>0</v>
      </c>
      <c r="G55" s="55">
        <f>'Etape 1'!F51</f>
        <v>0</v>
      </c>
      <c r="H55" s="55">
        <f>'Etape 1'!G51</f>
        <v>0</v>
      </c>
      <c r="I55" s="209">
        <v>1</v>
      </c>
      <c r="J55" s="58">
        <f t="shared" si="48"/>
        <v>0</v>
      </c>
      <c r="K55" s="21">
        <f t="shared" si="50"/>
        <v>0</v>
      </c>
      <c r="L55" s="21">
        <f t="shared" si="51"/>
        <v>0</v>
      </c>
      <c r="M55" s="21">
        <f t="shared" ca="1" si="52"/>
        <v>3</v>
      </c>
      <c r="N55" s="21">
        <f t="shared" ca="1" si="53"/>
        <v>3</v>
      </c>
      <c r="O55" s="21">
        <f t="shared" ca="1" si="54"/>
        <v>0</v>
      </c>
      <c r="P55" s="262" t="str">
        <f>IF('Etape 1'!J51=999,"",IF('Etape 1'!J51=9999,txt_Schritt1.Angaben.fehlen,VLOOKUP(N55,Matrix_1.2.3.Test.Punkte.ID.Beurteilung,4,1)))</f>
        <v/>
      </c>
      <c r="Q55" s="21">
        <f t="shared" ca="1" si="49"/>
        <v>0</v>
      </c>
      <c r="R55" s="136">
        <f t="shared" si="37"/>
        <v>44</v>
      </c>
      <c r="S55" s="136">
        <f t="shared" ca="1" si="5"/>
        <v>162.14617940199335</v>
      </c>
      <c r="T55" s="136">
        <f t="shared" ca="1" si="38"/>
        <v>750.14617940199332</v>
      </c>
      <c r="U55" s="136">
        <f t="shared" ca="1" si="39"/>
        <v>1224000.146179402</v>
      </c>
      <c r="V55" s="211">
        <f t="shared" ca="1" si="40"/>
        <v>235406.3382237214</v>
      </c>
      <c r="W55" s="136">
        <f t="shared" ca="1" si="6"/>
        <v>44</v>
      </c>
      <c r="X55" s="136">
        <f t="shared" ca="1" si="55"/>
        <v>162.999000999001</v>
      </c>
      <c r="Y55" s="21">
        <f t="shared" si="56"/>
        <v>1</v>
      </c>
      <c r="Z55" s="21" t="str">
        <f t="shared" si="57"/>
        <v>&lt;IE0</v>
      </c>
      <c r="AA55" s="21">
        <f t="shared" si="58"/>
        <v>1</v>
      </c>
      <c r="AB55" s="21" t="str">
        <f t="shared" si="59"/>
        <v>a - "&lt; 1990 (Eff3)"</v>
      </c>
      <c r="AC55" s="21">
        <f t="shared" si="60"/>
        <v>999999</v>
      </c>
      <c r="AD55" s="21" t="str">
        <f t="shared" si="61"/>
        <v/>
      </c>
      <c r="AE55" s="21" t="str">
        <f t="shared" si="62"/>
        <v/>
      </c>
      <c r="AF55" s="21" t="str">
        <f t="shared" si="63"/>
        <v/>
      </c>
      <c r="AG55" s="21">
        <f t="shared" si="64"/>
        <v>0</v>
      </c>
      <c r="AH55" s="21">
        <f>IF('Etape 1'!H51=St.Wert_Hacken,1,0)</f>
        <v>0</v>
      </c>
      <c r="AI55" s="21">
        <f t="shared" si="41"/>
        <v>0</v>
      </c>
      <c r="AJ55" s="21">
        <f t="shared" si="65"/>
        <v>1000999</v>
      </c>
      <c r="AK55" s="58">
        <f t="shared" si="66"/>
        <v>1100</v>
      </c>
      <c r="AL55" s="58">
        <f t="shared" si="67"/>
        <v>440</v>
      </c>
      <c r="AM55" s="21">
        <f t="shared" si="68"/>
        <v>0</v>
      </c>
      <c r="AN55" s="58">
        <f t="shared" si="69"/>
        <v>1</v>
      </c>
      <c r="AO55" s="58" t="str">
        <f t="shared" si="70"/>
        <v>114</v>
      </c>
      <c r="AP55" s="58" t="str">
        <f t="shared" si="71"/>
        <v>164</v>
      </c>
      <c r="AQ55" s="21" t="e">
        <f t="shared" si="72"/>
        <v>#NUM!</v>
      </c>
      <c r="AR55" s="21" t="e">
        <f t="shared" si="73"/>
        <v>#NUM!</v>
      </c>
      <c r="AS55" s="136" t="e">
        <f t="shared" si="42"/>
        <v>#NUM!</v>
      </c>
      <c r="AT55" s="59" t="e">
        <f t="shared" si="74"/>
        <v>#NUM!</v>
      </c>
      <c r="AU55" s="21" t="e">
        <f t="shared" si="43"/>
        <v>#NUM!</v>
      </c>
      <c r="AV55" s="58">
        <f t="shared" si="75"/>
        <v>1500</v>
      </c>
      <c r="AW55" s="58">
        <f t="shared" si="76"/>
        <v>600</v>
      </c>
      <c r="AX55" s="60">
        <f t="shared" si="77"/>
        <v>0.11</v>
      </c>
      <c r="AY55" s="212">
        <f t="shared" si="44"/>
        <v>0</v>
      </c>
      <c r="AZ55" s="59">
        <f t="shared" si="78"/>
        <v>0</v>
      </c>
      <c r="BA55" s="21" t="e">
        <f t="shared" si="45"/>
        <v>#DIV/0!</v>
      </c>
      <c r="BB55" s="58">
        <f t="shared" si="79"/>
        <v>2900</v>
      </c>
      <c r="BC55" s="58">
        <f t="shared" si="80"/>
        <v>1160</v>
      </c>
      <c r="BD55" s="60">
        <f t="shared" si="81"/>
        <v>0.15</v>
      </c>
      <c r="BE55" s="212" t="e">
        <f t="shared" si="46"/>
        <v>#NUM!</v>
      </c>
      <c r="BF55" s="59" t="e">
        <f t="shared" si="82"/>
        <v>#NUM!</v>
      </c>
      <c r="BG55" s="21" t="e">
        <f t="shared" si="47"/>
        <v>#NUM!</v>
      </c>
      <c r="BH55" s="55">
        <f t="shared" ca="1" si="35"/>
        <v>0</v>
      </c>
    </row>
    <row r="56" spans="1:60" x14ac:dyDescent="0.2">
      <c r="A56" s="61">
        <f ca="1">RANK(W56,W$12:W$311,0)+COUNTIF(W$12:W56,W56)-1</f>
        <v>256</v>
      </c>
      <c r="B56" s="55">
        <f>'Etape 1'!A52</f>
        <v>45</v>
      </c>
      <c r="C56" s="55">
        <f>'Etape 1'!B52</f>
        <v>0</v>
      </c>
      <c r="D56" s="55">
        <f>'Etape 1'!C52</f>
        <v>0</v>
      </c>
      <c r="E56" s="55">
        <f>'Etape 1'!D52</f>
        <v>0</v>
      </c>
      <c r="F56" s="55">
        <f>'Etape 1'!E52</f>
        <v>0</v>
      </c>
      <c r="G56" s="55">
        <f>'Etape 1'!F52</f>
        <v>0</v>
      </c>
      <c r="H56" s="55">
        <f>'Etape 1'!G52</f>
        <v>0</v>
      </c>
      <c r="I56" s="209">
        <v>1</v>
      </c>
      <c r="J56" s="58">
        <f t="shared" si="48"/>
        <v>0</v>
      </c>
      <c r="K56" s="21">
        <f t="shared" si="50"/>
        <v>0</v>
      </c>
      <c r="L56" s="21">
        <f t="shared" si="51"/>
        <v>0</v>
      </c>
      <c r="M56" s="21">
        <f t="shared" ca="1" si="52"/>
        <v>3</v>
      </c>
      <c r="N56" s="21">
        <f t="shared" ca="1" si="53"/>
        <v>3</v>
      </c>
      <c r="O56" s="21">
        <f t="shared" ca="1" si="54"/>
        <v>0</v>
      </c>
      <c r="P56" s="262" t="str">
        <f>IF('Etape 1'!J52=999,"",IF('Etape 1'!J52=9999,txt_Schritt1.Angaben.fehlen,VLOOKUP(N56,Matrix_1.2.3.Test.Punkte.ID.Beurteilung,4,1)))</f>
        <v/>
      </c>
      <c r="Q56" s="21">
        <f t="shared" ca="1" si="49"/>
        <v>0</v>
      </c>
      <c r="R56" s="136">
        <f t="shared" si="37"/>
        <v>45</v>
      </c>
      <c r="S56" s="136">
        <f t="shared" ca="1" si="5"/>
        <v>162.14950166112956</v>
      </c>
      <c r="T56" s="136">
        <f t="shared" ca="1" si="38"/>
        <v>750.14950166112953</v>
      </c>
      <c r="U56" s="136">
        <f t="shared" ca="1" si="39"/>
        <v>1224000.1495016611</v>
      </c>
      <c r="V56" s="211">
        <f t="shared" ca="1" si="40"/>
        <v>235406.34154598054</v>
      </c>
      <c r="W56" s="136">
        <f t="shared" ca="1" si="6"/>
        <v>45</v>
      </c>
      <c r="X56" s="136">
        <f t="shared" ca="1" si="55"/>
        <v>162.999000999001</v>
      </c>
      <c r="Y56" s="21">
        <f t="shared" si="56"/>
        <v>1</v>
      </c>
      <c r="Z56" s="21" t="str">
        <f t="shared" si="57"/>
        <v>&lt;IE0</v>
      </c>
      <c r="AA56" s="21">
        <f t="shared" si="58"/>
        <v>1</v>
      </c>
      <c r="AB56" s="21" t="str">
        <f t="shared" si="59"/>
        <v>a - "&lt; 1990 (Eff3)"</v>
      </c>
      <c r="AC56" s="21">
        <f t="shared" si="60"/>
        <v>999999</v>
      </c>
      <c r="AD56" s="21" t="str">
        <f t="shared" si="61"/>
        <v/>
      </c>
      <c r="AE56" s="21" t="str">
        <f t="shared" si="62"/>
        <v/>
      </c>
      <c r="AF56" s="21" t="str">
        <f t="shared" si="63"/>
        <v/>
      </c>
      <c r="AG56" s="21">
        <f t="shared" si="64"/>
        <v>0</v>
      </c>
      <c r="AH56" s="21">
        <f>IF('Etape 1'!H52=St.Wert_Hacken,1,0)</f>
        <v>0</v>
      </c>
      <c r="AI56" s="21">
        <f t="shared" si="41"/>
        <v>0</v>
      </c>
      <c r="AJ56" s="21">
        <f t="shared" si="65"/>
        <v>1000999</v>
      </c>
      <c r="AK56" s="58">
        <f t="shared" si="66"/>
        <v>1100</v>
      </c>
      <c r="AL56" s="58">
        <f t="shared" si="67"/>
        <v>440</v>
      </c>
      <c r="AM56" s="21">
        <f t="shared" si="68"/>
        <v>0</v>
      </c>
      <c r="AN56" s="58">
        <f t="shared" si="69"/>
        <v>1</v>
      </c>
      <c r="AO56" s="58" t="str">
        <f t="shared" si="70"/>
        <v>114</v>
      </c>
      <c r="AP56" s="58" t="str">
        <f t="shared" si="71"/>
        <v>164</v>
      </c>
      <c r="AQ56" s="21" t="e">
        <f t="shared" si="72"/>
        <v>#NUM!</v>
      </c>
      <c r="AR56" s="21" t="e">
        <f t="shared" si="73"/>
        <v>#NUM!</v>
      </c>
      <c r="AS56" s="136" t="e">
        <f t="shared" si="42"/>
        <v>#NUM!</v>
      </c>
      <c r="AT56" s="59" t="e">
        <f t="shared" si="74"/>
        <v>#NUM!</v>
      </c>
      <c r="AU56" s="21" t="e">
        <f t="shared" si="43"/>
        <v>#NUM!</v>
      </c>
      <c r="AV56" s="58">
        <f t="shared" si="75"/>
        <v>1500</v>
      </c>
      <c r="AW56" s="58">
        <f t="shared" si="76"/>
        <v>600</v>
      </c>
      <c r="AX56" s="60">
        <f t="shared" si="77"/>
        <v>0.11</v>
      </c>
      <c r="AY56" s="212">
        <f t="shared" si="44"/>
        <v>0</v>
      </c>
      <c r="AZ56" s="59">
        <f t="shared" si="78"/>
        <v>0</v>
      </c>
      <c r="BA56" s="21" t="e">
        <f t="shared" si="45"/>
        <v>#DIV/0!</v>
      </c>
      <c r="BB56" s="58">
        <f t="shared" si="79"/>
        <v>2900</v>
      </c>
      <c r="BC56" s="58">
        <f t="shared" si="80"/>
        <v>1160</v>
      </c>
      <c r="BD56" s="60">
        <f t="shared" si="81"/>
        <v>0.15</v>
      </c>
      <c r="BE56" s="212" t="e">
        <f t="shared" si="46"/>
        <v>#NUM!</v>
      </c>
      <c r="BF56" s="59" t="e">
        <f t="shared" si="82"/>
        <v>#NUM!</v>
      </c>
      <c r="BG56" s="21" t="e">
        <f t="shared" si="47"/>
        <v>#NUM!</v>
      </c>
      <c r="BH56" s="55">
        <f t="shared" ca="1" si="35"/>
        <v>0</v>
      </c>
    </row>
    <row r="57" spans="1:60" x14ac:dyDescent="0.2">
      <c r="A57" s="61">
        <f ca="1">RANK(W57,W$12:W$311,0)+COUNTIF(W$12:W57,W57)-1</f>
        <v>255</v>
      </c>
      <c r="B57" s="55">
        <f>'Etape 1'!A53</f>
        <v>46</v>
      </c>
      <c r="C57" s="55">
        <f>'Etape 1'!B53</f>
        <v>0</v>
      </c>
      <c r="D57" s="55">
        <f>'Etape 1'!C53</f>
        <v>0</v>
      </c>
      <c r="E57" s="55">
        <f>'Etape 1'!D53</f>
        <v>0</v>
      </c>
      <c r="F57" s="55">
        <f>'Etape 1'!E53</f>
        <v>0</v>
      </c>
      <c r="G57" s="55">
        <f>'Etape 1'!F53</f>
        <v>0</v>
      </c>
      <c r="H57" s="55">
        <f>'Etape 1'!G53</f>
        <v>0</v>
      </c>
      <c r="I57" s="209">
        <v>1</v>
      </c>
      <c r="J57" s="58">
        <f t="shared" si="48"/>
        <v>0</v>
      </c>
      <c r="K57" s="21">
        <f t="shared" si="50"/>
        <v>0</v>
      </c>
      <c r="L57" s="21">
        <f t="shared" si="51"/>
        <v>0</v>
      </c>
      <c r="M57" s="21">
        <f t="shared" ca="1" si="52"/>
        <v>3</v>
      </c>
      <c r="N57" s="21">
        <f t="shared" ca="1" si="53"/>
        <v>3</v>
      </c>
      <c r="O57" s="21">
        <f t="shared" ca="1" si="54"/>
        <v>0</v>
      </c>
      <c r="P57" s="262" t="str">
        <f>IF('Etape 1'!J53=999,"",IF('Etape 1'!J53=9999,txt_Schritt1.Angaben.fehlen,VLOOKUP(N57,Matrix_1.2.3.Test.Punkte.ID.Beurteilung,4,1)))</f>
        <v/>
      </c>
      <c r="Q57" s="21">
        <f t="shared" ca="1" si="49"/>
        <v>0</v>
      </c>
      <c r="R57" s="136">
        <f t="shared" si="37"/>
        <v>46</v>
      </c>
      <c r="S57" s="136">
        <f t="shared" ca="1" si="5"/>
        <v>162.15282392026577</v>
      </c>
      <c r="T57" s="136">
        <f t="shared" ca="1" si="38"/>
        <v>750.15282392026575</v>
      </c>
      <c r="U57" s="136">
        <f t="shared" ca="1" si="39"/>
        <v>1224000.1528239204</v>
      </c>
      <c r="V57" s="211">
        <f t="shared" ca="1" si="40"/>
        <v>235406.34486823968</v>
      </c>
      <c r="W57" s="136">
        <f t="shared" ca="1" si="6"/>
        <v>46</v>
      </c>
      <c r="X57" s="136">
        <f t="shared" ca="1" si="55"/>
        <v>162.999000999001</v>
      </c>
      <c r="Y57" s="21">
        <f t="shared" si="56"/>
        <v>1</v>
      </c>
      <c r="Z57" s="21" t="str">
        <f t="shared" si="57"/>
        <v>&lt;IE0</v>
      </c>
      <c r="AA57" s="21">
        <f t="shared" si="58"/>
        <v>1</v>
      </c>
      <c r="AB57" s="21" t="str">
        <f t="shared" si="59"/>
        <v>a - "&lt; 1990 (Eff3)"</v>
      </c>
      <c r="AC57" s="21">
        <f t="shared" si="60"/>
        <v>999999</v>
      </c>
      <c r="AD57" s="21" t="str">
        <f t="shared" si="61"/>
        <v/>
      </c>
      <c r="AE57" s="21" t="str">
        <f t="shared" si="62"/>
        <v/>
      </c>
      <c r="AF57" s="21" t="str">
        <f t="shared" si="63"/>
        <v/>
      </c>
      <c r="AG57" s="21">
        <f t="shared" si="64"/>
        <v>0</v>
      </c>
      <c r="AH57" s="21">
        <f>IF('Etape 1'!H53=St.Wert_Hacken,1,0)</f>
        <v>0</v>
      </c>
      <c r="AI57" s="21">
        <f t="shared" si="41"/>
        <v>0</v>
      </c>
      <c r="AJ57" s="21">
        <f t="shared" si="65"/>
        <v>1000999</v>
      </c>
      <c r="AK57" s="58">
        <f t="shared" si="66"/>
        <v>1100</v>
      </c>
      <c r="AL57" s="58">
        <f t="shared" si="67"/>
        <v>440</v>
      </c>
      <c r="AM57" s="21">
        <f t="shared" si="68"/>
        <v>0</v>
      </c>
      <c r="AN57" s="58">
        <f t="shared" si="69"/>
        <v>1</v>
      </c>
      <c r="AO57" s="58" t="str">
        <f t="shared" si="70"/>
        <v>114</v>
      </c>
      <c r="AP57" s="58" t="str">
        <f t="shared" si="71"/>
        <v>164</v>
      </c>
      <c r="AQ57" s="21" t="e">
        <f t="shared" si="72"/>
        <v>#NUM!</v>
      </c>
      <c r="AR57" s="21" t="e">
        <f t="shared" si="73"/>
        <v>#NUM!</v>
      </c>
      <c r="AS57" s="136" t="e">
        <f t="shared" si="42"/>
        <v>#NUM!</v>
      </c>
      <c r="AT57" s="59" t="e">
        <f t="shared" si="74"/>
        <v>#NUM!</v>
      </c>
      <c r="AU57" s="21" t="e">
        <f t="shared" si="43"/>
        <v>#NUM!</v>
      </c>
      <c r="AV57" s="58">
        <f t="shared" si="75"/>
        <v>1500</v>
      </c>
      <c r="AW57" s="58">
        <f t="shared" si="76"/>
        <v>600</v>
      </c>
      <c r="AX57" s="60">
        <f t="shared" si="77"/>
        <v>0.11</v>
      </c>
      <c r="AY57" s="212">
        <f t="shared" si="44"/>
        <v>0</v>
      </c>
      <c r="AZ57" s="59">
        <f t="shared" si="78"/>
        <v>0</v>
      </c>
      <c r="BA57" s="21" t="e">
        <f t="shared" si="45"/>
        <v>#DIV/0!</v>
      </c>
      <c r="BB57" s="58">
        <f t="shared" si="79"/>
        <v>2900</v>
      </c>
      <c r="BC57" s="58">
        <f t="shared" si="80"/>
        <v>1160</v>
      </c>
      <c r="BD57" s="60">
        <f t="shared" si="81"/>
        <v>0.15</v>
      </c>
      <c r="BE57" s="212" t="e">
        <f t="shared" si="46"/>
        <v>#NUM!</v>
      </c>
      <c r="BF57" s="59" t="e">
        <f t="shared" si="82"/>
        <v>#NUM!</v>
      </c>
      <c r="BG57" s="21" t="e">
        <f t="shared" si="47"/>
        <v>#NUM!</v>
      </c>
      <c r="BH57" s="55">
        <f t="shared" ca="1" si="35"/>
        <v>0</v>
      </c>
    </row>
    <row r="58" spans="1:60" x14ac:dyDescent="0.2">
      <c r="A58" s="61">
        <f ca="1">RANK(W58,W$12:W$311,0)+COUNTIF(W$12:W58,W58)-1</f>
        <v>254</v>
      </c>
      <c r="B58" s="55">
        <f>'Etape 1'!A54</f>
        <v>47</v>
      </c>
      <c r="C58" s="55">
        <f>'Etape 1'!B54</f>
        <v>0</v>
      </c>
      <c r="D58" s="55">
        <f>'Etape 1'!C54</f>
        <v>0</v>
      </c>
      <c r="E58" s="55">
        <f>'Etape 1'!D54</f>
        <v>0</v>
      </c>
      <c r="F58" s="55">
        <f>'Etape 1'!E54</f>
        <v>0</v>
      </c>
      <c r="G58" s="55">
        <f>'Etape 1'!F54</f>
        <v>0</v>
      </c>
      <c r="H58" s="55">
        <f>'Etape 1'!G54</f>
        <v>0</v>
      </c>
      <c r="I58" s="209">
        <v>1</v>
      </c>
      <c r="J58" s="58">
        <f t="shared" si="48"/>
        <v>0</v>
      </c>
      <c r="K58" s="21">
        <f t="shared" si="50"/>
        <v>0</v>
      </c>
      <c r="L58" s="21">
        <f t="shared" si="51"/>
        <v>0</v>
      </c>
      <c r="M58" s="21">
        <f t="shared" ca="1" si="52"/>
        <v>3</v>
      </c>
      <c r="N58" s="21">
        <f t="shared" ca="1" si="53"/>
        <v>3</v>
      </c>
      <c r="O58" s="21">
        <f t="shared" ca="1" si="54"/>
        <v>0</v>
      </c>
      <c r="P58" s="262" t="str">
        <f>IF('Etape 1'!J54=999,"",IF('Etape 1'!J54=9999,txt_Schritt1.Angaben.fehlen,VLOOKUP(N58,Matrix_1.2.3.Test.Punkte.ID.Beurteilung,4,1)))</f>
        <v/>
      </c>
      <c r="Q58" s="21">
        <f t="shared" ca="1" si="49"/>
        <v>0</v>
      </c>
      <c r="R58" s="136">
        <f t="shared" si="37"/>
        <v>47</v>
      </c>
      <c r="S58" s="136">
        <f t="shared" ca="1" si="5"/>
        <v>162.15614617940199</v>
      </c>
      <c r="T58" s="136">
        <f t="shared" ca="1" si="38"/>
        <v>750.15614617940196</v>
      </c>
      <c r="U58" s="136">
        <f t="shared" ca="1" si="39"/>
        <v>1224000.1561461794</v>
      </c>
      <c r="V58" s="211">
        <f t="shared" ca="1" si="40"/>
        <v>235406.3481904988</v>
      </c>
      <c r="W58" s="136">
        <f t="shared" ca="1" si="6"/>
        <v>47</v>
      </c>
      <c r="X58" s="136">
        <f t="shared" ca="1" si="55"/>
        <v>162.999000999001</v>
      </c>
      <c r="Y58" s="21">
        <f t="shared" si="56"/>
        <v>1</v>
      </c>
      <c r="Z58" s="21" t="str">
        <f t="shared" si="57"/>
        <v>&lt;IE0</v>
      </c>
      <c r="AA58" s="21">
        <f t="shared" si="58"/>
        <v>1</v>
      </c>
      <c r="AB58" s="21" t="str">
        <f t="shared" si="59"/>
        <v>a - "&lt; 1990 (Eff3)"</v>
      </c>
      <c r="AC58" s="21">
        <f t="shared" si="60"/>
        <v>999999</v>
      </c>
      <c r="AD58" s="21" t="str">
        <f t="shared" si="61"/>
        <v/>
      </c>
      <c r="AE58" s="21" t="str">
        <f t="shared" si="62"/>
        <v/>
      </c>
      <c r="AF58" s="21" t="str">
        <f t="shared" si="63"/>
        <v/>
      </c>
      <c r="AG58" s="21">
        <f t="shared" si="64"/>
        <v>0</v>
      </c>
      <c r="AH58" s="21">
        <f>IF('Etape 1'!H54=St.Wert_Hacken,1,0)</f>
        <v>0</v>
      </c>
      <c r="AI58" s="21">
        <f t="shared" si="41"/>
        <v>0</v>
      </c>
      <c r="AJ58" s="21">
        <f t="shared" si="65"/>
        <v>1000999</v>
      </c>
      <c r="AK58" s="58">
        <f t="shared" si="66"/>
        <v>1100</v>
      </c>
      <c r="AL58" s="58">
        <f t="shared" si="67"/>
        <v>440</v>
      </c>
      <c r="AM58" s="21">
        <f t="shared" si="68"/>
        <v>0</v>
      </c>
      <c r="AN58" s="58">
        <f t="shared" si="69"/>
        <v>1</v>
      </c>
      <c r="AO58" s="58" t="str">
        <f t="shared" si="70"/>
        <v>114</v>
      </c>
      <c r="AP58" s="58" t="str">
        <f t="shared" si="71"/>
        <v>164</v>
      </c>
      <c r="AQ58" s="21" t="e">
        <f t="shared" si="72"/>
        <v>#NUM!</v>
      </c>
      <c r="AR58" s="21" t="e">
        <f t="shared" si="73"/>
        <v>#NUM!</v>
      </c>
      <c r="AS58" s="136" t="e">
        <f t="shared" si="42"/>
        <v>#NUM!</v>
      </c>
      <c r="AT58" s="59" t="e">
        <f t="shared" si="74"/>
        <v>#NUM!</v>
      </c>
      <c r="AU58" s="21" t="e">
        <f t="shared" si="43"/>
        <v>#NUM!</v>
      </c>
      <c r="AV58" s="58">
        <f t="shared" si="75"/>
        <v>1500</v>
      </c>
      <c r="AW58" s="58">
        <f t="shared" si="76"/>
        <v>600</v>
      </c>
      <c r="AX58" s="60">
        <f t="shared" si="77"/>
        <v>0.11</v>
      </c>
      <c r="AY58" s="212">
        <f t="shared" si="44"/>
        <v>0</v>
      </c>
      <c r="AZ58" s="59">
        <f t="shared" si="78"/>
        <v>0</v>
      </c>
      <c r="BA58" s="21" t="e">
        <f t="shared" si="45"/>
        <v>#DIV/0!</v>
      </c>
      <c r="BB58" s="58">
        <f t="shared" si="79"/>
        <v>2900</v>
      </c>
      <c r="BC58" s="58">
        <f t="shared" si="80"/>
        <v>1160</v>
      </c>
      <c r="BD58" s="60">
        <f t="shared" si="81"/>
        <v>0.15</v>
      </c>
      <c r="BE58" s="212" t="e">
        <f t="shared" si="46"/>
        <v>#NUM!</v>
      </c>
      <c r="BF58" s="59" t="e">
        <f t="shared" si="82"/>
        <v>#NUM!</v>
      </c>
      <c r="BG58" s="21" t="e">
        <f t="shared" si="47"/>
        <v>#NUM!</v>
      </c>
      <c r="BH58" s="55">
        <f t="shared" ca="1" si="35"/>
        <v>0</v>
      </c>
    </row>
    <row r="59" spans="1:60" x14ac:dyDescent="0.2">
      <c r="A59" s="61">
        <f ca="1">RANK(W59,W$12:W$311,0)+COUNTIF(W$12:W59,W59)-1</f>
        <v>253</v>
      </c>
      <c r="B59" s="55">
        <f>'Etape 1'!A55</f>
        <v>48</v>
      </c>
      <c r="C59" s="55">
        <f>'Etape 1'!B55</f>
        <v>0</v>
      </c>
      <c r="D59" s="55">
        <f>'Etape 1'!C55</f>
        <v>0</v>
      </c>
      <c r="E59" s="55">
        <f>'Etape 1'!D55</f>
        <v>0</v>
      </c>
      <c r="F59" s="55">
        <f>'Etape 1'!E55</f>
        <v>0</v>
      </c>
      <c r="G59" s="55">
        <f>'Etape 1'!F55</f>
        <v>0</v>
      </c>
      <c r="H59" s="55">
        <f>'Etape 1'!G55</f>
        <v>0</v>
      </c>
      <c r="I59" s="209">
        <v>1</v>
      </c>
      <c r="J59" s="58">
        <f t="shared" si="48"/>
        <v>0</v>
      </c>
      <c r="K59" s="21">
        <f t="shared" si="50"/>
        <v>0</v>
      </c>
      <c r="L59" s="21">
        <f t="shared" si="51"/>
        <v>0</v>
      </c>
      <c r="M59" s="21">
        <f t="shared" ca="1" si="52"/>
        <v>3</v>
      </c>
      <c r="N59" s="21">
        <f t="shared" ca="1" si="53"/>
        <v>3</v>
      </c>
      <c r="O59" s="21">
        <f t="shared" ca="1" si="54"/>
        <v>0</v>
      </c>
      <c r="P59" s="262" t="str">
        <f>IF('Etape 1'!J55=999,"",IF('Etape 1'!J55=9999,txt_Schritt1.Angaben.fehlen,VLOOKUP(N59,Matrix_1.2.3.Test.Punkte.ID.Beurteilung,4,1)))</f>
        <v/>
      </c>
      <c r="Q59" s="21">
        <f t="shared" ca="1" si="49"/>
        <v>0</v>
      </c>
      <c r="R59" s="136">
        <f t="shared" si="37"/>
        <v>48</v>
      </c>
      <c r="S59" s="136">
        <f t="shared" ca="1" si="5"/>
        <v>162.1594684385382</v>
      </c>
      <c r="T59" s="136">
        <f t="shared" ca="1" si="38"/>
        <v>750.15946843853817</v>
      </c>
      <c r="U59" s="136">
        <f t="shared" ca="1" si="39"/>
        <v>1224000.1594684385</v>
      </c>
      <c r="V59" s="211">
        <f t="shared" ca="1" si="40"/>
        <v>235406.35151275794</v>
      </c>
      <c r="W59" s="136">
        <f t="shared" ca="1" si="6"/>
        <v>48</v>
      </c>
      <c r="X59" s="136">
        <f t="shared" ca="1" si="55"/>
        <v>162.999000999001</v>
      </c>
      <c r="Y59" s="21">
        <f t="shared" si="56"/>
        <v>1</v>
      </c>
      <c r="Z59" s="21" t="str">
        <f t="shared" si="57"/>
        <v>&lt;IE0</v>
      </c>
      <c r="AA59" s="21">
        <f t="shared" si="58"/>
        <v>1</v>
      </c>
      <c r="AB59" s="21" t="str">
        <f t="shared" si="59"/>
        <v>a - "&lt; 1990 (Eff3)"</v>
      </c>
      <c r="AC59" s="21">
        <f t="shared" si="60"/>
        <v>999999</v>
      </c>
      <c r="AD59" s="21" t="str">
        <f t="shared" si="61"/>
        <v/>
      </c>
      <c r="AE59" s="21" t="str">
        <f t="shared" si="62"/>
        <v/>
      </c>
      <c r="AF59" s="21" t="str">
        <f t="shared" si="63"/>
        <v/>
      </c>
      <c r="AG59" s="21">
        <f t="shared" si="64"/>
        <v>0</v>
      </c>
      <c r="AH59" s="21">
        <f>IF('Etape 1'!H55=St.Wert_Hacken,1,0)</f>
        <v>0</v>
      </c>
      <c r="AI59" s="21">
        <f t="shared" si="41"/>
        <v>0</v>
      </c>
      <c r="AJ59" s="21">
        <f t="shared" si="65"/>
        <v>1000999</v>
      </c>
      <c r="AK59" s="58">
        <f t="shared" si="66"/>
        <v>1100</v>
      </c>
      <c r="AL59" s="58">
        <f t="shared" si="67"/>
        <v>440</v>
      </c>
      <c r="AM59" s="21">
        <f t="shared" si="68"/>
        <v>0</v>
      </c>
      <c r="AN59" s="58">
        <f t="shared" si="69"/>
        <v>1</v>
      </c>
      <c r="AO59" s="58" t="str">
        <f t="shared" si="70"/>
        <v>114</v>
      </c>
      <c r="AP59" s="58" t="str">
        <f t="shared" si="71"/>
        <v>164</v>
      </c>
      <c r="AQ59" s="21" t="e">
        <f t="shared" si="72"/>
        <v>#NUM!</v>
      </c>
      <c r="AR59" s="21" t="e">
        <f t="shared" si="73"/>
        <v>#NUM!</v>
      </c>
      <c r="AS59" s="136" t="e">
        <f t="shared" si="42"/>
        <v>#NUM!</v>
      </c>
      <c r="AT59" s="59" t="e">
        <f t="shared" si="74"/>
        <v>#NUM!</v>
      </c>
      <c r="AU59" s="21" t="e">
        <f t="shared" si="43"/>
        <v>#NUM!</v>
      </c>
      <c r="AV59" s="58">
        <f t="shared" si="75"/>
        <v>1500</v>
      </c>
      <c r="AW59" s="58">
        <f t="shared" si="76"/>
        <v>600</v>
      </c>
      <c r="AX59" s="60">
        <f t="shared" si="77"/>
        <v>0.11</v>
      </c>
      <c r="AY59" s="212">
        <f t="shared" si="44"/>
        <v>0</v>
      </c>
      <c r="AZ59" s="59">
        <f t="shared" si="78"/>
        <v>0</v>
      </c>
      <c r="BA59" s="21" t="e">
        <f t="shared" si="45"/>
        <v>#DIV/0!</v>
      </c>
      <c r="BB59" s="58">
        <f t="shared" si="79"/>
        <v>2900</v>
      </c>
      <c r="BC59" s="58">
        <f t="shared" si="80"/>
        <v>1160</v>
      </c>
      <c r="BD59" s="60">
        <f t="shared" si="81"/>
        <v>0.15</v>
      </c>
      <c r="BE59" s="212" t="e">
        <f t="shared" si="46"/>
        <v>#NUM!</v>
      </c>
      <c r="BF59" s="59" t="e">
        <f t="shared" si="82"/>
        <v>#NUM!</v>
      </c>
      <c r="BG59" s="21" t="e">
        <f t="shared" si="47"/>
        <v>#NUM!</v>
      </c>
      <c r="BH59" s="55">
        <f t="shared" ca="1" si="35"/>
        <v>0</v>
      </c>
    </row>
    <row r="60" spans="1:60" x14ac:dyDescent="0.2">
      <c r="A60" s="61">
        <f ca="1">RANK(W60,W$12:W$311,0)+COUNTIF(W$12:W60,W60)-1</f>
        <v>252</v>
      </c>
      <c r="B60" s="55">
        <f>'Etape 1'!A56</f>
        <v>49</v>
      </c>
      <c r="C60" s="55">
        <f>'Etape 1'!B56</f>
        <v>0</v>
      </c>
      <c r="D60" s="55">
        <f>'Etape 1'!C56</f>
        <v>0</v>
      </c>
      <c r="E60" s="55">
        <f>'Etape 1'!D56</f>
        <v>0</v>
      </c>
      <c r="F60" s="55">
        <f>'Etape 1'!E56</f>
        <v>0</v>
      </c>
      <c r="G60" s="55">
        <f>'Etape 1'!F56</f>
        <v>0</v>
      </c>
      <c r="H60" s="55">
        <f>'Etape 1'!G56</f>
        <v>0</v>
      </c>
      <c r="I60" s="209">
        <v>1</v>
      </c>
      <c r="J60" s="58">
        <f t="shared" si="48"/>
        <v>0</v>
      </c>
      <c r="K60" s="21">
        <f t="shared" si="50"/>
        <v>0</v>
      </c>
      <c r="L60" s="21">
        <f t="shared" si="51"/>
        <v>0</v>
      </c>
      <c r="M60" s="21">
        <f t="shared" ca="1" si="52"/>
        <v>3</v>
      </c>
      <c r="N60" s="21">
        <f t="shared" ca="1" si="53"/>
        <v>3</v>
      </c>
      <c r="O60" s="21">
        <f t="shared" ca="1" si="54"/>
        <v>0</v>
      </c>
      <c r="P60" s="262" t="str">
        <f>IF('Etape 1'!J56=999,"",IF('Etape 1'!J56=9999,txt_Schritt1.Angaben.fehlen,VLOOKUP(N60,Matrix_1.2.3.Test.Punkte.ID.Beurteilung,4,1)))</f>
        <v/>
      </c>
      <c r="Q60" s="21">
        <f t="shared" ca="1" si="49"/>
        <v>0</v>
      </c>
      <c r="R60" s="136">
        <f t="shared" si="37"/>
        <v>49</v>
      </c>
      <c r="S60" s="136">
        <f t="shared" ca="1" si="5"/>
        <v>162.16279069767441</v>
      </c>
      <c r="T60" s="136">
        <f t="shared" ca="1" si="38"/>
        <v>750.16279069767438</v>
      </c>
      <c r="U60" s="136">
        <f t="shared" ca="1" si="39"/>
        <v>1224000.1627906978</v>
      </c>
      <c r="V60" s="211">
        <f t="shared" ca="1" si="40"/>
        <v>235406.35483501709</v>
      </c>
      <c r="W60" s="136">
        <f t="shared" ca="1" si="6"/>
        <v>49</v>
      </c>
      <c r="X60" s="136">
        <f t="shared" ca="1" si="55"/>
        <v>162.999000999001</v>
      </c>
      <c r="Y60" s="21">
        <f t="shared" si="56"/>
        <v>1</v>
      </c>
      <c r="Z60" s="21" t="str">
        <f t="shared" si="57"/>
        <v>&lt;IE0</v>
      </c>
      <c r="AA60" s="21">
        <f t="shared" si="58"/>
        <v>1</v>
      </c>
      <c r="AB60" s="21" t="str">
        <f t="shared" si="59"/>
        <v>a - "&lt; 1990 (Eff3)"</v>
      </c>
      <c r="AC60" s="21">
        <f t="shared" si="60"/>
        <v>999999</v>
      </c>
      <c r="AD60" s="21" t="str">
        <f t="shared" si="61"/>
        <v/>
      </c>
      <c r="AE60" s="21" t="str">
        <f t="shared" si="62"/>
        <v/>
      </c>
      <c r="AF60" s="21" t="str">
        <f t="shared" si="63"/>
        <v/>
      </c>
      <c r="AG60" s="21">
        <f t="shared" si="64"/>
        <v>0</v>
      </c>
      <c r="AH60" s="21">
        <f>IF('Etape 1'!H56=St.Wert_Hacken,1,0)</f>
        <v>0</v>
      </c>
      <c r="AI60" s="21">
        <f t="shared" si="41"/>
        <v>0</v>
      </c>
      <c r="AJ60" s="21">
        <f t="shared" si="65"/>
        <v>1000999</v>
      </c>
      <c r="AK60" s="58">
        <f t="shared" si="66"/>
        <v>1100</v>
      </c>
      <c r="AL60" s="58">
        <f t="shared" si="67"/>
        <v>440</v>
      </c>
      <c r="AM60" s="21">
        <f t="shared" si="68"/>
        <v>0</v>
      </c>
      <c r="AN60" s="58">
        <f t="shared" si="69"/>
        <v>1</v>
      </c>
      <c r="AO60" s="58" t="str">
        <f t="shared" si="70"/>
        <v>114</v>
      </c>
      <c r="AP60" s="58" t="str">
        <f t="shared" si="71"/>
        <v>164</v>
      </c>
      <c r="AQ60" s="21" t="e">
        <f t="shared" si="72"/>
        <v>#NUM!</v>
      </c>
      <c r="AR60" s="21" t="e">
        <f t="shared" si="73"/>
        <v>#NUM!</v>
      </c>
      <c r="AS60" s="136" t="e">
        <f t="shared" si="42"/>
        <v>#NUM!</v>
      </c>
      <c r="AT60" s="59" t="e">
        <f t="shared" si="74"/>
        <v>#NUM!</v>
      </c>
      <c r="AU60" s="21" t="e">
        <f t="shared" si="43"/>
        <v>#NUM!</v>
      </c>
      <c r="AV60" s="58">
        <f t="shared" si="75"/>
        <v>1500</v>
      </c>
      <c r="AW60" s="58">
        <f t="shared" si="76"/>
        <v>600</v>
      </c>
      <c r="AX60" s="60">
        <f t="shared" si="77"/>
        <v>0.11</v>
      </c>
      <c r="AY60" s="212">
        <f t="shared" si="44"/>
        <v>0</v>
      </c>
      <c r="AZ60" s="59">
        <f t="shared" si="78"/>
        <v>0</v>
      </c>
      <c r="BA60" s="21" t="e">
        <f t="shared" si="45"/>
        <v>#DIV/0!</v>
      </c>
      <c r="BB60" s="58">
        <f t="shared" si="79"/>
        <v>2900</v>
      </c>
      <c r="BC60" s="58">
        <f t="shared" si="80"/>
        <v>1160</v>
      </c>
      <c r="BD60" s="60">
        <f t="shared" si="81"/>
        <v>0.15</v>
      </c>
      <c r="BE60" s="212" t="e">
        <f t="shared" si="46"/>
        <v>#NUM!</v>
      </c>
      <c r="BF60" s="59" t="e">
        <f t="shared" si="82"/>
        <v>#NUM!</v>
      </c>
      <c r="BG60" s="21" t="e">
        <f t="shared" si="47"/>
        <v>#NUM!</v>
      </c>
      <c r="BH60" s="55">
        <f t="shared" ca="1" si="35"/>
        <v>0</v>
      </c>
    </row>
    <row r="61" spans="1:60" x14ac:dyDescent="0.2">
      <c r="A61" s="61">
        <f ca="1">RANK(W61,W$12:W$311,0)+COUNTIF(W$12:W61,W61)-1</f>
        <v>251</v>
      </c>
      <c r="B61" s="55">
        <f>'Etape 1'!A57</f>
        <v>50</v>
      </c>
      <c r="C61" s="55">
        <f>'Etape 1'!B57</f>
        <v>0</v>
      </c>
      <c r="D61" s="55">
        <f>'Etape 1'!C57</f>
        <v>0</v>
      </c>
      <c r="E61" s="55">
        <f>'Etape 1'!D57</f>
        <v>0</v>
      </c>
      <c r="F61" s="55">
        <f>'Etape 1'!E57</f>
        <v>0</v>
      </c>
      <c r="G61" s="55">
        <f>'Etape 1'!F57</f>
        <v>0</v>
      </c>
      <c r="H61" s="55">
        <f>'Etape 1'!G57</f>
        <v>0</v>
      </c>
      <c r="I61" s="209">
        <v>1</v>
      </c>
      <c r="J61" s="58">
        <f t="shared" si="48"/>
        <v>0</v>
      </c>
      <c r="K61" s="21">
        <f t="shared" si="50"/>
        <v>0</v>
      </c>
      <c r="L61" s="21">
        <f t="shared" si="51"/>
        <v>0</v>
      </c>
      <c r="M61" s="21">
        <f t="shared" ca="1" si="52"/>
        <v>3</v>
      </c>
      <c r="N61" s="21">
        <f t="shared" ca="1" si="53"/>
        <v>3</v>
      </c>
      <c r="O61" s="21">
        <f t="shared" ca="1" si="54"/>
        <v>0</v>
      </c>
      <c r="P61" s="262" t="str">
        <f>IF('Etape 1'!J57=999,"",IF('Etape 1'!J57=9999,txt_Schritt1.Angaben.fehlen,VLOOKUP(N61,Matrix_1.2.3.Test.Punkte.ID.Beurteilung,4,1)))</f>
        <v/>
      </c>
      <c r="Q61" s="21">
        <f t="shared" ca="1" si="49"/>
        <v>0</v>
      </c>
      <c r="R61" s="136">
        <f t="shared" si="37"/>
        <v>50</v>
      </c>
      <c r="S61" s="136">
        <f t="shared" ca="1" si="5"/>
        <v>162.16611295681062</v>
      </c>
      <c r="T61" s="136">
        <f t="shared" ca="1" si="38"/>
        <v>750.16611295681059</v>
      </c>
      <c r="U61" s="136">
        <f t="shared" ca="1" si="39"/>
        <v>1224000.1661129568</v>
      </c>
      <c r="V61" s="211">
        <f t="shared" ca="1" si="40"/>
        <v>235406.35815727623</v>
      </c>
      <c r="W61" s="136">
        <f t="shared" ca="1" si="6"/>
        <v>50</v>
      </c>
      <c r="X61" s="136">
        <f t="shared" ca="1" si="55"/>
        <v>162.999000999001</v>
      </c>
      <c r="Y61" s="21">
        <f t="shared" si="56"/>
        <v>1</v>
      </c>
      <c r="Z61" s="21" t="str">
        <f t="shared" si="57"/>
        <v>&lt;IE0</v>
      </c>
      <c r="AA61" s="21">
        <f t="shared" si="58"/>
        <v>1</v>
      </c>
      <c r="AB61" s="21" t="str">
        <f t="shared" si="59"/>
        <v>a - "&lt; 1990 (Eff3)"</v>
      </c>
      <c r="AC61" s="21">
        <f t="shared" si="60"/>
        <v>999999</v>
      </c>
      <c r="AD61" s="21" t="str">
        <f t="shared" si="61"/>
        <v/>
      </c>
      <c r="AE61" s="21" t="str">
        <f t="shared" si="62"/>
        <v/>
      </c>
      <c r="AF61" s="21" t="str">
        <f t="shared" si="63"/>
        <v/>
      </c>
      <c r="AG61" s="21">
        <f t="shared" si="64"/>
        <v>0</v>
      </c>
      <c r="AH61" s="21">
        <f>IF('Etape 1'!H57=St.Wert_Hacken,1,0)</f>
        <v>0</v>
      </c>
      <c r="AI61" s="21">
        <f t="shared" si="41"/>
        <v>0</v>
      </c>
      <c r="AJ61" s="21">
        <f t="shared" si="65"/>
        <v>1000999</v>
      </c>
      <c r="AK61" s="58">
        <f t="shared" si="66"/>
        <v>1100</v>
      </c>
      <c r="AL61" s="58">
        <f t="shared" si="67"/>
        <v>440</v>
      </c>
      <c r="AM61" s="21">
        <f t="shared" si="68"/>
        <v>0</v>
      </c>
      <c r="AN61" s="58">
        <f t="shared" si="69"/>
        <v>1</v>
      </c>
      <c r="AO61" s="58" t="str">
        <f t="shared" si="70"/>
        <v>114</v>
      </c>
      <c r="AP61" s="58" t="str">
        <f t="shared" si="71"/>
        <v>164</v>
      </c>
      <c r="AQ61" s="21" t="e">
        <f t="shared" si="72"/>
        <v>#NUM!</v>
      </c>
      <c r="AR61" s="21" t="e">
        <f t="shared" si="73"/>
        <v>#NUM!</v>
      </c>
      <c r="AS61" s="136" t="e">
        <f t="shared" si="42"/>
        <v>#NUM!</v>
      </c>
      <c r="AT61" s="59" t="e">
        <f t="shared" si="74"/>
        <v>#NUM!</v>
      </c>
      <c r="AU61" s="21" t="e">
        <f t="shared" si="43"/>
        <v>#NUM!</v>
      </c>
      <c r="AV61" s="58">
        <f t="shared" si="75"/>
        <v>1500</v>
      </c>
      <c r="AW61" s="58">
        <f t="shared" si="76"/>
        <v>600</v>
      </c>
      <c r="AX61" s="60">
        <f t="shared" si="77"/>
        <v>0.11</v>
      </c>
      <c r="AY61" s="212">
        <f t="shared" si="44"/>
        <v>0</v>
      </c>
      <c r="AZ61" s="59">
        <f t="shared" si="78"/>
        <v>0</v>
      </c>
      <c r="BA61" s="21" t="e">
        <f t="shared" si="45"/>
        <v>#DIV/0!</v>
      </c>
      <c r="BB61" s="58">
        <f t="shared" si="79"/>
        <v>2900</v>
      </c>
      <c r="BC61" s="58">
        <f t="shared" si="80"/>
        <v>1160</v>
      </c>
      <c r="BD61" s="60">
        <f t="shared" si="81"/>
        <v>0.15</v>
      </c>
      <c r="BE61" s="212" t="e">
        <f t="shared" si="46"/>
        <v>#NUM!</v>
      </c>
      <c r="BF61" s="59" t="e">
        <f t="shared" si="82"/>
        <v>#NUM!</v>
      </c>
      <c r="BG61" s="21" t="e">
        <f t="shared" si="47"/>
        <v>#NUM!</v>
      </c>
      <c r="BH61" s="55">
        <f t="shared" ca="1" si="35"/>
        <v>0</v>
      </c>
    </row>
    <row r="62" spans="1:60" x14ac:dyDescent="0.2">
      <c r="A62" s="61">
        <f ca="1">RANK(W62,W$12:W$311,0)+COUNTIF(W$12:W62,W62)-1</f>
        <v>250</v>
      </c>
      <c r="B62" s="55">
        <f>'Etape 1'!A58</f>
        <v>51</v>
      </c>
      <c r="C62" s="55">
        <f>'Etape 1'!B58</f>
        <v>0</v>
      </c>
      <c r="D62" s="55">
        <f>'Etape 1'!C58</f>
        <v>0</v>
      </c>
      <c r="E62" s="55">
        <f>'Etape 1'!D58</f>
        <v>0</v>
      </c>
      <c r="F62" s="55">
        <f>'Etape 1'!E58</f>
        <v>0</v>
      </c>
      <c r="G62" s="55">
        <f>'Etape 1'!F58</f>
        <v>0</v>
      </c>
      <c r="H62" s="55">
        <f>'Etape 1'!G58</f>
        <v>0</v>
      </c>
      <c r="I62" s="209">
        <v>1</v>
      </c>
      <c r="J62" s="58">
        <f t="shared" si="48"/>
        <v>0</v>
      </c>
      <c r="K62" s="21">
        <f t="shared" si="50"/>
        <v>0</v>
      </c>
      <c r="L62" s="21">
        <f t="shared" si="51"/>
        <v>0</v>
      </c>
      <c r="M62" s="21">
        <f t="shared" ca="1" si="52"/>
        <v>3</v>
      </c>
      <c r="N62" s="21">
        <f t="shared" ca="1" si="53"/>
        <v>3</v>
      </c>
      <c r="O62" s="21">
        <f t="shared" ca="1" si="54"/>
        <v>0</v>
      </c>
      <c r="P62" s="262" t="str">
        <f>IF('Etape 1'!J58=999,"",IF('Etape 1'!J58=9999,txt_Schritt1.Angaben.fehlen,VLOOKUP(N62,Matrix_1.2.3.Test.Punkte.ID.Beurteilung,4,1)))</f>
        <v/>
      </c>
      <c r="Q62" s="21">
        <f t="shared" ca="1" si="49"/>
        <v>0</v>
      </c>
      <c r="R62" s="136">
        <f t="shared" si="37"/>
        <v>51</v>
      </c>
      <c r="S62" s="136">
        <f t="shared" ca="1" si="5"/>
        <v>162.16943521594683</v>
      </c>
      <c r="T62" s="136">
        <f t="shared" ca="1" si="38"/>
        <v>750.16943521594681</v>
      </c>
      <c r="U62" s="136">
        <f t="shared" ca="1" si="39"/>
        <v>1224000.1694352159</v>
      </c>
      <c r="V62" s="211">
        <f t="shared" ca="1" si="40"/>
        <v>235406.36147953535</v>
      </c>
      <c r="W62" s="136">
        <f t="shared" ca="1" si="6"/>
        <v>51</v>
      </c>
      <c r="X62" s="136">
        <f t="shared" ca="1" si="55"/>
        <v>162.999000999001</v>
      </c>
      <c r="Y62" s="21">
        <f t="shared" si="56"/>
        <v>1</v>
      </c>
      <c r="Z62" s="21" t="str">
        <f t="shared" si="57"/>
        <v>&lt;IE0</v>
      </c>
      <c r="AA62" s="21">
        <f t="shared" si="58"/>
        <v>1</v>
      </c>
      <c r="AB62" s="21" t="str">
        <f t="shared" si="59"/>
        <v>a - "&lt; 1990 (Eff3)"</v>
      </c>
      <c r="AC62" s="21">
        <f t="shared" si="60"/>
        <v>999999</v>
      </c>
      <c r="AD62" s="21" t="str">
        <f t="shared" si="61"/>
        <v/>
      </c>
      <c r="AE62" s="21" t="str">
        <f t="shared" si="62"/>
        <v/>
      </c>
      <c r="AF62" s="21" t="str">
        <f t="shared" si="63"/>
        <v/>
      </c>
      <c r="AG62" s="21">
        <f t="shared" si="64"/>
        <v>0</v>
      </c>
      <c r="AH62" s="21">
        <f>IF('Etape 1'!H58=St.Wert_Hacken,1,0)</f>
        <v>0</v>
      </c>
      <c r="AI62" s="21">
        <f t="shared" si="41"/>
        <v>0</v>
      </c>
      <c r="AJ62" s="21">
        <f t="shared" si="65"/>
        <v>1000999</v>
      </c>
      <c r="AK62" s="58">
        <f t="shared" si="66"/>
        <v>1100</v>
      </c>
      <c r="AL62" s="58">
        <f t="shared" si="67"/>
        <v>440</v>
      </c>
      <c r="AM62" s="21">
        <f t="shared" si="68"/>
        <v>0</v>
      </c>
      <c r="AN62" s="58">
        <f t="shared" si="69"/>
        <v>1</v>
      </c>
      <c r="AO62" s="58" t="str">
        <f t="shared" si="70"/>
        <v>114</v>
      </c>
      <c r="AP62" s="58" t="str">
        <f t="shared" si="71"/>
        <v>164</v>
      </c>
      <c r="AQ62" s="21" t="e">
        <f t="shared" si="72"/>
        <v>#NUM!</v>
      </c>
      <c r="AR62" s="21" t="e">
        <f t="shared" si="73"/>
        <v>#NUM!</v>
      </c>
      <c r="AS62" s="136" t="e">
        <f t="shared" si="42"/>
        <v>#NUM!</v>
      </c>
      <c r="AT62" s="59" t="e">
        <f t="shared" si="74"/>
        <v>#NUM!</v>
      </c>
      <c r="AU62" s="21" t="e">
        <f t="shared" si="43"/>
        <v>#NUM!</v>
      </c>
      <c r="AV62" s="58">
        <f t="shared" si="75"/>
        <v>1500</v>
      </c>
      <c r="AW62" s="58">
        <f t="shared" si="76"/>
        <v>600</v>
      </c>
      <c r="AX62" s="60">
        <f t="shared" si="77"/>
        <v>0.11</v>
      </c>
      <c r="AY62" s="212">
        <f t="shared" si="44"/>
        <v>0</v>
      </c>
      <c r="AZ62" s="59">
        <f t="shared" si="78"/>
        <v>0</v>
      </c>
      <c r="BA62" s="21" t="e">
        <f t="shared" si="45"/>
        <v>#DIV/0!</v>
      </c>
      <c r="BB62" s="58">
        <f t="shared" si="79"/>
        <v>2900</v>
      </c>
      <c r="BC62" s="58">
        <f t="shared" si="80"/>
        <v>1160</v>
      </c>
      <c r="BD62" s="60">
        <f t="shared" si="81"/>
        <v>0.15</v>
      </c>
      <c r="BE62" s="212" t="e">
        <f t="shared" si="46"/>
        <v>#NUM!</v>
      </c>
      <c r="BF62" s="59" t="e">
        <f t="shared" si="82"/>
        <v>#NUM!</v>
      </c>
      <c r="BG62" s="21" t="e">
        <f t="shared" si="47"/>
        <v>#NUM!</v>
      </c>
      <c r="BH62" s="55">
        <f t="shared" ca="1" si="35"/>
        <v>0</v>
      </c>
    </row>
    <row r="63" spans="1:60" x14ac:dyDescent="0.2">
      <c r="A63" s="61">
        <f ca="1">RANK(W63,W$12:W$311,0)+COUNTIF(W$12:W63,W63)-1</f>
        <v>249</v>
      </c>
      <c r="B63" s="55">
        <f>'Etape 1'!A59</f>
        <v>52</v>
      </c>
      <c r="C63" s="55">
        <f>'Etape 1'!B59</f>
        <v>0</v>
      </c>
      <c r="D63" s="55">
        <f>'Etape 1'!C59</f>
        <v>0</v>
      </c>
      <c r="E63" s="55">
        <f>'Etape 1'!D59</f>
        <v>0</v>
      </c>
      <c r="F63" s="55">
        <f>'Etape 1'!E59</f>
        <v>0</v>
      </c>
      <c r="G63" s="55">
        <f>'Etape 1'!F59</f>
        <v>0</v>
      </c>
      <c r="H63" s="55">
        <f>'Etape 1'!G59</f>
        <v>0</v>
      </c>
      <c r="I63" s="209">
        <v>1</v>
      </c>
      <c r="J63" s="58">
        <f t="shared" si="48"/>
        <v>0</v>
      </c>
      <c r="K63" s="21">
        <f t="shared" si="50"/>
        <v>0</v>
      </c>
      <c r="L63" s="21">
        <f t="shared" si="51"/>
        <v>0</v>
      </c>
      <c r="M63" s="21">
        <f t="shared" ca="1" si="52"/>
        <v>3</v>
      </c>
      <c r="N63" s="21">
        <f t="shared" ca="1" si="53"/>
        <v>3</v>
      </c>
      <c r="O63" s="21">
        <f t="shared" ca="1" si="54"/>
        <v>0</v>
      </c>
      <c r="P63" s="262" t="str">
        <f>IF('Etape 1'!J59=999,"",IF('Etape 1'!J59=9999,txt_Schritt1.Angaben.fehlen,VLOOKUP(N63,Matrix_1.2.3.Test.Punkte.ID.Beurteilung,4,1)))</f>
        <v/>
      </c>
      <c r="Q63" s="21">
        <f t="shared" ca="1" si="49"/>
        <v>0</v>
      </c>
      <c r="R63" s="136">
        <f t="shared" si="37"/>
        <v>52</v>
      </c>
      <c r="S63" s="136">
        <f t="shared" ca="1" si="5"/>
        <v>162.17275747508305</v>
      </c>
      <c r="T63" s="136">
        <f t="shared" ca="1" si="38"/>
        <v>750.17275747508302</v>
      </c>
      <c r="U63" s="136">
        <f t="shared" ca="1" si="39"/>
        <v>1224000.1727574752</v>
      </c>
      <c r="V63" s="211">
        <f t="shared" ca="1" si="40"/>
        <v>235406.36480179449</v>
      </c>
      <c r="W63" s="136">
        <f t="shared" ca="1" si="6"/>
        <v>52</v>
      </c>
      <c r="X63" s="136">
        <f t="shared" ca="1" si="55"/>
        <v>162.999000999001</v>
      </c>
      <c r="Y63" s="21">
        <f t="shared" si="56"/>
        <v>1</v>
      </c>
      <c r="Z63" s="21" t="str">
        <f t="shared" si="57"/>
        <v>&lt;IE0</v>
      </c>
      <c r="AA63" s="21">
        <f t="shared" si="58"/>
        <v>1</v>
      </c>
      <c r="AB63" s="21" t="str">
        <f t="shared" si="59"/>
        <v>a - "&lt; 1990 (Eff3)"</v>
      </c>
      <c r="AC63" s="21">
        <f t="shared" si="60"/>
        <v>999999</v>
      </c>
      <c r="AD63" s="21" t="str">
        <f t="shared" si="61"/>
        <v/>
      </c>
      <c r="AE63" s="21" t="str">
        <f t="shared" si="62"/>
        <v/>
      </c>
      <c r="AF63" s="21" t="str">
        <f t="shared" si="63"/>
        <v/>
      </c>
      <c r="AG63" s="21">
        <f t="shared" si="64"/>
        <v>0</v>
      </c>
      <c r="AH63" s="21">
        <f>IF('Etape 1'!H59=St.Wert_Hacken,1,0)</f>
        <v>0</v>
      </c>
      <c r="AI63" s="21">
        <f t="shared" si="41"/>
        <v>0</v>
      </c>
      <c r="AJ63" s="21">
        <f t="shared" si="65"/>
        <v>1000999</v>
      </c>
      <c r="AK63" s="58">
        <f t="shared" si="66"/>
        <v>1100</v>
      </c>
      <c r="AL63" s="58">
        <f t="shared" si="67"/>
        <v>440</v>
      </c>
      <c r="AM63" s="21">
        <f t="shared" si="68"/>
        <v>0</v>
      </c>
      <c r="AN63" s="58">
        <f t="shared" si="69"/>
        <v>1</v>
      </c>
      <c r="AO63" s="58" t="str">
        <f t="shared" si="70"/>
        <v>114</v>
      </c>
      <c r="AP63" s="58" t="str">
        <f t="shared" si="71"/>
        <v>164</v>
      </c>
      <c r="AQ63" s="21" t="e">
        <f t="shared" si="72"/>
        <v>#NUM!</v>
      </c>
      <c r="AR63" s="21" t="e">
        <f t="shared" si="73"/>
        <v>#NUM!</v>
      </c>
      <c r="AS63" s="136" t="e">
        <f t="shared" si="42"/>
        <v>#NUM!</v>
      </c>
      <c r="AT63" s="59" t="e">
        <f t="shared" si="74"/>
        <v>#NUM!</v>
      </c>
      <c r="AU63" s="21" t="e">
        <f t="shared" si="43"/>
        <v>#NUM!</v>
      </c>
      <c r="AV63" s="58">
        <f t="shared" si="75"/>
        <v>1500</v>
      </c>
      <c r="AW63" s="58">
        <f t="shared" si="76"/>
        <v>600</v>
      </c>
      <c r="AX63" s="60">
        <f t="shared" si="77"/>
        <v>0.11</v>
      </c>
      <c r="AY63" s="212">
        <f t="shared" si="44"/>
        <v>0</v>
      </c>
      <c r="AZ63" s="59">
        <f t="shared" si="78"/>
        <v>0</v>
      </c>
      <c r="BA63" s="21" t="e">
        <f t="shared" si="45"/>
        <v>#DIV/0!</v>
      </c>
      <c r="BB63" s="58">
        <f t="shared" si="79"/>
        <v>2900</v>
      </c>
      <c r="BC63" s="58">
        <f t="shared" si="80"/>
        <v>1160</v>
      </c>
      <c r="BD63" s="60">
        <f t="shared" si="81"/>
        <v>0.15</v>
      </c>
      <c r="BE63" s="212" t="e">
        <f t="shared" si="46"/>
        <v>#NUM!</v>
      </c>
      <c r="BF63" s="59" t="e">
        <f t="shared" si="82"/>
        <v>#NUM!</v>
      </c>
      <c r="BG63" s="21" t="e">
        <f t="shared" si="47"/>
        <v>#NUM!</v>
      </c>
      <c r="BH63" s="55">
        <f t="shared" ca="1" si="35"/>
        <v>0</v>
      </c>
    </row>
    <row r="64" spans="1:60" x14ac:dyDescent="0.2">
      <c r="A64" s="61">
        <f ca="1">RANK(W64,W$12:W$311,0)+COUNTIF(W$12:W64,W64)-1</f>
        <v>248</v>
      </c>
      <c r="B64" s="55">
        <f>'Etape 1'!A60</f>
        <v>53</v>
      </c>
      <c r="C64" s="55">
        <f>'Etape 1'!B60</f>
        <v>0</v>
      </c>
      <c r="D64" s="55">
        <f>'Etape 1'!C60</f>
        <v>0</v>
      </c>
      <c r="E64" s="55">
        <f>'Etape 1'!D60</f>
        <v>0</v>
      </c>
      <c r="F64" s="55">
        <f>'Etape 1'!E60</f>
        <v>0</v>
      </c>
      <c r="G64" s="55">
        <f>'Etape 1'!F60</f>
        <v>0</v>
      </c>
      <c r="H64" s="55">
        <f>'Etape 1'!G60</f>
        <v>0</v>
      </c>
      <c r="I64" s="209">
        <v>1</v>
      </c>
      <c r="J64" s="58">
        <f t="shared" si="48"/>
        <v>0</v>
      </c>
      <c r="K64" s="21">
        <f t="shared" si="50"/>
        <v>0</v>
      </c>
      <c r="L64" s="21">
        <f t="shared" si="51"/>
        <v>0</v>
      </c>
      <c r="M64" s="21">
        <f t="shared" ca="1" si="52"/>
        <v>3</v>
      </c>
      <c r="N64" s="21">
        <f t="shared" ca="1" si="53"/>
        <v>3</v>
      </c>
      <c r="O64" s="21">
        <f t="shared" ca="1" si="54"/>
        <v>0</v>
      </c>
      <c r="P64" s="262" t="str">
        <f>IF('Etape 1'!J60=999,"",IF('Etape 1'!J60=9999,txt_Schritt1.Angaben.fehlen,VLOOKUP(N64,Matrix_1.2.3.Test.Punkte.ID.Beurteilung,4,1)))</f>
        <v/>
      </c>
      <c r="Q64" s="21">
        <f t="shared" ca="1" si="49"/>
        <v>0</v>
      </c>
      <c r="R64" s="136">
        <f t="shared" si="37"/>
        <v>53</v>
      </c>
      <c r="S64" s="136">
        <f t="shared" ca="1" si="5"/>
        <v>162.17607973421926</v>
      </c>
      <c r="T64" s="136">
        <f t="shared" ca="1" si="38"/>
        <v>750.17607973421923</v>
      </c>
      <c r="U64" s="136">
        <f t="shared" ca="1" si="39"/>
        <v>1224000.1760797342</v>
      </c>
      <c r="V64" s="211">
        <f t="shared" ca="1" si="40"/>
        <v>235406.36812405364</v>
      </c>
      <c r="W64" s="136">
        <f t="shared" ca="1" si="6"/>
        <v>53</v>
      </c>
      <c r="X64" s="136">
        <f t="shared" ca="1" si="55"/>
        <v>162.999000999001</v>
      </c>
      <c r="Y64" s="21">
        <f t="shared" si="56"/>
        <v>1</v>
      </c>
      <c r="Z64" s="21" t="str">
        <f t="shared" si="57"/>
        <v>&lt;IE0</v>
      </c>
      <c r="AA64" s="21">
        <f t="shared" si="58"/>
        <v>1</v>
      </c>
      <c r="AB64" s="21" t="str">
        <f t="shared" si="59"/>
        <v>a - "&lt; 1990 (Eff3)"</v>
      </c>
      <c r="AC64" s="21">
        <f t="shared" si="60"/>
        <v>999999</v>
      </c>
      <c r="AD64" s="21" t="str">
        <f t="shared" si="61"/>
        <v/>
      </c>
      <c r="AE64" s="21" t="str">
        <f t="shared" si="62"/>
        <v/>
      </c>
      <c r="AF64" s="21" t="str">
        <f t="shared" si="63"/>
        <v/>
      </c>
      <c r="AG64" s="21">
        <f t="shared" si="64"/>
        <v>0</v>
      </c>
      <c r="AH64" s="21">
        <f>IF('Etape 1'!H60=St.Wert_Hacken,1,0)</f>
        <v>0</v>
      </c>
      <c r="AI64" s="21">
        <f t="shared" si="41"/>
        <v>0</v>
      </c>
      <c r="AJ64" s="21">
        <f t="shared" si="65"/>
        <v>1000999</v>
      </c>
      <c r="AK64" s="58">
        <f t="shared" si="66"/>
        <v>1100</v>
      </c>
      <c r="AL64" s="58">
        <f t="shared" si="67"/>
        <v>440</v>
      </c>
      <c r="AM64" s="21">
        <f t="shared" si="68"/>
        <v>0</v>
      </c>
      <c r="AN64" s="58">
        <f t="shared" si="69"/>
        <v>1</v>
      </c>
      <c r="AO64" s="58" t="str">
        <f t="shared" si="70"/>
        <v>114</v>
      </c>
      <c r="AP64" s="58" t="str">
        <f t="shared" si="71"/>
        <v>164</v>
      </c>
      <c r="AQ64" s="21" t="e">
        <f t="shared" si="72"/>
        <v>#NUM!</v>
      </c>
      <c r="AR64" s="21" t="e">
        <f t="shared" si="73"/>
        <v>#NUM!</v>
      </c>
      <c r="AS64" s="136" t="e">
        <f t="shared" si="42"/>
        <v>#NUM!</v>
      </c>
      <c r="AT64" s="59" t="e">
        <f t="shared" si="74"/>
        <v>#NUM!</v>
      </c>
      <c r="AU64" s="21" t="e">
        <f t="shared" si="43"/>
        <v>#NUM!</v>
      </c>
      <c r="AV64" s="58">
        <f t="shared" si="75"/>
        <v>1500</v>
      </c>
      <c r="AW64" s="58">
        <f t="shared" si="76"/>
        <v>600</v>
      </c>
      <c r="AX64" s="60">
        <f t="shared" si="77"/>
        <v>0.11</v>
      </c>
      <c r="AY64" s="212">
        <f t="shared" si="44"/>
        <v>0</v>
      </c>
      <c r="AZ64" s="59">
        <f t="shared" si="78"/>
        <v>0</v>
      </c>
      <c r="BA64" s="21" t="e">
        <f t="shared" si="45"/>
        <v>#DIV/0!</v>
      </c>
      <c r="BB64" s="58">
        <f t="shared" si="79"/>
        <v>2900</v>
      </c>
      <c r="BC64" s="58">
        <f t="shared" si="80"/>
        <v>1160</v>
      </c>
      <c r="BD64" s="60">
        <f t="shared" si="81"/>
        <v>0.15</v>
      </c>
      <c r="BE64" s="212" t="e">
        <f t="shared" si="46"/>
        <v>#NUM!</v>
      </c>
      <c r="BF64" s="59" t="e">
        <f t="shared" si="82"/>
        <v>#NUM!</v>
      </c>
      <c r="BG64" s="21" t="e">
        <f t="shared" si="47"/>
        <v>#NUM!</v>
      </c>
      <c r="BH64" s="55">
        <f t="shared" ca="1" si="35"/>
        <v>0</v>
      </c>
    </row>
    <row r="65" spans="1:60" x14ac:dyDescent="0.2">
      <c r="A65" s="61">
        <f ca="1">RANK(W65,W$12:W$311,0)+COUNTIF(W$12:W65,W65)-1</f>
        <v>247</v>
      </c>
      <c r="B65" s="55">
        <f>'Etape 1'!A61</f>
        <v>54</v>
      </c>
      <c r="C65" s="55">
        <f>'Etape 1'!B61</f>
        <v>0</v>
      </c>
      <c r="D65" s="55">
        <f>'Etape 1'!C61</f>
        <v>0</v>
      </c>
      <c r="E65" s="55">
        <f>'Etape 1'!D61</f>
        <v>0</v>
      </c>
      <c r="F65" s="55">
        <f>'Etape 1'!E61</f>
        <v>0</v>
      </c>
      <c r="G65" s="55">
        <f>'Etape 1'!F61</f>
        <v>0</v>
      </c>
      <c r="H65" s="55">
        <f>'Etape 1'!G61</f>
        <v>0</v>
      </c>
      <c r="I65" s="209">
        <v>1</v>
      </c>
      <c r="J65" s="58">
        <f t="shared" si="48"/>
        <v>0</v>
      </c>
      <c r="K65" s="21">
        <f t="shared" si="50"/>
        <v>0</v>
      </c>
      <c r="L65" s="21">
        <f t="shared" si="51"/>
        <v>0</v>
      </c>
      <c r="M65" s="21">
        <f t="shared" ca="1" si="52"/>
        <v>3</v>
      </c>
      <c r="N65" s="21">
        <f t="shared" ca="1" si="53"/>
        <v>3</v>
      </c>
      <c r="O65" s="21">
        <f t="shared" ca="1" si="54"/>
        <v>0</v>
      </c>
      <c r="P65" s="262" t="str">
        <f>IF('Etape 1'!J61=999,"",IF('Etape 1'!J61=9999,txt_Schritt1.Angaben.fehlen,VLOOKUP(N65,Matrix_1.2.3.Test.Punkte.ID.Beurteilung,4,1)))</f>
        <v/>
      </c>
      <c r="Q65" s="21">
        <f t="shared" ca="1" si="49"/>
        <v>0</v>
      </c>
      <c r="R65" s="136">
        <f t="shared" si="37"/>
        <v>54</v>
      </c>
      <c r="S65" s="136">
        <f t="shared" ca="1" si="5"/>
        <v>162.17940199335547</v>
      </c>
      <c r="T65" s="136">
        <f t="shared" ca="1" si="38"/>
        <v>750.17940199335544</v>
      </c>
      <c r="U65" s="136">
        <f t="shared" ca="1" si="39"/>
        <v>1224000.1794019933</v>
      </c>
      <c r="V65" s="211">
        <f t="shared" ca="1" si="40"/>
        <v>235406.37144631275</v>
      </c>
      <c r="W65" s="136">
        <f t="shared" ca="1" si="6"/>
        <v>54</v>
      </c>
      <c r="X65" s="136">
        <f t="shared" ca="1" si="55"/>
        <v>162.999000999001</v>
      </c>
      <c r="Y65" s="21">
        <f t="shared" si="56"/>
        <v>1</v>
      </c>
      <c r="Z65" s="21" t="str">
        <f t="shared" si="57"/>
        <v>&lt;IE0</v>
      </c>
      <c r="AA65" s="21">
        <f t="shared" si="58"/>
        <v>1</v>
      </c>
      <c r="AB65" s="21" t="str">
        <f t="shared" si="59"/>
        <v>a - "&lt; 1990 (Eff3)"</v>
      </c>
      <c r="AC65" s="21">
        <f t="shared" si="60"/>
        <v>999999</v>
      </c>
      <c r="AD65" s="21" t="str">
        <f t="shared" si="61"/>
        <v/>
      </c>
      <c r="AE65" s="21" t="str">
        <f t="shared" si="62"/>
        <v/>
      </c>
      <c r="AF65" s="21" t="str">
        <f t="shared" si="63"/>
        <v/>
      </c>
      <c r="AG65" s="21">
        <f t="shared" si="64"/>
        <v>0</v>
      </c>
      <c r="AH65" s="21">
        <f>IF('Etape 1'!H61=St.Wert_Hacken,1,0)</f>
        <v>0</v>
      </c>
      <c r="AI65" s="21">
        <f t="shared" si="41"/>
        <v>0</v>
      </c>
      <c r="AJ65" s="21">
        <f t="shared" si="65"/>
        <v>1000999</v>
      </c>
      <c r="AK65" s="58">
        <f t="shared" si="66"/>
        <v>1100</v>
      </c>
      <c r="AL65" s="58">
        <f t="shared" si="67"/>
        <v>440</v>
      </c>
      <c r="AM65" s="21">
        <f t="shared" si="68"/>
        <v>0</v>
      </c>
      <c r="AN65" s="58">
        <f t="shared" si="69"/>
        <v>1</v>
      </c>
      <c r="AO65" s="58" t="str">
        <f t="shared" si="70"/>
        <v>114</v>
      </c>
      <c r="AP65" s="58" t="str">
        <f t="shared" si="71"/>
        <v>164</v>
      </c>
      <c r="AQ65" s="21" t="e">
        <f t="shared" si="72"/>
        <v>#NUM!</v>
      </c>
      <c r="AR65" s="21" t="e">
        <f t="shared" si="73"/>
        <v>#NUM!</v>
      </c>
      <c r="AS65" s="136" t="e">
        <f t="shared" si="42"/>
        <v>#NUM!</v>
      </c>
      <c r="AT65" s="59" t="e">
        <f t="shared" si="74"/>
        <v>#NUM!</v>
      </c>
      <c r="AU65" s="21" t="e">
        <f t="shared" si="43"/>
        <v>#NUM!</v>
      </c>
      <c r="AV65" s="58">
        <f t="shared" si="75"/>
        <v>1500</v>
      </c>
      <c r="AW65" s="58">
        <f t="shared" si="76"/>
        <v>600</v>
      </c>
      <c r="AX65" s="60">
        <f t="shared" si="77"/>
        <v>0.11</v>
      </c>
      <c r="AY65" s="212">
        <f t="shared" si="44"/>
        <v>0</v>
      </c>
      <c r="AZ65" s="59">
        <f t="shared" si="78"/>
        <v>0</v>
      </c>
      <c r="BA65" s="21" t="e">
        <f t="shared" si="45"/>
        <v>#DIV/0!</v>
      </c>
      <c r="BB65" s="58">
        <f t="shared" si="79"/>
        <v>2900</v>
      </c>
      <c r="BC65" s="58">
        <f t="shared" si="80"/>
        <v>1160</v>
      </c>
      <c r="BD65" s="60">
        <f t="shared" si="81"/>
        <v>0.15</v>
      </c>
      <c r="BE65" s="212" t="e">
        <f t="shared" si="46"/>
        <v>#NUM!</v>
      </c>
      <c r="BF65" s="59" t="e">
        <f t="shared" si="82"/>
        <v>#NUM!</v>
      </c>
      <c r="BG65" s="21" t="e">
        <f t="shared" si="47"/>
        <v>#NUM!</v>
      </c>
      <c r="BH65" s="55">
        <f t="shared" ca="1" si="35"/>
        <v>0</v>
      </c>
    </row>
    <row r="66" spans="1:60" x14ac:dyDescent="0.2">
      <c r="A66" s="61">
        <f ca="1">RANK(W66,W$12:W$311,0)+COUNTIF(W$12:W66,W66)-1</f>
        <v>246</v>
      </c>
      <c r="B66" s="55">
        <f>'Etape 1'!A62</f>
        <v>55</v>
      </c>
      <c r="C66" s="55">
        <f>'Etape 1'!B62</f>
        <v>0</v>
      </c>
      <c r="D66" s="55">
        <f>'Etape 1'!C62</f>
        <v>0</v>
      </c>
      <c r="E66" s="55">
        <f>'Etape 1'!D62</f>
        <v>0</v>
      </c>
      <c r="F66" s="55">
        <f>'Etape 1'!E62</f>
        <v>0</v>
      </c>
      <c r="G66" s="55">
        <f>'Etape 1'!F62</f>
        <v>0</v>
      </c>
      <c r="H66" s="55">
        <f>'Etape 1'!G62</f>
        <v>0</v>
      </c>
      <c r="I66" s="209">
        <v>1</v>
      </c>
      <c r="J66" s="58">
        <f t="shared" si="48"/>
        <v>0</v>
      </c>
      <c r="K66" s="21">
        <f t="shared" si="50"/>
        <v>0</v>
      </c>
      <c r="L66" s="21">
        <f t="shared" si="51"/>
        <v>0</v>
      </c>
      <c r="M66" s="21">
        <f t="shared" ca="1" si="52"/>
        <v>3</v>
      </c>
      <c r="N66" s="21">
        <f t="shared" ca="1" si="53"/>
        <v>3</v>
      </c>
      <c r="O66" s="21">
        <f t="shared" ca="1" si="54"/>
        <v>0</v>
      </c>
      <c r="P66" s="262" t="str">
        <f>IF('Etape 1'!J62=999,"",IF('Etape 1'!J62=9999,txt_Schritt1.Angaben.fehlen,VLOOKUP(N66,Matrix_1.2.3.Test.Punkte.ID.Beurteilung,4,1)))</f>
        <v/>
      </c>
      <c r="Q66" s="21">
        <f t="shared" ca="1" si="49"/>
        <v>0</v>
      </c>
      <c r="R66" s="136">
        <f t="shared" si="37"/>
        <v>55</v>
      </c>
      <c r="S66" s="136">
        <f t="shared" ca="1" si="5"/>
        <v>162.18272425249168</v>
      </c>
      <c r="T66" s="136">
        <f t="shared" ca="1" si="38"/>
        <v>750.18272425249165</v>
      </c>
      <c r="U66" s="136">
        <f t="shared" ca="1" si="39"/>
        <v>1224000.1827242526</v>
      </c>
      <c r="V66" s="211">
        <f t="shared" ca="1" si="40"/>
        <v>235406.3747685719</v>
      </c>
      <c r="W66" s="136">
        <f t="shared" ca="1" si="6"/>
        <v>55</v>
      </c>
      <c r="X66" s="136">
        <f t="shared" ca="1" si="55"/>
        <v>162.999000999001</v>
      </c>
      <c r="Y66" s="21">
        <f t="shared" si="56"/>
        <v>1</v>
      </c>
      <c r="Z66" s="21" t="str">
        <f t="shared" si="57"/>
        <v>&lt;IE0</v>
      </c>
      <c r="AA66" s="21">
        <f t="shared" si="58"/>
        <v>1</v>
      </c>
      <c r="AB66" s="21" t="str">
        <f t="shared" si="59"/>
        <v>a - "&lt; 1990 (Eff3)"</v>
      </c>
      <c r="AC66" s="21">
        <f t="shared" si="60"/>
        <v>999999</v>
      </c>
      <c r="AD66" s="21" t="str">
        <f t="shared" si="61"/>
        <v/>
      </c>
      <c r="AE66" s="21" t="str">
        <f t="shared" si="62"/>
        <v/>
      </c>
      <c r="AF66" s="21" t="str">
        <f t="shared" si="63"/>
        <v/>
      </c>
      <c r="AG66" s="21">
        <f t="shared" si="64"/>
        <v>0</v>
      </c>
      <c r="AH66" s="21">
        <f>IF('Etape 1'!H62=St.Wert_Hacken,1,0)</f>
        <v>0</v>
      </c>
      <c r="AI66" s="21">
        <f t="shared" si="41"/>
        <v>0</v>
      </c>
      <c r="AJ66" s="21">
        <f t="shared" si="65"/>
        <v>1000999</v>
      </c>
      <c r="AK66" s="58">
        <f t="shared" si="66"/>
        <v>1100</v>
      </c>
      <c r="AL66" s="58">
        <f t="shared" si="67"/>
        <v>440</v>
      </c>
      <c r="AM66" s="21">
        <f t="shared" si="68"/>
        <v>0</v>
      </c>
      <c r="AN66" s="58">
        <f t="shared" si="69"/>
        <v>1</v>
      </c>
      <c r="AO66" s="58" t="str">
        <f t="shared" si="70"/>
        <v>114</v>
      </c>
      <c r="AP66" s="58" t="str">
        <f t="shared" si="71"/>
        <v>164</v>
      </c>
      <c r="AQ66" s="21" t="e">
        <f t="shared" si="72"/>
        <v>#NUM!</v>
      </c>
      <c r="AR66" s="21" t="e">
        <f t="shared" si="73"/>
        <v>#NUM!</v>
      </c>
      <c r="AS66" s="136" t="e">
        <f t="shared" si="42"/>
        <v>#NUM!</v>
      </c>
      <c r="AT66" s="59" t="e">
        <f t="shared" si="74"/>
        <v>#NUM!</v>
      </c>
      <c r="AU66" s="21" t="e">
        <f t="shared" si="43"/>
        <v>#NUM!</v>
      </c>
      <c r="AV66" s="58">
        <f t="shared" si="75"/>
        <v>1500</v>
      </c>
      <c r="AW66" s="58">
        <f t="shared" si="76"/>
        <v>600</v>
      </c>
      <c r="AX66" s="60">
        <f t="shared" si="77"/>
        <v>0.11</v>
      </c>
      <c r="AY66" s="212">
        <f t="shared" si="44"/>
        <v>0</v>
      </c>
      <c r="AZ66" s="59">
        <f t="shared" si="78"/>
        <v>0</v>
      </c>
      <c r="BA66" s="21" t="e">
        <f t="shared" si="45"/>
        <v>#DIV/0!</v>
      </c>
      <c r="BB66" s="58">
        <f t="shared" si="79"/>
        <v>2900</v>
      </c>
      <c r="BC66" s="58">
        <f t="shared" si="80"/>
        <v>1160</v>
      </c>
      <c r="BD66" s="60">
        <f t="shared" si="81"/>
        <v>0.15</v>
      </c>
      <c r="BE66" s="212" t="e">
        <f t="shared" si="46"/>
        <v>#NUM!</v>
      </c>
      <c r="BF66" s="59" t="e">
        <f t="shared" si="82"/>
        <v>#NUM!</v>
      </c>
      <c r="BG66" s="21" t="e">
        <f t="shared" si="47"/>
        <v>#NUM!</v>
      </c>
      <c r="BH66" s="55">
        <f t="shared" ca="1" si="35"/>
        <v>0</v>
      </c>
    </row>
    <row r="67" spans="1:60" x14ac:dyDescent="0.2">
      <c r="A67" s="61">
        <f ca="1">RANK(W67,W$12:W$311,0)+COUNTIF(W$12:W67,W67)-1</f>
        <v>245</v>
      </c>
      <c r="B67" s="55">
        <f>'Etape 1'!A63</f>
        <v>56</v>
      </c>
      <c r="C67" s="55">
        <f>'Etape 1'!B63</f>
        <v>0</v>
      </c>
      <c r="D67" s="55">
        <f>'Etape 1'!C63</f>
        <v>0</v>
      </c>
      <c r="E67" s="55">
        <f>'Etape 1'!D63</f>
        <v>0</v>
      </c>
      <c r="F67" s="55">
        <f>'Etape 1'!E63</f>
        <v>0</v>
      </c>
      <c r="G67" s="55">
        <f>'Etape 1'!F63</f>
        <v>0</v>
      </c>
      <c r="H67" s="55">
        <f>'Etape 1'!G63</f>
        <v>0</v>
      </c>
      <c r="I67" s="209">
        <v>1</v>
      </c>
      <c r="J67" s="58">
        <f t="shared" si="48"/>
        <v>0</v>
      </c>
      <c r="K67" s="21">
        <f t="shared" si="50"/>
        <v>0</v>
      </c>
      <c r="L67" s="21">
        <f t="shared" si="51"/>
        <v>0</v>
      </c>
      <c r="M67" s="21">
        <f t="shared" ca="1" si="52"/>
        <v>3</v>
      </c>
      <c r="N67" s="21">
        <f t="shared" ca="1" si="53"/>
        <v>3</v>
      </c>
      <c r="O67" s="21">
        <f t="shared" ca="1" si="54"/>
        <v>0</v>
      </c>
      <c r="P67" s="262" t="str">
        <f>IF('Etape 1'!J63=999,"",IF('Etape 1'!J63=9999,txt_Schritt1.Angaben.fehlen,VLOOKUP(N67,Matrix_1.2.3.Test.Punkte.ID.Beurteilung,4,1)))</f>
        <v/>
      </c>
      <c r="Q67" s="21">
        <f t="shared" ca="1" si="49"/>
        <v>0</v>
      </c>
      <c r="R67" s="136">
        <f t="shared" si="37"/>
        <v>56</v>
      </c>
      <c r="S67" s="136">
        <f t="shared" ca="1" si="5"/>
        <v>162.18604651162789</v>
      </c>
      <c r="T67" s="136">
        <f t="shared" ca="1" si="38"/>
        <v>750.18604651162786</v>
      </c>
      <c r="U67" s="136">
        <f t="shared" ca="1" si="39"/>
        <v>1224000.1860465116</v>
      </c>
      <c r="V67" s="211">
        <f t="shared" ca="1" si="40"/>
        <v>235406.37809083104</v>
      </c>
      <c r="W67" s="136">
        <f t="shared" ca="1" si="6"/>
        <v>56</v>
      </c>
      <c r="X67" s="136">
        <f t="shared" ca="1" si="55"/>
        <v>162.999000999001</v>
      </c>
      <c r="Y67" s="21">
        <f t="shared" si="56"/>
        <v>1</v>
      </c>
      <c r="Z67" s="21" t="str">
        <f t="shared" si="57"/>
        <v>&lt;IE0</v>
      </c>
      <c r="AA67" s="21">
        <f t="shared" si="58"/>
        <v>1</v>
      </c>
      <c r="AB67" s="21" t="str">
        <f t="shared" si="59"/>
        <v>a - "&lt; 1990 (Eff3)"</v>
      </c>
      <c r="AC67" s="21">
        <f t="shared" si="60"/>
        <v>999999</v>
      </c>
      <c r="AD67" s="21" t="str">
        <f t="shared" si="61"/>
        <v/>
      </c>
      <c r="AE67" s="21" t="str">
        <f t="shared" si="62"/>
        <v/>
      </c>
      <c r="AF67" s="21" t="str">
        <f t="shared" si="63"/>
        <v/>
      </c>
      <c r="AG67" s="21">
        <f t="shared" si="64"/>
        <v>0</v>
      </c>
      <c r="AH67" s="21">
        <f>IF('Etape 1'!H63=St.Wert_Hacken,1,0)</f>
        <v>0</v>
      </c>
      <c r="AI67" s="21">
        <f t="shared" si="41"/>
        <v>0</v>
      </c>
      <c r="AJ67" s="21">
        <f t="shared" si="65"/>
        <v>1000999</v>
      </c>
      <c r="AK67" s="58">
        <f t="shared" si="66"/>
        <v>1100</v>
      </c>
      <c r="AL67" s="58">
        <f t="shared" si="67"/>
        <v>440</v>
      </c>
      <c r="AM67" s="21">
        <f t="shared" si="68"/>
        <v>0</v>
      </c>
      <c r="AN67" s="58">
        <f t="shared" si="69"/>
        <v>1</v>
      </c>
      <c r="AO67" s="58" t="str">
        <f t="shared" si="70"/>
        <v>114</v>
      </c>
      <c r="AP67" s="58" t="str">
        <f t="shared" si="71"/>
        <v>164</v>
      </c>
      <c r="AQ67" s="21" t="e">
        <f t="shared" si="72"/>
        <v>#NUM!</v>
      </c>
      <c r="AR67" s="21" t="e">
        <f t="shared" si="73"/>
        <v>#NUM!</v>
      </c>
      <c r="AS67" s="136" t="e">
        <f t="shared" si="42"/>
        <v>#NUM!</v>
      </c>
      <c r="AT67" s="59" t="e">
        <f t="shared" si="74"/>
        <v>#NUM!</v>
      </c>
      <c r="AU67" s="21" t="e">
        <f t="shared" si="43"/>
        <v>#NUM!</v>
      </c>
      <c r="AV67" s="58">
        <f t="shared" si="75"/>
        <v>1500</v>
      </c>
      <c r="AW67" s="58">
        <f t="shared" si="76"/>
        <v>600</v>
      </c>
      <c r="AX67" s="60">
        <f t="shared" si="77"/>
        <v>0.11</v>
      </c>
      <c r="AY67" s="212">
        <f t="shared" si="44"/>
        <v>0</v>
      </c>
      <c r="AZ67" s="59">
        <f t="shared" si="78"/>
        <v>0</v>
      </c>
      <c r="BA67" s="21" t="e">
        <f t="shared" si="45"/>
        <v>#DIV/0!</v>
      </c>
      <c r="BB67" s="58">
        <f t="shared" si="79"/>
        <v>2900</v>
      </c>
      <c r="BC67" s="58">
        <f t="shared" si="80"/>
        <v>1160</v>
      </c>
      <c r="BD67" s="60">
        <f t="shared" si="81"/>
        <v>0.15</v>
      </c>
      <c r="BE67" s="212" t="e">
        <f t="shared" si="46"/>
        <v>#NUM!</v>
      </c>
      <c r="BF67" s="59" t="e">
        <f t="shared" si="82"/>
        <v>#NUM!</v>
      </c>
      <c r="BG67" s="21" t="e">
        <f t="shared" si="47"/>
        <v>#NUM!</v>
      </c>
      <c r="BH67" s="55">
        <f t="shared" ca="1" si="35"/>
        <v>0</v>
      </c>
    </row>
    <row r="68" spans="1:60" x14ac:dyDescent="0.2">
      <c r="A68" s="61">
        <f ca="1">RANK(W68,W$12:W$311,0)+COUNTIF(W$12:W68,W68)-1</f>
        <v>244</v>
      </c>
      <c r="B68" s="55">
        <f>'Etape 1'!A64</f>
        <v>57</v>
      </c>
      <c r="C68" s="55">
        <f>'Etape 1'!B64</f>
        <v>0</v>
      </c>
      <c r="D68" s="55">
        <f>'Etape 1'!C64</f>
        <v>0</v>
      </c>
      <c r="E68" s="55">
        <f>'Etape 1'!D64</f>
        <v>0</v>
      </c>
      <c r="F68" s="55">
        <f>'Etape 1'!E64</f>
        <v>0</v>
      </c>
      <c r="G68" s="55">
        <f>'Etape 1'!F64</f>
        <v>0</v>
      </c>
      <c r="H68" s="55">
        <f>'Etape 1'!G64</f>
        <v>0</v>
      </c>
      <c r="I68" s="209">
        <v>1</v>
      </c>
      <c r="J68" s="58">
        <f t="shared" si="48"/>
        <v>0</v>
      </c>
      <c r="K68" s="21">
        <f t="shared" si="50"/>
        <v>0</v>
      </c>
      <c r="L68" s="21">
        <f t="shared" si="51"/>
        <v>0</v>
      </c>
      <c r="M68" s="21">
        <f t="shared" ca="1" si="52"/>
        <v>3</v>
      </c>
      <c r="N68" s="21">
        <f t="shared" ca="1" si="53"/>
        <v>3</v>
      </c>
      <c r="O68" s="21">
        <f t="shared" ca="1" si="54"/>
        <v>0</v>
      </c>
      <c r="P68" s="262" t="str">
        <f>IF('Etape 1'!J64=999,"",IF('Etape 1'!J64=9999,txt_Schritt1.Angaben.fehlen,VLOOKUP(N68,Matrix_1.2.3.Test.Punkte.ID.Beurteilung,4,1)))</f>
        <v/>
      </c>
      <c r="Q68" s="21">
        <f t="shared" ca="1" si="49"/>
        <v>0</v>
      </c>
      <c r="R68" s="136">
        <f t="shared" si="37"/>
        <v>57</v>
      </c>
      <c r="S68" s="136">
        <f t="shared" ca="1" si="5"/>
        <v>162.18936877076413</v>
      </c>
      <c r="T68" s="136">
        <f t="shared" ca="1" si="38"/>
        <v>750.18936877076408</v>
      </c>
      <c r="U68" s="136">
        <f t="shared" ca="1" si="39"/>
        <v>1224000.1893687707</v>
      </c>
      <c r="V68" s="211">
        <f t="shared" ca="1" si="40"/>
        <v>235406.38141309019</v>
      </c>
      <c r="W68" s="136">
        <f t="shared" ca="1" si="6"/>
        <v>57</v>
      </c>
      <c r="X68" s="136">
        <f t="shared" ca="1" si="55"/>
        <v>162.999000999001</v>
      </c>
      <c r="Y68" s="21">
        <f t="shared" si="56"/>
        <v>1</v>
      </c>
      <c r="Z68" s="21" t="str">
        <f t="shared" si="57"/>
        <v>&lt;IE0</v>
      </c>
      <c r="AA68" s="21">
        <f t="shared" si="58"/>
        <v>1</v>
      </c>
      <c r="AB68" s="21" t="str">
        <f t="shared" si="59"/>
        <v>a - "&lt; 1990 (Eff3)"</v>
      </c>
      <c r="AC68" s="21">
        <f t="shared" si="60"/>
        <v>999999</v>
      </c>
      <c r="AD68" s="21" t="str">
        <f t="shared" si="61"/>
        <v/>
      </c>
      <c r="AE68" s="21" t="str">
        <f t="shared" si="62"/>
        <v/>
      </c>
      <c r="AF68" s="21" t="str">
        <f t="shared" si="63"/>
        <v/>
      </c>
      <c r="AG68" s="21">
        <f t="shared" si="64"/>
        <v>0</v>
      </c>
      <c r="AH68" s="21">
        <f>IF('Etape 1'!H64=St.Wert_Hacken,1,0)</f>
        <v>0</v>
      </c>
      <c r="AI68" s="21">
        <f t="shared" si="41"/>
        <v>0</v>
      </c>
      <c r="AJ68" s="21">
        <f t="shared" si="65"/>
        <v>1000999</v>
      </c>
      <c r="AK68" s="58">
        <f t="shared" si="66"/>
        <v>1100</v>
      </c>
      <c r="AL68" s="58">
        <f t="shared" si="67"/>
        <v>440</v>
      </c>
      <c r="AM68" s="21">
        <f t="shared" si="68"/>
        <v>0</v>
      </c>
      <c r="AN68" s="58">
        <f t="shared" si="69"/>
        <v>1</v>
      </c>
      <c r="AO68" s="58" t="str">
        <f t="shared" si="70"/>
        <v>114</v>
      </c>
      <c r="AP68" s="58" t="str">
        <f t="shared" si="71"/>
        <v>164</v>
      </c>
      <c r="AQ68" s="21" t="e">
        <f t="shared" si="72"/>
        <v>#NUM!</v>
      </c>
      <c r="AR68" s="21" t="e">
        <f t="shared" si="73"/>
        <v>#NUM!</v>
      </c>
      <c r="AS68" s="136" t="e">
        <f t="shared" si="42"/>
        <v>#NUM!</v>
      </c>
      <c r="AT68" s="59" t="e">
        <f t="shared" si="74"/>
        <v>#NUM!</v>
      </c>
      <c r="AU68" s="21" t="e">
        <f t="shared" si="43"/>
        <v>#NUM!</v>
      </c>
      <c r="AV68" s="58">
        <f t="shared" si="75"/>
        <v>1500</v>
      </c>
      <c r="AW68" s="58">
        <f t="shared" si="76"/>
        <v>600</v>
      </c>
      <c r="AX68" s="60">
        <f t="shared" si="77"/>
        <v>0.11</v>
      </c>
      <c r="AY68" s="212">
        <f t="shared" si="44"/>
        <v>0</v>
      </c>
      <c r="AZ68" s="59">
        <f t="shared" si="78"/>
        <v>0</v>
      </c>
      <c r="BA68" s="21" t="e">
        <f t="shared" si="45"/>
        <v>#DIV/0!</v>
      </c>
      <c r="BB68" s="58">
        <f t="shared" si="79"/>
        <v>2900</v>
      </c>
      <c r="BC68" s="58">
        <f t="shared" si="80"/>
        <v>1160</v>
      </c>
      <c r="BD68" s="60">
        <f t="shared" si="81"/>
        <v>0.15</v>
      </c>
      <c r="BE68" s="212" t="e">
        <f t="shared" si="46"/>
        <v>#NUM!</v>
      </c>
      <c r="BF68" s="59" t="e">
        <f t="shared" si="82"/>
        <v>#NUM!</v>
      </c>
      <c r="BG68" s="21" t="e">
        <f t="shared" si="47"/>
        <v>#NUM!</v>
      </c>
      <c r="BH68" s="55">
        <f t="shared" ca="1" si="35"/>
        <v>0</v>
      </c>
    </row>
    <row r="69" spans="1:60" x14ac:dyDescent="0.2">
      <c r="A69" s="61">
        <f ca="1">RANK(W69,W$12:W$311,0)+COUNTIF(W$12:W69,W69)-1</f>
        <v>243</v>
      </c>
      <c r="B69" s="55">
        <f>'Etape 1'!A65</f>
        <v>58</v>
      </c>
      <c r="C69" s="55">
        <f>'Etape 1'!B65</f>
        <v>0</v>
      </c>
      <c r="D69" s="55">
        <f>'Etape 1'!C65</f>
        <v>0</v>
      </c>
      <c r="E69" s="55">
        <f>'Etape 1'!D65</f>
        <v>0</v>
      </c>
      <c r="F69" s="55">
        <f>'Etape 1'!E65</f>
        <v>0</v>
      </c>
      <c r="G69" s="55">
        <f>'Etape 1'!F65</f>
        <v>0</v>
      </c>
      <c r="H69" s="55">
        <f>'Etape 1'!G65</f>
        <v>0</v>
      </c>
      <c r="I69" s="209">
        <v>1</v>
      </c>
      <c r="J69" s="58">
        <f t="shared" si="48"/>
        <v>0</v>
      </c>
      <c r="K69" s="21">
        <f t="shared" si="50"/>
        <v>0</v>
      </c>
      <c r="L69" s="21">
        <f t="shared" si="51"/>
        <v>0</v>
      </c>
      <c r="M69" s="21">
        <f t="shared" ca="1" si="52"/>
        <v>3</v>
      </c>
      <c r="N69" s="21">
        <f t="shared" ca="1" si="53"/>
        <v>3</v>
      </c>
      <c r="O69" s="21">
        <f t="shared" ca="1" si="54"/>
        <v>0</v>
      </c>
      <c r="P69" s="262" t="str">
        <f>IF('Etape 1'!J65=999,"",IF('Etape 1'!J65=9999,txt_Schritt1.Angaben.fehlen,VLOOKUP(N69,Matrix_1.2.3.Test.Punkte.ID.Beurteilung,4,1)))</f>
        <v/>
      </c>
      <c r="Q69" s="21">
        <f t="shared" ca="1" si="49"/>
        <v>0</v>
      </c>
      <c r="R69" s="136">
        <f t="shared" si="37"/>
        <v>58</v>
      </c>
      <c r="S69" s="136">
        <f t="shared" ca="1" si="5"/>
        <v>162.19269102990035</v>
      </c>
      <c r="T69" s="136">
        <f t="shared" ca="1" si="38"/>
        <v>750.19269102990029</v>
      </c>
      <c r="U69" s="136">
        <f t="shared" ca="1" si="39"/>
        <v>1224000.19269103</v>
      </c>
      <c r="V69" s="211">
        <f t="shared" ca="1" si="40"/>
        <v>235406.3847353493</v>
      </c>
      <c r="W69" s="136">
        <f t="shared" ca="1" si="6"/>
        <v>58</v>
      </c>
      <c r="X69" s="136">
        <f t="shared" ca="1" si="55"/>
        <v>162.999000999001</v>
      </c>
      <c r="Y69" s="21">
        <f t="shared" si="56"/>
        <v>1</v>
      </c>
      <c r="Z69" s="21" t="str">
        <f t="shared" si="57"/>
        <v>&lt;IE0</v>
      </c>
      <c r="AA69" s="21">
        <f t="shared" si="58"/>
        <v>1</v>
      </c>
      <c r="AB69" s="21" t="str">
        <f t="shared" si="59"/>
        <v>a - "&lt; 1990 (Eff3)"</v>
      </c>
      <c r="AC69" s="21">
        <f t="shared" si="60"/>
        <v>999999</v>
      </c>
      <c r="AD69" s="21" t="str">
        <f t="shared" si="61"/>
        <v/>
      </c>
      <c r="AE69" s="21" t="str">
        <f t="shared" si="62"/>
        <v/>
      </c>
      <c r="AF69" s="21" t="str">
        <f t="shared" si="63"/>
        <v/>
      </c>
      <c r="AG69" s="21">
        <f t="shared" si="64"/>
        <v>0</v>
      </c>
      <c r="AH69" s="21">
        <f>IF('Etape 1'!H65=St.Wert_Hacken,1,0)</f>
        <v>0</v>
      </c>
      <c r="AI69" s="21">
        <f t="shared" si="41"/>
        <v>0</v>
      </c>
      <c r="AJ69" s="21">
        <f t="shared" si="65"/>
        <v>1000999</v>
      </c>
      <c r="AK69" s="58">
        <f t="shared" si="66"/>
        <v>1100</v>
      </c>
      <c r="AL69" s="58">
        <f t="shared" si="67"/>
        <v>440</v>
      </c>
      <c r="AM69" s="21">
        <f t="shared" si="68"/>
        <v>0</v>
      </c>
      <c r="AN69" s="58">
        <f t="shared" si="69"/>
        <v>1</v>
      </c>
      <c r="AO69" s="58" t="str">
        <f t="shared" si="70"/>
        <v>114</v>
      </c>
      <c r="AP69" s="58" t="str">
        <f t="shared" si="71"/>
        <v>164</v>
      </c>
      <c r="AQ69" s="21" t="e">
        <f t="shared" si="72"/>
        <v>#NUM!</v>
      </c>
      <c r="AR69" s="21" t="e">
        <f t="shared" si="73"/>
        <v>#NUM!</v>
      </c>
      <c r="AS69" s="136" t="e">
        <f t="shared" si="42"/>
        <v>#NUM!</v>
      </c>
      <c r="AT69" s="59" t="e">
        <f t="shared" si="74"/>
        <v>#NUM!</v>
      </c>
      <c r="AU69" s="21" t="e">
        <f t="shared" si="43"/>
        <v>#NUM!</v>
      </c>
      <c r="AV69" s="58">
        <f t="shared" si="75"/>
        <v>1500</v>
      </c>
      <c r="AW69" s="58">
        <f t="shared" si="76"/>
        <v>600</v>
      </c>
      <c r="AX69" s="60">
        <f t="shared" si="77"/>
        <v>0.11</v>
      </c>
      <c r="AY69" s="212">
        <f t="shared" si="44"/>
        <v>0</v>
      </c>
      <c r="AZ69" s="59">
        <f t="shared" si="78"/>
        <v>0</v>
      </c>
      <c r="BA69" s="21" t="e">
        <f t="shared" si="45"/>
        <v>#DIV/0!</v>
      </c>
      <c r="BB69" s="58">
        <f t="shared" si="79"/>
        <v>2900</v>
      </c>
      <c r="BC69" s="58">
        <f t="shared" si="80"/>
        <v>1160</v>
      </c>
      <c r="BD69" s="60">
        <f t="shared" si="81"/>
        <v>0.15</v>
      </c>
      <c r="BE69" s="212" t="e">
        <f t="shared" si="46"/>
        <v>#NUM!</v>
      </c>
      <c r="BF69" s="59" t="e">
        <f t="shared" si="82"/>
        <v>#NUM!</v>
      </c>
      <c r="BG69" s="21" t="e">
        <f t="shared" si="47"/>
        <v>#NUM!</v>
      </c>
      <c r="BH69" s="55">
        <f t="shared" ca="1" si="35"/>
        <v>0</v>
      </c>
    </row>
    <row r="70" spans="1:60" x14ac:dyDescent="0.2">
      <c r="A70" s="61">
        <f ca="1">RANK(W70,W$12:W$311,0)+COUNTIF(W$12:W70,W70)-1</f>
        <v>242</v>
      </c>
      <c r="B70" s="55">
        <f>'Etape 1'!A66</f>
        <v>59</v>
      </c>
      <c r="C70" s="55">
        <f>'Etape 1'!B66</f>
        <v>0</v>
      </c>
      <c r="D70" s="55">
        <f>'Etape 1'!C66</f>
        <v>0</v>
      </c>
      <c r="E70" s="55">
        <f>'Etape 1'!D66</f>
        <v>0</v>
      </c>
      <c r="F70" s="55">
        <f>'Etape 1'!E66</f>
        <v>0</v>
      </c>
      <c r="G70" s="55">
        <f>'Etape 1'!F66</f>
        <v>0</v>
      </c>
      <c r="H70" s="55">
        <f>'Etape 1'!G66</f>
        <v>0</v>
      </c>
      <c r="I70" s="209">
        <v>1</v>
      </c>
      <c r="J70" s="58">
        <f t="shared" si="48"/>
        <v>0</v>
      </c>
      <c r="K70" s="21">
        <f t="shared" si="50"/>
        <v>0</v>
      </c>
      <c r="L70" s="21">
        <f t="shared" si="51"/>
        <v>0</v>
      </c>
      <c r="M70" s="21">
        <f t="shared" ca="1" si="52"/>
        <v>3</v>
      </c>
      <c r="N70" s="21">
        <f t="shared" ca="1" si="53"/>
        <v>3</v>
      </c>
      <c r="O70" s="21">
        <f t="shared" ca="1" si="54"/>
        <v>0</v>
      </c>
      <c r="P70" s="262" t="str">
        <f>IF('Etape 1'!J66=999,"",IF('Etape 1'!J66=9999,txt_Schritt1.Angaben.fehlen,VLOOKUP(N70,Matrix_1.2.3.Test.Punkte.ID.Beurteilung,4,1)))</f>
        <v/>
      </c>
      <c r="Q70" s="21">
        <f t="shared" ca="1" si="49"/>
        <v>0</v>
      </c>
      <c r="R70" s="136">
        <f t="shared" si="37"/>
        <v>59</v>
      </c>
      <c r="S70" s="136">
        <f t="shared" ca="1" si="5"/>
        <v>162.19601328903656</v>
      </c>
      <c r="T70" s="136">
        <f t="shared" ca="1" si="38"/>
        <v>750.1960132890365</v>
      </c>
      <c r="U70" s="136">
        <f t="shared" ca="1" si="39"/>
        <v>1224000.196013289</v>
      </c>
      <c r="V70" s="211">
        <f t="shared" ca="1" si="40"/>
        <v>235406.38805760845</v>
      </c>
      <c r="W70" s="136">
        <f t="shared" ca="1" si="6"/>
        <v>59</v>
      </c>
      <c r="X70" s="136">
        <f t="shared" ca="1" si="55"/>
        <v>162.999000999001</v>
      </c>
      <c r="Y70" s="21">
        <f t="shared" si="56"/>
        <v>1</v>
      </c>
      <c r="Z70" s="21" t="str">
        <f t="shared" si="57"/>
        <v>&lt;IE0</v>
      </c>
      <c r="AA70" s="21">
        <f t="shared" si="58"/>
        <v>1</v>
      </c>
      <c r="AB70" s="21" t="str">
        <f t="shared" si="59"/>
        <v>a - "&lt; 1990 (Eff3)"</v>
      </c>
      <c r="AC70" s="21">
        <f t="shared" si="60"/>
        <v>999999</v>
      </c>
      <c r="AD70" s="21" t="str">
        <f t="shared" si="61"/>
        <v/>
      </c>
      <c r="AE70" s="21" t="str">
        <f t="shared" si="62"/>
        <v/>
      </c>
      <c r="AF70" s="21" t="str">
        <f t="shared" si="63"/>
        <v/>
      </c>
      <c r="AG70" s="21">
        <f t="shared" si="64"/>
        <v>0</v>
      </c>
      <c r="AH70" s="21">
        <f>IF('Etape 1'!H66=St.Wert_Hacken,1,0)</f>
        <v>0</v>
      </c>
      <c r="AI70" s="21">
        <f t="shared" si="41"/>
        <v>0</v>
      </c>
      <c r="AJ70" s="21">
        <f t="shared" si="65"/>
        <v>1000999</v>
      </c>
      <c r="AK70" s="58">
        <f t="shared" si="66"/>
        <v>1100</v>
      </c>
      <c r="AL70" s="58">
        <f t="shared" si="67"/>
        <v>440</v>
      </c>
      <c r="AM70" s="21">
        <f t="shared" si="68"/>
        <v>0</v>
      </c>
      <c r="AN70" s="58">
        <f t="shared" si="69"/>
        <v>1</v>
      </c>
      <c r="AO70" s="58" t="str">
        <f t="shared" si="70"/>
        <v>114</v>
      </c>
      <c r="AP70" s="58" t="str">
        <f t="shared" si="71"/>
        <v>164</v>
      </c>
      <c r="AQ70" s="21" t="e">
        <f t="shared" si="72"/>
        <v>#NUM!</v>
      </c>
      <c r="AR70" s="21" t="e">
        <f t="shared" si="73"/>
        <v>#NUM!</v>
      </c>
      <c r="AS70" s="136" t="e">
        <f t="shared" si="42"/>
        <v>#NUM!</v>
      </c>
      <c r="AT70" s="59" t="e">
        <f t="shared" si="74"/>
        <v>#NUM!</v>
      </c>
      <c r="AU70" s="21" t="e">
        <f t="shared" si="43"/>
        <v>#NUM!</v>
      </c>
      <c r="AV70" s="58">
        <f t="shared" si="75"/>
        <v>1500</v>
      </c>
      <c r="AW70" s="58">
        <f t="shared" si="76"/>
        <v>600</v>
      </c>
      <c r="AX70" s="60">
        <f t="shared" si="77"/>
        <v>0.11</v>
      </c>
      <c r="AY70" s="212">
        <f t="shared" si="44"/>
        <v>0</v>
      </c>
      <c r="AZ70" s="59">
        <f t="shared" si="78"/>
        <v>0</v>
      </c>
      <c r="BA70" s="21" t="e">
        <f t="shared" si="45"/>
        <v>#DIV/0!</v>
      </c>
      <c r="BB70" s="58">
        <f t="shared" si="79"/>
        <v>2900</v>
      </c>
      <c r="BC70" s="58">
        <f t="shared" si="80"/>
        <v>1160</v>
      </c>
      <c r="BD70" s="60">
        <f t="shared" si="81"/>
        <v>0.15</v>
      </c>
      <c r="BE70" s="212" t="e">
        <f t="shared" si="46"/>
        <v>#NUM!</v>
      </c>
      <c r="BF70" s="59" t="e">
        <f t="shared" si="82"/>
        <v>#NUM!</v>
      </c>
      <c r="BG70" s="21" t="e">
        <f t="shared" si="47"/>
        <v>#NUM!</v>
      </c>
      <c r="BH70" s="55">
        <f t="shared" ca="1" si="35"/>
        <v>0</v>
      </c>
    </row>
    <row r="71" spans="1:60" x14ac:dyDescent="0.2">
      <c r="A71" s="61">
        <f ca="1">RANK(W71,W$12:W$311,0)+COUNTIF(W$12:W71,W71)-1</f>
        <v>241</v>
      </c>
      <c r="B71" s="55">
        <f>'Etape 1'!A67</f>
        <v>60</v>
      </c>
      <c r="C71" s="55">
        <f>'Etape 1'!B67</f>
        <v>0</v>
      </c>
      <c r="D71" s="55">
        <f>'Etape 1'!C67</f>
        <v>0</v>
      </c>
      <c r="E71" s="55">
        <f>'Etape 1'!D67</f>
        <v>0</v>
      </c>
      <c r="F71" s="55">
        <f>'Etape 1'!E67</f>
        <v>0</v>
      </c>
      <c r="G71" s="55">
        <f>'Etape 1'!F67</f>
        <v>0</v>
      </c>
      <c r="H71" s="55">
        <f>'Etape 1'!G67</f>
        <v>0</v>
      </c>
      <c r="I71" s="209">
        <v>1</v>
      </c>
      <c r="J71" s="58">
        <f t="shared" si="48"/>
        <v>0</v>
      </c>
      <c r="K71" s="21">
        <f t="shared" si="50"/>
        <v>0</v>
      </c>
      <c r="L71" s="21">
        <f t="shared" si="51"/>
        <v>0</v>
      </c>
      <c r="M71" s="21">
        <f t="shared" ca="1" si="52"/>
        <v>3</v>
      </c>
      <c r="N71" s="21">
        <f t="shared" ca="1" si="53"/>
        <v>3</v>
      </c>
      <c r="O71" s="21">
        <f t="shared" ca="1" si="54"/>
        <v>0</v>
      </c>
      <c r="P71" s="262" t="str">
        <f>IF('Etape 1'!J67=999,"",IF('Etape 1'!J67=9999,txt_Schritt1.Angaben.fehlen,VLOOKUP(N71,Matrix_1.2.3.Test.Punkte.ID.Beurteilung,4,1)))</f>
        <v/>
      </c>
      <c r="Q71" s="21">
        <f t="shared" ca="1" si="49"/>
        <v>0</v>
      </c>
      <c r="R71" s="136">
        <f t="shared" si="37"/>
        <v>60</v>
      </c>
      <c r="S71" s="136">
        <f t="shared" ca="1" si="5"/>
        <v>162.19933554817277</v>
      </c>
      <c r="T71" s="136">
        <f t="shared" ca="1" si="38"/>
        <v>750.19933554817271</v>
      </c>
      <c r="U71" s="136">
        <f t="shared" ca="1" si="39"/>
        <v>1224000.1993355481</v>
      </c>
      <c r="V71" s="211">
        <f t="shared" ca="1" si="40"/>
        <v>235406.39137986759</v>
      </c>
      <c r="W71" s="136">
        <f t="shared" ca="1" si="6"/>
        <v>60</v>
      </c>
      <c r="X71" s="136">
        <f t="shared" ca="1" si="55"/>
        <v>162.999000999001</v>
      </c>
      <c r="Y71" s="21">
        <f t="shared" si="56"/>
        <v>1</v>
      </c>
      <c r="Z71" s="21" t="str">
        <f t="shared" si="57"/>
        <v>&lt;IE0</v>
      </c>
      <c r="AA71" s="21">
        <f t="shared" si="58"/>
        <v>1</v>
      </c>
      <c r="AB71" s="21" t="str">
        <f t="shared" si="59"/>
        <v>a - "&lt; 1990 (Eff3)"</v>
      </c>
      <c r="AC71" s="21">
        <f t="shared" si="60"/>
        <v>999999</v>
      </c>
      <c r="AD71" s="21" t="str">
        <f t="shared" si="61"/>
        <v/>
      </c>
      <c r="AE71" s="21" t="str">
        <f t="shared" si="62"/>
        <v/>
      </c>
      <c r="AF71" s="21" t="str">
        <f t="shared" si="63"/>
        <v/>
      </c>
      <c r="AG71" s="21">
        <f t="shared" si="64"/>
        <v>0</v>
      </c>
      <c r="AH71" s="21">
        <f>IF('Etape 1'!H67=St.Wert_Hacken,1,0)</f>
        <v>0</v>
      </c>
      <c r="AI71" s="21">
        <f t="shared" si="41"/>
        <v>0</v>
      </c>
      <c r="AJ71" s="21">
        <f t="shared" si="65"/>
        <v>1000999</v>
      </c>
      <c r="AK71" s="58">
        <f t="shared" si="66"/>
        <v>1100</v>
      </c>
      <c r="AL71" s="58">
        <f t="shared" si="67"/>
        <v>440</v>
      </c>
      <c r="AM71" s="21">
        <f t="shared" si="68"/>
        <v>0</v>
      </c>
      <c r="AN71" s="58">
        <f t="shared" si="69"/>
        <v>1</v>
      </c>
      <c r="AO71" s="58" t="str">
        <f t="shared" si="70"/>
        <v>114</v>
      </c>
      <c r="AP71" s="58" t="str">
        <f t="shared" si="71"/>
        <v>164</v>
      </c>
      <c r="AQ71" s="21" t="e">
        <f t="shared" si="72"/>
        <v>#NUM!</v>
      </c>
      <c r="AR71" s="21" t="e">
        <f t="shared" si="73"/>
        <v>#NUM!</v>
      </c>
      <c r="AS71" s="136" t="e">
        <f t="shared" si="42"/>
        <v>#NUM!</v>
      </c>
      <c r="AT71" s="59" t="e">
        <f t="shared" si="74"/>
        <v>#NUM!</v>
      </c>
      <c r="AU71" s="21" t="e">
        <f t="shared" si="43"/>
        <v>#NUM!</v>
      </c>
      <c r="AV71" s="58">
        <f t="shared" si="75"/>
        <v>1500</v>
      </c>
      <c r="AW71" s="58">
        <f t="shared" si="76"/>
        <v>600</v>
      </c>
      <c r="AX71" s="60">
        <f t="shared" si="77"/>
        <v>0.11</v>
      </c>
      <c r="AY71" s="212">
        <f t="shared" si="44"/>
        <v>0</v>
      </c>
      <c r="AZ71" s="59">
        <f t="shared" si="78"/>
        <v>0</v>
      </c>
      <c r="BA71" s="21" t="e">
        <f t="shared" si="45"/>
        <v>#DIV/0!</v>
      </c>
      <c r="BB71" s="58">
        <f t="shared" si="79"/>
        <v>2900</v>
      </c>
      <c r="BC71" s="58">
        <f t="shared" si="80"/>
        <v>1160</v>
      </c>
      <c r="BD71" s="60">
        <f t="shared" si="81"/>
        <v>0.15</v>
      </c>
      <c r="BE71" s="212" t="e">
        <f t="shared" si="46"/>
        <v>#NUM!</v>
      </c>
      <c r="BF71" s="59" t="e">
        <f t="shared" si="82"/>
        <v>#NUM!</v>
      </c>
      <c r="BG71" s="21" t="e">
        <f t="shared" si="47"/>
        <v>#NUM!</v>
      </c>
      <c r="BH71" s="55">
        <f t="shared" ca="1" si="35"/>
        <v>0</v>
      </c>
    </row>
    <row r="72" spans="1:60" x14ac:dyDescent="0.2">
      <c r="A72" s="61">
        <f ca="1">RANK(W72,W$12:W$311,0)+COUNTIF(W$12:W72,W72)-1</f>
        <v>240</v>
      </c>
      <c r="B72" s="55">
        <f>'Etape 1'!A68</f>
        <v>61</v>
      </c>
      <c r="C72" s="55">
        <f>'Etape 1'!B68</f>
        <v>0</v>
      </c>
      <c r="D72" s="55">
        <f>'Etape 1'!C68</f>
        <v>0</v>
      </c>
      <c r="E72" s="55">
        <f>'Etape 1'!D68</f>
        <v>0</v>
      </c>
      <c r="F72" s="55">
        <f>'Etape 1'!E68</f>
        <v>0</v>
      </c>
      <c r="G72" s="55">
        <f>'Etape 1'!F68</f>
        <v>0</v>
      </c>
      <c r="H72" s="55">
        <f>'Etape 1'!G68</f>
        <v>0</v>
      </c>
      <c r="I72" s="209">
        <v>1</v>
      </c>
      <c r="J72" s="58">
        <f t="shared" si="48"/>
        <v>0</v>
      </c>
      <c r="K72" s="21">
        <f t="shared" si="50"/>
        <v>0</v>
      </c>
      <c r="L72" s="21">
        <f t="shared" si="51"/>
        <v>0</v>
      </c>
      <c r="M72" s="21">
        <f t="shared" ca="1" si="52"/>
        <v>3</v>
      </c>
      <c r="N72" s="21">
        <f t="shared" ca="1" si="53"/>
        <v>3</v>
      </c>
      <c r="O72" s="21">
        <f t="shared" ca="1" si="54"/>
        <v>0</v>
      </c>
      <c r="P72" s="262" t="str">
        <f>IF('Etape 1'!J68=999,"",IF('Etape 1'!J68=9999,txt_Schritt1.Angaben.fehlen,VLOOKUP(N72,Matrix_1.2.3.Test.Punkte.ID.Beurteilung,4,1)))</f>
        <v/>
      </c>
      <c r="Q72" s="21">
        <f t="shared" ca="1" si="49"/>
        <v>0</v>
      </c>
      <c r="R72" s="136">
        <f t="shared" si="37"/>
        <v>61</v>
      </c>
      <c r="S72" s="136">
        <f t="shared" ca="1" si="5"/>
        <v>162.20265780730898</v>
      </c>
      <c r="T72" s="136">
        <f t="shared" ca="1" si="38"/>
        <v>750.20265780730892</v>
      </c>
      <c r="U72" s="136">
        <f t="shared" ca="1" si="39"/>
        <v>1224000.2026578074</v>
      </c>
      <c r="V72" s="211">
        <f t="shared" ca="1" si="40"/>
        <v>235406.39470212671</v>
      </c>
      <c r="W72" s="136">
        <f t="shared" ca="1" si="6"/>
        <v>61</v>
      </c>
      <c r="X72" s="136">
        <f t="shared" ca="1" si="55"/>
        <v>162.999000999001</v>
      </c>
      <c r="Y72" s="21">
        <f t="shared" si="56"/>
        <v>1</v>
      </c>
      <c r="Z72" s="21" t="str">
        <f t="shared" si="57"/>
        <v>&lt;IE0</v>
      </c>
      <c r="AA72" s="21">
        <f t="shared" si="58"/>
        <v>1</v>
      </c>
      <c r="AB72" s="21" t="str">
        <f t="shared" si="59"/>
        <v>a - "&lt; 1990 (Eff3)"</v>
      </c>
      <c r="AC72" s="21">
        <f t="shared" si="60"/>
        <v>999999</v>
      </c>
      <c r="AD72" s="21" t="str">
        <f t="shared" si="61"/>
        <v/>
      </c>
      <c r="AE72" s="21" t="str">
        <f t="shared" si="62"/>
        <v/>
      </c>
      <c r="AF72" s="21" t="str">
        <f t="shared" si="63"/>
        <v/>
      </c>
      <c r="AG72" s="21">
        <f t="shared" si="64"/>
        <v>0</v>
      </c>
      <c r="AH72" s="21">
        <f>IF('Etape 1'!H68=St.Wert_Hacken,1,0)</f>
        <v>0</v>
      </c>
      <c r="AI72" s="21">
        <f t="shared" si="41"/>
        <v>0</v>
      </c>
      <c r="AJ72" s="21">
        <f t="shared" si="65"/>
        <v>1000999</v>
      </c>
      <c r="AK72" s="58">
        <f t="shared" si="66"/>
        <v>1100</v>
      </c>
      <c r="AL72" s="58">
        <f t="shared" si="67"/>
        <v>440</v>
      </c>
      <c r="AM72" s="21">
        <f t="shared" si="68"/>
        <v>0</v>
      </c>
      <c r="AN72" s="58">
        <f t="shared" si="69"/>
        <v>1</v>
      </c>
      <c r="AO72" s="58" t="str">
        <f t="shared" si="70"/>
        <v>114</v>
      </c>
      <c r="AP72" s="58" t="str">
        <f t="shared" si="71"/>
        <v>164</v>
      </c>
      <c r="AQ72" s="21" t="e">
        <f t="shared" si="72"/>
        <v>#NUM!</v>
      </c>
      <c r="AR72" s="21" t="e">
        <f t="shared" si="73"/>
        <v>#NUM!</v>
      </c>
      <c r="AS72" s="136" t="e">
        <f t="shared" si="42"/>
        <v>#NUM!</v>
      </c>
      <c r="AT72" s="59" t="e">
        <f t="shared" si="74"/>
        <v>#NUM!</v>
      </c>
      <c r="AU72" s="21" t="e">
        <f t="shared" si="43"/>
        <v>#NUM!</v>
      </c>
      <c r="AV72" s="58">
        <f t="shared" si="75"/>
        <v>1500</v>
      </c>
      <c r="AW72" s="58">
        <f t="shared" si="76"/>
        <v>600</v>
      </c>
      <c r="AX72" s="60">
        <f t="shared" si="77"/>
        <v>0.11</v>
      </c>
      <c r="AY72" s="212">
        <f t="shared" si="44"/>
        <v>0</v>
      </c>
      <c r="AZ72" s="59">
        <f t="shared" si="78"/>
        <v>0</v>
      </c>
      <c r="BA72" s="21" t="e">
        <f t="shared" si="45"/>
        <v>#DIV/0!</v>
      </c>
      <c r="BB72" s="58">
        <f t="shared" si="79"/>
        <v>2900</v>
      </c>
      <c r="BC72" s="58">
        <f t="shared" si="80"/>
        <v>1160</v>
      </c>
      <c r="BD72" s="60">
        <f t="shared" si="81"/>
        <v>0.15</v>
      </c>
      <c r="BE72" s="212" t="e">
        <f t="shared" si="46"/>
        <v>#NUM!</v>
      </c>
      <c r="BF72" s="59" t="e">
        <f t="shared" si="82"/>
        <v>#NUM!</v>
      </c>
      <c r="BG72" s="21" t="e">
        <f t="shared" si="47"/>
        <v>#NUM!</v>
      </c>
      <c r="BH72" s="55">
        <f t="shared" ca="1" si="35"/>
        <v>0</v>
      </c>
    </row>
    <row r="73" spans="1:60" x14ac:dyDescent="0.2">
      <c r="A73" s="61">
        <f ca="1">RANK(W73,W$12:W$311,0)+COUNTIF(W$12:W73,W73)-1</f>
        <v>239</v>
      </c>
      <c r="B73" s="55">
        <f>'Etape 1'!A69</f>
        <v>62</v>
      </c>
      <c r="C73" s="55">
        <f>'Etape 1'!B69</f>
        <v>0</v>
      </c>
      <c r="D73" s="55">
        <f>'Etape 1'!C69</f>
        <v>0</v>
      </c>
      <c r="E73" s="55">
        <f>'Etape 1'!D69</f>
        <v>0</v>
      </c>
      <c r="F73" s="55">
        <f>'Etape 1'!E69</f>
        <v>0</v>
      </c>
      <c r="G73" s="55">
        <f>'Etape 1'!F69</f>
        <v>0</v>
      </c>
      <c r="H73" s="55">
        <f>'Etape 1'!G69</f>
        <v>0</v>
      </c>
      <c r="I73" s="209">
        <v>1</v>
      </c>
      <c r="J73" s="58">
        <f t="shared" si="48"/>
        <v>0</v>
      </c>
      <c r="K73" s="21">
        <f t="shared" si="50"/>
        <v>0</v>
      </c>
      <c r="L73" s="21">
        <f t="shared" si="51"/>
        <v>0</v>
      </c>
      <c r="M73" s="21">
        <f t="shared" ca="1" si="52"/>
        <v>3</v>
      </c>
      <c r="N73" s="21">
        <f t="shared" ca="1" si="53"/>
        <v>3</v>
      </c>
      <c r="O73" s="21">
        <f t="shared" ca="1" si="54"/>
        <v>0</v>
      </c>
      <c r="P73" s="262" t="str">
        <f>IF('Etape 1'!J69=999,"",IF('Etape 1'!J69=9999,txt_Schritt1.Angaben.fehlen,VLOOKUP(N73,Matrix_1.2.3.Test.Punkte.ID.Beurteilung,4,1)))</f>
        <v/>
      </c>
      <c r="Q73" s="21">
        <f t="shared" ca="1" si="49"/>
        <v>0</v>
      </c>
      <c r="R73" s="136">
        <f t="shared" si="37"/>
        <v>62</v>
      </c>
      <c r="S73" s="136">
        <f t="shared" ca="1" si="5"/>
        <v>162.20598006644519</v>
      </c>
      <c r="T73" s="136">
        <f t="shared" ca="1" si="38"/>
        <v>750.20598006644514</v>
      </c>
      <c r="U73" s="136">
        <f t="shared" ca="1" si="39"/>
        <v>1224000.2059800664</v>
      </c>
      <c r="V73" s="211">
        <f t="shared" ca="1" si="40"/>
        <v>235406.39802438585</v>
      </c>
      <c r="W73" s="136">
        <f t="shared" ca="1" si="6"/>
        <v>62</v>
      </c>
      <c r="X73" s="136">
        <f t="shared" ca="1" si="55"/>
        <v>162.999000999001</v>
      </c>
      <c r="Y73" s="21">
        <f t="shared" si="56"/>
        <v>1</v>
      </c>
      <c r="Z73" s="21" t="str">
        <f t="shared" si="57"/>
        <v>&lt;IE0</v>
      </c>
      <c r="AA73" s="21">
        <f t="shared" si="58"/>
        <v>1</v>
      </c>
      <c r="AB73" s="21" t="str">
        <f t="shared" si="59"/>
        <v>a - "&lt; 1990 (Eff3)"</v>
      </c>
      <c r="AC73" s="21">
        <f t="shared" si="60"/>
        <v>999999</v>
      </c>
      <c r="AD73" s="21" t="str">
        <f t="shared" si="61"/>
        <v/>
      </c>
      <c r="AE73" s="21" t="str">
        <f t="shared" si="62"/>
        <v/>
      </c>
      <c r="AF73" s="21" t="str">
        <f t="shared" si="63"/>
        <v/>
      </c>
      <c r="AG73" s="21">
        <f t="shared" si="64"/>
        <v>0</v>
      </c>
      <c r="AH73" s="21">
        <f>IF('Etape 1'!H69=St.Wert_Hacken,1,0)</f>
        <v>0</v>
      </c>
      <c r="AI73" s="21">
        <f t="shared" si="41"/>
        <v>0</v>
      </c>
      <c r="AJ73" s="21">
        <f t="shared" si="65"/>
        <v>1000999</v>
      </c>
      <c r="AK73" s="58">
        <f t="shared" si="66"/>
        <v>1100</v>
      </c>
      <c r="AL73" s="58">
        <f t="shared" si="67"/>
        <v>440</v>
      </c>
      <c r="AM73" s="21">
        <f t="shared" si="68"/>
        <v>0</v>
      </c>
      <c r="AN73" s="58">
        <f t="shared" si="69"/>
        <v>1</v>
      </c>
      <c r="AO73" s="58" t="str">
        <f t="shared" si="70"/>
        <v>114</v>
      </c>
      <c r="AP73" s="58" t="str">
        <f t="shared" si="71"/>
        <v>164</v>
      </c>
      <c r="AQ73" s="21" t="e">
        <f t="shared" si="72"/>
        <v>#NUM!</v>
      </c>
      <c r="AR73" s="21" t="e">
        <f t="shared" si="73"/>
        <v>#NUM!</v>
      </c>
      <c r="AS73" s="136" t="e">
        <f t="shared" si="42"/>
        <v>#NUM!</v>
      </c>
      <c r="AT73" s="59" t="e">
        <f t="shared" si="74"/>
        <v>#NUM!</v>
      </c>
      <c r="AU73" s="21" t="e">
        <f t="shared" si="43"/>
        <v>#NUM!</v>
      </c>
      <c r="AV73" s="58">
        <f t="shared" si="75"/>
        <v>1500</v>
      </c>
      <c r="AW73" s="58">
        <f t="shared" si="76"/>
        <v>600</v>
      </c>
      <c r="AX73" s="60">
        <f t="shared" si="77"/>
        <v>0.11</v>
      </c>
      <c r="AY73" s="212">
        <f t="shared" si="44"/>
        <v>0</v>
      </c>
      <c r="AZ73" s="59">
        <f t="shared" si="78"/>
        <v>0</v>
      </c>
      <c r="BA73" s="21" t="e">
        <f t="shared" si="45"/>
        <v>#DIV/0!</v>
      </c>
      <c r="BB73" s="58">
        <f t="shared" si="79"/>
        <v>2900</v>
      </c>
      <c r="BC73" s="58">
        <f t="shared" si="80"/>
        <v>1160</v>
      </c>
      <c r="BD73" s="60">
        <f t="shared" si="81"/>
        <v>0.15</v>
      </c>
      <c r="BE73" s="212" t="e">
        <f t="shared" si="46"/>
        <v>#NUM!</v>
      </c>
      <c r="BF73" s="59" t="e">
        <f t="shared" si="82"/>
        <v>#NUM!</v>
      </c>
      <c r="BG73" s="21" t="e">
        <f t="shared" si="47"/>
        <v>#NUM!</v>
      </c>
      <c r="BH73" s="55">
        <f t="shared" ca="1" si="35"/>
        <v>0</v>
      </c>
    </row>
    <row r="74" spans="1:60" x14ac:dyDescent="0.2">
      <c r="A74" s="61">
        <f ca="1">RANK(W74,W$12:W$311,0)+COUNTIF(W$12:W74,W74)-1</f>
        <v>238</v>
      </c>
      <c r="B74" s="55">
        <f>'Etape 1'!A70</f>
        <v>63</v>
      </c>
      <c r="C74" s="55">
        <f>'Etape 1'!B70</f>
        <v>0</v>
      </c>
      <c r="D74" s="55">
        <f>'Etape 1'!C70</f>
        <v>0</v>
      </c>
      <c r="E74" s="55">
        <f>'Etape 1'!D70</f>
        <v>0</v>
      </c>
      <c r="F74" s="55">
        <f>'Etape 1'!E70</f>
        <v>0</v>
      </c>
      <c r="G74" s="55">
        <f>'Etape 1'!F70</f>
        <v>0</v>
      </c>
      <c r="H74" s="55">
        <f>'Etape 1'!G70</f>
        <v>0</v>
      </c>
      <c r="I74" s="209">
        <v>1</v>
      </c>
      <c r="J74" s="58">
        <f t="shared" si="48"/>
        <v>0</v>
      </c>
      <c r="K74" s="21">
        <f t="shared" si="50"/>
        <v>0</v>
      </c>
      <c r="L74" s="21">
        <f t="shared" si="51"/>
        <v>0</v>
      </c>
      <c r="M74" s="21">
        <f t="shared" ca="1" si="52"/>
        <v>3</v>
      </c>
      <c r="N74" s="21">
        <f t="shared" ca="1" si="53"/>
        <v>3</v>
      </c>
      <c r="O74" s="21">
        <f t="shared" ca="1" si="54"/>
        <v>0</v>
      </c>
      <c r="P74" s="262" t="str">
        <f>IF('Etape 1'!J70=999,"",IF('Etape 1'!J70=9999,txt_Schritt1.Angaben.fehlen,VLOOKUP(N74,Matrix_1.2.3.Test.Punkte.ID.Beurteilung,4,1)))</f>
        <v/>
      </c>
      <c r="Q74" s="21">
        <f t="shared" ca="1" si="49"/>
        <v>0</v>
      </c>
      <c r="R74" s="136">
        <f t="shared" si="37"/>
        <v>63</v>
      </c>
      <c r="S74" s="136">
        <f t="shared" ca="1" si="5"/>
        <v>162.2093023255814</v>
      </c>
      <c r="T74" s="136">
        <f t="shared" ca="1" si="38"/>
        <v>750.20930232558135</v>
      </c>
      <c r="U74" s="136">
        <f t="shared" ca="1" si="39"/>
        <v>1224000.2093023255</v>
      </c>
      <c r="V74" s="211">
        <f t="shared" ca="1" si="40"/>
        <v>235406.401346645</v>
      </c>
      <c r="W74" s="136">
        <f t="shared" ca="1" si="6"/>
        <v>63</v>
      </c>
      <c r="X74" s="136">
        <f t="shared" ca="1" si="55"/>
        <v>162.999000999001</v>
      </c>
      <c r="Y74" s="21">
        <f t="shared" si="56"/>
        <v>1</v>
      </c>
      <c r="Z74" s="21" t="str">
        <f t="shared" si="57"/>
        <v>&lt;IE0</v>
      </c>
      <c r="AA74" s="21">
        <f t="shared" si="58"/>
        <v>1</v>
      </c>
      <c r="AB74" s="21" t="str">
        <f t="shared" si="59"/>
        <v>a - "&lt; 1990 (Eff3)"</v>
      </c>
      <c r="AC74" s="21">
        <f t="shared" si="60"/>
        <v>999999</v>
      </c>
      <c r="AD74" s="21" t="str">
        <f t="shared" si="61"/>
        <v/>
      </c>
      <c r="AE74" s="21" t="str">
        <f t="shared" si="62"/>
        <v/>
      </c>
      <c r="AF74" s="21" t="str">
        <f t="shared" si="63"/>
        <v/>
      </c>
      <c r="AG74" s="21">
        <f t="shared" si="64"/>
        <v>0</v>
      </c>
      <c r="AH74" s="21">
        <f>IF('Etape 1'!H70=St.Wert_Hacken,1,0)</f>
        <v>0</v>
      </c>
      <c r="AI74" s="21">
        <f t="shared" si="41"/>
        <v>0</v>
      </c>
      <c r="AJ74" s="21">
        <f t="shared" si="65"/>
        <v>1000999</v>
      </c>
      <c r="AK74" s="58">
        <f t="shared" si="66"/>
        <v>1100</v>
      </c>
      <c r="AL74" s="58">
        <f t="shared" si="67"/>
        <v>440</v>
      </c>
      <c r="AM74" s="21">
        <f t="shared" si="68"/>
        <v>0</v>
      </c>
      <c r="AN74" s="58">
        <f t="shared" si="69"/>
        <v>1</v>
      </c>
      <c r="AO74" s="58" t="str">
        <f t="shared" si="70"/>
        <v>114</v>
      </c>
      <c r="AP74" s="58" t="str">
        <f t="shared" si="71"/>
        <v>164</v>
      </c>
      <c r="AQ74" s="21" t="e">
        <f t="shared" si="72"/>
        <v>#NUM!</v>
      </c>
      <c r="AR74" s="21" t="e">
        <f t="shared" si="73"/>
        <v>#NUM!</v>
      </c>
      <c r="AS74" s="136" t="e">
        <f t="shared" si="42"/>
        <v>#NUM!</v>
      </c>
      <c r="AT74" s="59" t="e">
        <f t="shared" si="74"/>
        <v>#NUM!</v>
      </c>
      <c r="AU74" s="21" t="e">
        <f t="shared" si="43"/>
        <v>#NUM!</v>
      </c>
      <c r="AV74" s="58">
        <f t="shared" si="75"/>
        <v>1500</v>
      </c>
      <c r="AW74" s="58">
        <f t="shared" si="76"/>
        <v>600</v>
      </c>
      <c r="AX74" s="60">
        <f t="shared" si="77"/>
        <v>0.11</v>
      </c>
      <c r="AY74" s="212">
        <f t="shared" si="44"/>
        <v>0</v>
      </c>
      <c r="AZ74" s="59">
        <f t="shared" si="78"/>
        <v>0</v>
      </c>
      <c r="BA74" s="21" t="e">
        <f t="shared" si="45"/>
        <v>#DIV/0!</v>
      </c>
      <c r="BB74" s="58">
        <f t="shared" si="79"/>
        <v>2900</v>
      </c>
      <c r="BC74" s="58">
        <f t="shared" si="80"/>
        <v>1160</v>
      </c>
      <c r="BD74" s="60">
        <f t="shared" si="81"/>
        <v>0.15</v>
      </c>
      <c r="BE74" s="212" t="e">
        <f t="shared" si="46"/>
        <v>#NUM!</v>
      </c>
      <c r="BF74" s="59" t="e">
        <f t="shared" si="82"/>
        <v>#NUM!</v>
      </c>
      <c r="BG74" s="21" t="e">
        <f t="shared" si="47"/>
        <v>#NUM!</v>
      </c>
      <c r="BH74" s="55">
        <f t="shared" ca="1" si="35"/>
        <v>0</v>
      </c>
    </row>
    <row r="75" spans="1:60" x14ac:dyDescent="0.2">
      <c r="A75" s="61">
        <f ca="1">RANK(W75,W$12:W$311,0)+COUNTIF(W$12:W75,W75)-1</f>
        <v>237</v>
      </c>
      <c r="B75" s="55">
        <f>'Etape 1'!A71</f>
        <v>64</v>
      </c>
      <c r="C75" s="55">
        <f>'Etape 1'!B71</f>
        <v>0</v>
      </c>
      <c r="D75" s="55">
        <f>'Etape 1'!C71</f>
        <v>0</v>
      </c>
      <c r="E75" s="55">
        <f>'Etape 1'!D71</f>
        <v>0</v>
      </c>
      <c r="F75" s="55">
        <f>'Etape 1'!E71</f>
        <v>0</v>
      </c>
      <c r="G75" s="55">
        <f>'Etape 1'!F71</f>
        <v>0</v>
      </c>
      <c r="H75" s="55">
        <f>'Etape 1'!G71</f>
        <v>0</v>
      </c>
      <c r="I75" s="209">
        <v>1</v>
      </c>
      <c r="J75" s="58">
        <f t="shared" si="48"/>
        <v>0</v>
      </c>
      <c r="K75" s="21">
        <f t="shared" si="50"/>
        <v>0</v>
      </c>
      <c r="L75" s="21">
        <f t="shared" si="51"/>
        <v>0</v>
      </c>
      <c r="M75" s="21">
        <f t="shared" ca="1" si="52"/>
        <v>3</v>
      </c>
      <c r="N75" s="21">
        <f t="shared" ca="1" si="53"/>
        <v>3</v>
      </c>
      <c r="O75" s="21">
        <f t="shared" ca="1" si="54"/>
        <v>0</v>
      </c>
      <c r="P75" s="262" t="str">
        <f>IF('Etape 1'!J71=999,"",IF('Etape 1'!J71=9999,txt_Schritt1.Angaben.fehlen,VLOOKUP(N75,Matrix_1.2.3.Test.Punkte.ID.Beurteilung,4,1)))</f>
        <v/>
      </c>
      <c r="Q75" s="21">
        <f t="shared" ca="1" si="49"/>
        <v>0</v>
      </c>
      <c r="R75" s="136">
        <f t="shared" si="37"/>
        <v>64</v>
      </c>
      <c r="S75" s="136">
        <f t="shared" ca="1" si="5"/>
        <v>162.21262458471762</v>
      </c>
      <c r="T75" s="136">
        <f t="shared" ca="1" si="38"/>
        <v>750.21262458471756</v>
      </c>
      <c r="U75" s="136">
        <f t="shared" ca="1" si="39"/>
        <v>1224000.2126245848</v>
      </c>
      <c r="V75" s="211">
        <f t="shared" ca="1" si="40"/>
        <v>235406.40466890414</v>
      </c>
      <c r="W75" s="136">
        <f t="shared" ca="1" si="6"/>
        <v>64</v>
      </c>
      <c r="X75" s="136">
        <f t="shared" ca="1" si="55"/>
        <v>162.999000999001</v>
      </c>
      <c r="Y75" s="21">
        <f t="shared" si="56"/>
        <v>1</v>
      </c>
      <c r="Z75" s="21" t="str">
        <f t="shared" si="57"/>
        <v>&lt;IE0</v>
      </c>
      <c r="AA75" s="21">
        <f t="shared" si="58"/>
        <v>1</v>
      </c>
      <c r="AB75" s="21" t="str">
        <f t="shared" si="59"/>
        <v>a - "&lt; 1990 (Eff3)"</v>
      </c>
      <c r="AC75" s="21">
        <f t="shared" si="60"/>
        <v>999999</v>
      </c>
      <c r="AD75" s="21" t="str">
        <f t="shared" si="61"/>
        <v/>
      </c>
      <c r="AE75" s="21" t="str">
        <f t="shared" si="62"/>
        <v/>
      </c>
      <c r="AF75" s="21" t="str">
        <f t="shared" si="63"/>
        <v/>
      </c>
      <c r="AG75" s="21">
        <f t="shared" si="64"/>
        <v>0</v>
      </c>
      <c r="AH75" s="21">
        <f>IF('Etape 1'!H71=St.Wert_Hacken,1,0)</f>
        <v>0</v>
      </c>
      <c r="AI75" s="21">
        <f t="shared" si="41"/>
        <v>0</v>
      </c>
      <c r="AJ75" s="21">
        <f t="shared" si="65"/>
        <v>1000999</v>
      </c>
      <c r="AK75" s="58">
        <f t="shared" si="66"/>
        <v>1100</v>
      </c>
      <c r="AL75" s="58">
        <f t="shared" si="67"/>
        <v>440</v>
      </c>
      <c r="AM75" s="21">
        <f t="shared" si="68"/>
        <v>0</v>
      </c>
      <c r="AN75" s="58">
        <f t="shared" si="69"/>
        <v>1</v>
      </c>
      <c r="AO75" s="58" t="str">
        <f t="shared" si="70"/>
        <v>114</v>
      </c>
      <c r="AP75" s="58" t="str">
        <f t="shared" si="71"/>
        <v>164</v>
      </c>
      <c r="AQ75" s="21" t="e">
        <f t="shared" si="72"/>
        <v>#NUM!</v>
      </c>
      <c r="AR75" s="21" t="e">
        <f t="shared" si="73"/>
        <v>#NUM!</v>
      </c>
      <c r="AS75" s="136" t="e">
        <f t="shared" si="42"/>
        <v>#NUM!</v>
      </c>
      <c r="AT75" s="59" t="e">
        <f t="shared" si="74"/>
        <v>#NUM!</v>
      </c>
      <c r="AU75" s="21" t="e">
        <f t="shared" si="43"/>
        <v>#NUM!</v>
      </c>
      <c r="AV75" s="58">
        <f t="shared" si="75"/>
        <v>1500</v>
      </c>
      <c r="AW75" s="58">
        <f t="shared" si="76"/>
        <v>600</v>
      </c>
      <c r="AX75" s="60">
        <f t="shared" si="77"/>
        <v>0.11</v>
      </c>
      <c r="AY75" s="212">
        <f t="shared" si="44"/>
        <v>0</v>
      </c>
      <c r="AZ75" s="59">
        <f t="shared" si="78"/>
        <v>0</v>
      </c>
      <c r="BA75" s="21" t="e">
        <f t="shared" si="45"/>
        <v>#DIV/0!</v>
      </c>
      <c r="BB75" s="58">
        <f t="shared" si="79"/>
        <v>2900</v>
      </c>
      <c r="BC75" s="58">
        <f t="shared" si="80"/>
        <v>1160</v>
      </c>
      <c r="BD75" s="60">
        <f t="shared" si="81"/>
        <v>0.15</v>
      </c>
      <c r="BE75" s="212" t="e">
        <f t="shared" si="46"/>
        <v>#NUM!</v>
      </c>
      <c r="BF75" s="59" t="e">
        <f t="shared" si="82"/>
        <v>#NUM!</v>
      </c>
      <c r="BG75" s="21" t="e">
        <f t="shared" si="47"/>
        <v>#NUM!</v>
      </c>
      <c r="BH75" s="55">
        <f t="shared" ca="1" si="35"/>
        <v>0</v>
      </c>
    </row>
    <row r="76" spans="1:60" x14ac:dyDescent="0.2">
      <c r="A76" s="61">
        <f ca="1">RANK(W76,W$12:W$311,0)+COUNTIF(W$12:W76,W76)-1</f>
        <v>236</v>
      </c>
      <c r="B76" s="55">
        <f>'Etape 1'!A72</f>
        <v>65</v>
      </c>
      <c r="C76" s="55">
        <f>'Etape 1'!B72</f>
        <v>0</v>
      </c>
      <c r="D76" s="55">
        <f>'Etape 1'!C72</f>
        <v>0</v>
      </c>
      <c r="E76" s="55">
        <f>'Etape 1'!D72</f>
        <v>0</v>
      </c>
      <c r="F76" s="55">
        <f>'Etape 1'!E72</f>
        <v>0</v>
      </c>
      <c r="G76" s="55">
        <f>'Etape 1'!F72</f>
        <v>0</v>
      </c>
      <c r="H76" s="55">
        <f>'Etape 1'!G72</f>
        <v>0</v>
      </c>
      <c r="I76" s="209">
        <v>1</v>
      </c>
      <c r="J76" s="58">
        <f t="shared" si="48"/>
        <v>0</v>
      </c>
      <c r="K76" s="21">
        <f t="shared" ref="K76:K110" si="83">VLOOKUP(F76,Matrix_1.2.3.Test.Leistung.Punkte,2,TRUE)</f>
        <v>0</v>
      </c>
      <c r="L76" s="21">
        <f t="shared" ref="L76:L110" si="84">VLOOKUP(G76,Matrix_1.2.3.Test.Betriebszeit.Punkte,2,TRUE)</f>
        <v>0</v>
      </c>
      <c r="M76" s="21">
        <f t="shared" ref="M76:M110" ca="1" si="85">IF(H76=0,3,VLOOKUP(YEAR(TODAY())-H76,Matrix_1.2.3.Test.Alter.Punkte,2,TRUE))</f>
        <v>3</v>
      </c>
      <c r="N76" s="21">
        <f t="shared" ref="N76:N107" ca="1" si="86">M76+Wert_1.2.3.Test.Faktor.A*L76*K76</f>
        <v>3</v>
      </c>
      <c r="O76" s="21">
        <f t="shared" ref="O76:O107" ca="1" si="87">VLOOKUP(N76,Matrix_1.2.3.Test.Punkte.ID.Beurteilung,3,TRUE)</f>
        <v>0</v>
      </c>
      <c r="P76" s="262" t="str">
        <f>IF('Etape 1'!J72=999,"",IF('Etape 1'!J72=9999,txt_Schritt1.Angaben.fehlen,VLOOKUP(N76,Matrix_1.2.3.Test.Punkte.ID.Beurteilung,4,1)))</f>
        <v/>
      </c>
      <c r="Q76" s="21">
        <f t="shared" ca="1" si="49"/>
        <v>0</v>
      </c>
      <c r="R76" s="136">
        <f t="shared" si="37"/>
        <v>65</v>
      </c>
      <c r="S76" s="136">
        <f t="shared" ref="S76:S139" ca="1" si="88">IF(Q76=0,3,Q76)*St.Wert_1.2.3.Test.PkteMax-N76+$B76/(MAX($B$12:$B$311)+1)</f>
        <v>162.21594684385383</v>
      </c>
      <c r="T76" s="136">
        <f t="shared" ca="1" si="38"/>
        <v>750.21594684385377</v>
      </c>
      <c r="U76" s="136">
        <f t="shared" ca="1" si="39"/>
        <v>1224000.2159468438</v>
      </c>
      <c r="V76" s="211">
        <f t="shared" ca="1" si="40"/>
        <v>235406.40799116326</v>
      </c>
      <c r="W76" s="136">
        <f t="shared" ref="W76:W139" ca="1" si="89">INDIRECT(ADDRESS(ROW(W76),Wert_Sortiervariante.SpaltenNr))</f>
        <v>65</v>
      </c>
      <c r="X76" s="136">
        <f t="shared" ref="X76:X110" ca="1" si="90">IF(Q76=0,3,Q76)*St.Wert_1.2.3.Test.PkteMax-N76+IF(AC76&gt;St.Wert_Payback.Max,St.Wert_Payback.Max,AC76)/(St.Wert_Payback.Max+1)</f>
        <v>162.999000999001</v>
      </c>
      <c r="Y76" s="21">
        <f t="shared" ref="Y76:Y107" si="91">VLOOKUP(H76,Matrix_Motor.Jahr.EffKl,2,1)</f>
        <v>1</v>
      </c>
      <c r="Z76" s="21" t="str">
        <f t="shared" ref="Z76:Z110" si="92">VLOOKUP(H76,Matrix_Motor.Jahr.EffKl,3,1)</f>
        <v>&lt;IE0</v>
      </c>
      <c r="AA76" s="21">
        <f t="shared" ref="AA76:AA110" si="93">VLOOKUP(H76,Matrix_Pumpe.Jahr.EffKl,2,1)</f>
        <v>1</v>
      </c>
      <c r="AB76" s="21" t="str">
        <f t="shared" ref="AB76:AB110" si="94">VLOOKUP(H76,Matrix_Pumpe.Jahr.EffKl,3,1)</f>
        <v>a - "&lt; 1990 (Eff3)"</v>
      </c>
      <c r="AC76" s="21">
        <f t="shared" ref="AC76:AC110" si="95">IF(ISNUMBER(MIN(AU76,BA76,BG76)),MIN(AU76,BA76,BG76),St.Wert_Platzhalter.Payback)</f>
        <v>999999</v>
      </c>
      <c r="AD76" s="21" t="str">
        <f t="shared" ref="AD76:AD107" si="96">IF(AC76=St.Wert_Platzhalter.Payback,"",VLOOKUP(AC76,Matrix_Wirtschaftlichkeit.Payback.ID.Txt,2,1))</f>
        <v/>
      </c>
      <c r="AE76" s="21" t="str">
        <f t="shared" ref="AE76:AE110" si="97">IF(AC76=St.Wert_Platzhalter.Payback,"",VLOOKUP(AC76,Matrix_Wirtschaftlichkeit.Payback.ID.Txt,3,1))</f>
        <v/>
      </c>
      <c r="AF76" s="21" t="str">
        <f t="shared" ref="AF76:AF110" si="98">IF(AC76=St.Wert_Platzhalter.Payback,"",VLOOKUP(AC76,Matrix_Wirtschaftlichkeit.Payback.ID.Txt,4,1))</f>
        <v/>
      </c>
      <c r="AG76" s="21">
        <f t="shared" ref="AG76:AG110" si="99">VLOOKUP(AC76,Matrix_Wirtschaftlichkeit.Payback.ID.Txt,6,1)</f>
        <v>0</v>
      </c>
      <c r="AH76" s="21">
        <f>IF('Etape 1'!H72=St.Wert_Hacken,1,0)</f>
        <v>0</v>
      </c>
      <c r="AI76" s="21">
        <f t="shared" si="41"/>
        <v>0</v>
      </c>
      <c r="AJ76" s="21">
        <f t="shared" ref="AJ76:AJ107" si="100">IF(AI76=1,IF(AC76&gt;St.Wert_Payback.Max,St.Wert_Payback.Max,AC76),AC76+St.Wert_Payback.Max)</f>
        <v>1000999</v>
      </c>
      <c r="AK76" s="58">
        <f t="shared" ref="AK76:AK110" si="101">Preis_Motor.a*F76+Preis_Motor.b+Preis_Motor.Planung</f>
        <v>1100</v>
      </c>
      <c r="AL76" s="58">
        <f t="shared" ref="AL76:AL107" si="102">AK76*IF(Wert_Wirtschaftlichkeit.EnergieAnteil.Ja.Nein.Schritt1,VLOOKUP(AA76,Matrix_Anlage.AlterID.Einsparpotential.und.EnergieAnteil,6,0),1)</f>
        <v>440</v>
      </c>
      <c r="AM76" s="21">
        <f t="shared" ref="AM76:AM110" si="103">IF(F76&lt;Wert_Motor.max.Leistung.fuer.Berechnung.Wirkungsgrad,F76,Wert_Motor.max.Leistung.fuer.Berechnung.Wirkungsgrad)</f>
        <v>0</v>
      </c>
      <c r="AN76" s="58">
        <f t="shared" ref="AN76:AN110" si="104">VLOOKUP(F76,Matrix_Motor.LeistungsKl.ID,2,1)</f>
        <v>1</v>
      </c>
      <c r="AO76" s="58" t="str">
        <f t="shared" ref="AO76:AO107" si="105">CONCATENATE(AN76,Y76,Wert_Motor.Pole.Anzahl.Schritt1)</f>
        <v>114</v>
      </c>
      <c r="AP76" s="58" t="str">
        <f t="shared" ref="AP76:AP110" si="106">CONCATENATE(AN76,Wert_Motor.IEID.neu.Schritt1,Wert_Motor.Pole.Anzahl.Schritt1)</f>
        <v>164</v>
      </c>
      <c r="AQ76" s="21" t="e">
        <f t="shared" ref="AQ76:AQ110" si="107">(VLOOKUP(AO76,Matrix_Motor.KombiKl.EffParameter,3,0)*(LOG(AM76))^3+VLOOKUP(AO76,Matrix_Motor.KombiKl.EffParameter,4,0)*(LOG(AM76))^2+VLOOKUP(AO76,Matrix_Motor.KombiKl.EffParameter,5,0)*(LOG(AM76))+VLOOKUP(AO76,Matrix_Motor.KombiKl.EffParameter,6,0))/100</f>
        <v>#NUM!</v>
      </c>
      <c r="AR76" s="21" t="e">
        <f t="shared" ref="AR76:AR110" si="108">(VLOOKUP(AP76,Matrix_Motor.KombiKl.EffParameter,3,0)*(LOG(AM76))^3+VLOOKUP(AP76,Matrix_Motor.KombiKl.EffParameter,4,0)*(LOG(AM76))^2+VLOOKUP(AP76,Matrix_Motor.KombiKl.EffParameter,5,0)*(LOG(AM76))+VLOOKUP(AP76,Matrix_Motor.KombiKl.EffParameter,6,0))/100</f>
        <v>#NUM!</v>
      </c>
      <c r="AS76" s="136" t="e">
        <f t="shared" si="42"/>
        <v>#NUM!</v>
      </c>
      <c r="AT76" s="59" t="e">
        <f t="shared" ref="AT76:AT107" si="109">AS76*Preis_Strom.Schritt1/100</f>
        <v>#NUM!</v>
      </c>
      <c r="AU76" s="21" t="e">
        <f t="shared" si="43"/>
        <v>#NUM!</v>
      </c>
      <c r="AV76" s="58">
        <f t="shared" ref="AV76:AV110" si="110">Preis_FU.a*F76+Preis_FU.b+Preis_FU.Planung</f>
        <v>1500</v>
      </c>
      <c r="AW76" s="58">
        <f t="shared" ref="AW76:AW107" si="111">AV76*IF(Wert_Wirtschaftlichkeit.EnergieAnteil.Ja.Nein.Schritt1,VLOOKUP(AA76,Matrix_Anlage.AlterID.Einsparpotential.und.EnergieAnteil,6,0),1)</f>
        <v>600</v>
      </c>
      <c r="AX76" s="60">
        <f t="shared" ref="AX76:AX110" si="112">VLOOKUP(AA76,Matrix_Anlage.AlterID.Einsparpotential.und.EnergieAnteil,4,0)</f>
        <v>0.11</v>
      </c>
      <c r="AY76" s="212">
        <f t="shared" si="44"/>
        <v>0</v>
      </c>
      <c r="AZ76" s="59">
        <f t="shared" ref="AZ76:AZ107" si="113">AY76*Preis_Strom.Schritt1/100</f>
        <v>0</v>
      </c>
      <c r="BA76" s="21" t="e">
        <f t="shared" si="45"/>
        <v>#DIV/0!</v>
      </c>
      <c r="BB76" s="58">
        <f t="shared" ref="BB76:BB110" si="114">Preis_Redim.a*F76+Preis_Redim.b+Preis_Redim.Planung</f>
        <v>2900</v>
      </c>
      <c r="BC76" s="58">
        <f t="shared" ref="BC76:BC107" si="115">BB76*IF(Wert_Wirtschaftlichkeit.EnergieAnteil.Ja.Nein.Schritt1,VLOOKUP(AA76,Matrix_Anlage.AlterID.Einsparpotential.und.EnergieAnteil,6,0),1)</f>
        <v>1160</v>
      </c>
      <c r="BD76" s="60">
        <f t="shared" ref="BD76:BD110" si="116">VLOOKUP(AA76,Matrix_Anlage.AlterID.Einsparpotential.und.EnergieAnteil,5,0)</f>
        <v>0.15</v>
      </c>
      <c r="BE76" s="212" t="e">
        <f t="shared" si="46"/>
        <v>#NUM!</v>
      </c>
      <c r="BF76" s="59" t="e">
        <f t="shared" ref="BF76:BF107" si="117">BE76*Preis_Strom.Schritt1/100</f>
        <v>#NUM!</v>
      </c>
      <c r="BG76" s="21" t="e">
        <f t="shared" si="47"/>
        <v>#NUM!</v>
      </c>
      <c r="BH76" s="55">
        <f t="shared" ref="BH76:BH139" ca="1" si="118">IF(ISERROR(VLOOKUP(A76,Matrix_Berechnungen2.Rang1.Rang2.Pumpendaten.Endresultate,BH$8,FALSE)),0,VLOOKUP(A76,Matrix_Berechnungen2.Rang1.Rang2.Pumpendaten.Endresultate,BH$8,FALSE))</f>
        <v>0</v>
      </c>
    </row>
    <row r="77" spans="1:60" x14ac:dyDescent="0.2">
      <c r="A77" s="61">
        <f ca="1">RANK(W77,W$12:W$311,0)+COUNTIF(W$12:W77,W77)-1</f>
        <v>235</v>
      </c>
      <c r="B77" s="55">
        <f>'Etape 1'!A73</f>
        <v>66</v>
      </c>
      <c r="C77" s="55">
        <f>'Etape 1'!B73</f>
        <v>0</v>
      </c>
      <c r="D77" s="55">
        <f>'Etape 1'!C73</f>
        <v>0</v>
      </c>
      <c r="E77" s="55">
        <f>'Etape 1'!D73</f>
        <v>0</v>
      </c>
      <c r="F77" s="55">
        <f>'Etape 1'!E73</f>
        <v>0</v>
      </c>
      <c r="G77" s="55">
        <f>'Etape 1'!F73</f>
        <v>0</v>
      </c>
      <c r="H77" s="55">
        <f>'Etape 1'!G73</f>
        <v>0</v>
      </c>
      <c r="I77" s="209">
        <v>1</v>
      </c>
      <c r="J77" s="58">
        <f t="shared" si="48"/>
        <v>0</v>
      </c>
      <c r="K77" s="21">
        <f t="shared" si="83"/>
        <v>0</v>
      </c>
      <c r="L77" s="21">
        <f t="shared" si="84"/>
        <v>0</v>
      </c>
      <c r="M77" s="21">
        <f t="shared" ca="1" si="85"/>
        <v>3</v>
      </c>
      <c r="N77" s="21">
        <f t="shared" ca="1" si="86"/>
        <v>3</v>
      </c>
      <c r="O77" s="21">
        <f t="shared" ca="1" si="87"/>
        <v>0</v>
      </c>
      <c r="P77" s="262" t="str">
        <f>IF('Etape 1'!J73=999,"",IF('Etape 1'!J73=9999,txt_Schritt1.Angaben.fehlen,VLOOKUP(N77,Matrix_1.2.3.Test.Punkte.ID.Beurteilung,4,1)))</f>
        <v/>
      </c>
      <c r="Q77" s="21">
        <f t="shared" ca="1" si="49"/>
        <v>0</v>
      </c>
      <c r="R77" s="136">
        <f t="shared" ref="R77:R140" si="119">$B77</f>
        <v>66</v>
      </c>
      <c r="S77" s="136">
        <f t="shared" ca="1" si="88"/>
        <v>162.21926910299004</v>
      </c>
      <c r="T77" s="136">
        <f t="shared" ref="T77:T140" ca="1" si="120">IF(Q77=0,3,Q77)*MAX($F$12:$F$311)-F77+$B77/(MAX($B$12:$B$311)+1)</f>
        <v>750.21926910298998</v>
      </c>
      <c r="U77" s="136">
        <f t="shared" ref="U77:U140" ca="1" si="121">IF(Q77=0,3,Q77)*MAX($J$12:$J$311)-J77+$B77/(MAX($B$12:$B$311)+1)</f>
        <v>1224000.2192691029</v>
      </c>
      <c r="V77" s="211">
        <f t="shared" ref="V77:V140" ca="1" si="122">IF(Q77=0,3,Q77)*MAX($BH$12:$BH$311)-BH77+$B77/(MAX($B$12:$B$311)+1)</f>
        <v>235406.4113134224</v>
      </c>
      <c r="W77" s="136">
        <f t="shared" ca="1" si="89"/>
        <v>66</v>
      </c>
      <c r="X77" s="136">
        <f t="shared" ca="1" si="90"/>
        <v>162.999000999001</v>
      </c>
      <c r="Y77" s="21">
        <f t="shared" si="91"/>
        <v>1</v>
      </c>
      <c r="Z77" s="21" t="str">
        <f t="shared" si="92"/>
        <v>&lt;IE0</v>
      </c>
      <c r="AA77" s="21">
        <f t="shared" si="93"/>
        <v>1</v>
      </c>
      <c r="AB77" s="21" t="str">
        <f t="shared" si="94"/>
        <v>a - "&lt; 1990 (Eff3)"</v>
      </c>
      <c r="AC77" s="21">
        <f t="shared" si="95"/>
        <v>999999</v>
      </c>
      <c r="AD77" s="21" t="str">
        <f t="shared" si="96"/>
        <v/>
      </c>
      <c r="AE77" s="21" t="str">
        <f t="shared" si="97"/>
        <v/>
      </c>
      <c r="AF77" s="21" t="str">
        <f t="shared" si="98"/>
        <v/>
      </c>
      <c r="AG77" s="21">
        <f t="shared" si="99"/>
        <v>0</v>
      </c>
      <c r="AH77" s="21">
        <f>IF('Etape 1'!H73=St.Wert_Hacken,1,0)</f>
        <v>0</v>
      </c>
      <c r="AI77" s="21">
        <f t="shared" ref="AI77:AI110" si="123">IF(AH77=1,1,AG77)</f>
        <v>0</v>
      </c>
      <c r="AJ77" s="21">
        <f t="shared" si="100"/>
        <v>1000999</v>
      </c>
      <c r="AK77" s="58">
        <f t="shared" si="101"/>
        <v>1100</v>
      </c>
      <c r="AL77" s="58">
        <f t="shared" si="102"/>
        <v>440</v>
      </c>
      <c r="AM77" s="21">
        <f t="shared" si="103"/>
        <v>0</v>
      </c>
      <c r="AN77" s="58">
        <f t="shared" si="104"/>
        <v>1</v>
      </c>
      <c r="AO77" s="58" t="str">
        <f t="shared" si="105"/>
        <v>114</v>
      </c>
      <c r="AP77" s="58" t="str">
        <f t="shared" si="106"/>
        <v>164</v>
      </c>
      <c r="AQ77" s="21" t="e">
        <f t="shared" si="107"/>
        <v>#NUM!</v>
      </c>
      <c r="AR77" s="21" t="e">
        <f t="shared" si="108"/>
        <v>#NUM!</v>
      </c>
      <c r="AS77" s="136" t="e">
        <f t="shared" ref="AS77:AS140" si="124">J77*(1-AQ77/AR77)</f>
        <v>#NUM!</v>
      </c>
      <c r="AT77" s="59" t="e">
        <f t="shared" si="109"/>
        <v>#NUM!</v>
      </c>
      <c r="AU77" s="21" t="e">
        <f t="shared" ref="AU77:AU110" si="125">AL77/AT77</f>
        <v>#NUM!</v>
      </c>
      <c r="AV77" s="58">
        <f t="shared" si="110"/>
        <v>1500</v>
      </c>
      <c r="AW77" s="58">
        <f t="shared" si="111"/>
        <v>600</v>
      </c>
      <c r="AX77" s="60">
        <f t="shared" si="112"/>
        <v>0.11</v>
      </c>
      <c r="AY77" s="212">
        <f t="shared" ref="AY77:AY140" si="126">J77*AX77</f>
        <v>0</v>
      </c>
      <c r="AZ77" s="59">
        <f t="shared" si="113"/>
        <v>0</v>
      </c>
      <c r="BA77" s="21" t="e">
        <f t="shared" ref="BA77:BA110" si="127">AW77/AZ77</f>
        <v>#DIV/0!</v>
      </c>
      <c r="BB77" s="58">
        <f t="shared" si="114"/>
        <v>2900</v>
      </c>
      <c r="BC77" s="58">
        <f t="shared" si="115"/>
        <v>1160</v>
      </c>
      <c r="BD77" s="60">
        <f t="shared" si="116"/>
        <v>0.15</v>
      </c>
      <c r="BE77" s="212" t="e">
        <f t="shared" ref="BE77:BE140" si="128">J77*(1-AQ77/AR77*(1-AX77)*(1-BD77))</f>
        <v>#NUM!</v>
      </c>
      <c r="BF77" s="59" t="e">
        <f t="shared" si="117"/>
        <v>#NUM!</v>
      </c>
      <c r="BG77" s="21" t="e">
        <f t="shared" ref="BG77:BG110" si="129">BC77/BF77</f>
        <v>#NUM!</v>
      </c>
      <c r="BH77" s="55">
        <f t="shared" ca="1" si="118"/>
        <v>0</v>
      </c>
    </row>
    <row r="78" spans="1:60" x14ac:dyDescent="0.2">
      <c r="A78" s="61">
        <f ca="1">RANK(W78,W$12:W$311,0)+COUNTIF(W$12:W78,W78)-1</f>
        <v>234</v>
      </c>
      <c r="B78" s="55">
        <f>'Etape 1'!A74</f>
        <v>67</v>
      </c>
      <c r="C78" s="55">
        <f>'Etape 1'!B74</f>
        <v>0</v>
      </c>
      <c r="D78" s="55">
        <f>'Etape 1'!C74</f>
        <v>0</v>
      </c>
      <c r="E78" s="55">
        <f>'Etape 1'!D74</f>
        <v>0</v>
      </c>
      <c r="F78" s="55">
        <f>'Etape 1'!E74</f>
        <v>0</v>
      </c>
      <c r="G78" s="55">
        <f>'Etape 1'!F74</f>
        <v>0</v>
      </c>
      <c r="H78" s="55">
        <f>'Etape 1'!G74</f>
        <v>0</v>
      </c>
      <c r="I78" s="209">
        <v>1</v>
      </c>
      <c r="J78" s="58">
        <f t="shared" ref="J78:J141" si="130">F78*G78*I78</f>
        <v>0</v>
      </c>
      <c r="K78" s="21">
        <f t="shared" si="83"/>
        <v>0</v>
      </c>
      <c r="L78" s="21">
        <f t="shared" si="84"/>
        <v>0</v>
      </c>
      <c r="M78" s="21">
        <f t="shared" ca="1" si="85"/>
        <v>3</v>
      </c>
      <c r="N78" s="21">
        <f t="shared" ca="1" si="86"/>
        <v>3</v>
      </c>
      <c r="O78" s="21">
        <f t="shared" ca="1" si="87"/>
        <v>0</v>
      </c>
      <c r="P78" s="262" t="str">
        <f>IF('Etape 1'!J74=999,"",IF('Etape 1'!J74=9999,txt_Schritt1.Angaben.fehlen,VLOOKUP(N78,Matrix_1.2.3.Test.Punkte.ID.Beurteilung,4,1)))</f>
        <v/>
      </c>
      <c r="Q78" s="21">
        <f t="shared" ca="1" si="49"/>
        <v>0</v>
      </c>
      <c r="R78" s="136">
        <f t="shared" si="119"/>
        <v>67</v>
      </c>
      <c r="S78" s="136">
        <f t="shared" ca="1" si="88"/>
        <v>162.22259136212625</v>
      </c>
      <c r="T78" s="136">
        <f t="shared" ca="1" si="120"/>
        <v>750.2225913621262</v>
      </c>
      <c r="U78" s="136">
        <f t="shared" ca="1" si="121"/>
        <v>1224000.2225913622</v>
      </c>
      <c r="V78" s="211">
        <f t="shared" ca="1" si="122"/>
        <v>235406.41463568155</v>
      </c>
      <c r="W78" s="136">
        <f t="shared" ca="1" si="89"/>
        <v>67</v>
      </c>
      <c r="X78" s="136">
        <f t="shared" ca="1" si="90"/>
        <v>162.999000999001</v>
      </c>
      <c r="Y78" s="21">
        <f t="shared" si="91"/>
        <v>1</v>
      </c>
      <c r="Z78" s="21" t="str">
        <f t="shared" si="92"/>
        <v>&lt;IE0</v>
      </c>
      <c r="AA78" s="21">
        <f t="shared" si="93"/>
        <v>1</v>
      </c>
      <c r="AB78" s="21" t="str">
        <f t="shared" si="94"/>
        <v>a - "&lt; 1990 (Eff3)"</v>
      </c>
      <c r="AC78" s="21">
        <f t="shared" si="95"/>
        <v>999999</v>
      </c>
      <c r="AD78" s="21" t="str">
        <f t="shared" si="96"/>
        <v/>
      </c>
      <c r="AE78" s="21" t="str">
        <f t="shared" si="97"/>
        <v/>
      </c>
      <c r="AF78" s="21" t="str">
        <f t="shared" si="98"/>
        <v/>
      </c>
      <c r="AG78" s="21">
        <f t="shared" si="99"/>
        <v>0</v>
      </c>
      <c r="AH78" s="21">
        <f>IF('Etape 1'!H74=St.Wert_Hacken,1,0)</f>
        <v>0</v>
      </c>
      <c r="AI78" s="21">
        <f t="shared" si="123"/>
        <v>0</v>
      </c>
      <c r="AJ78" s="21">
        <f t="shared" si="100"/>
        <v>1000999</v>
      </c>
      <c r="AK78" s="58">
        <f t="shared" si="101"/>
        <v>1100</v>
      </c>
      <c r="AL78" s="58">
        <f t="shared" si="102"/>
        <v>440</v>
      </c>
      <c r="AM78" s="21">
        <f t="shared" si="103"/>
        <v>0</v>
      </c>
      <c r="AN78" s="58">
        <f t="shared" si="104"/>
        <v>1</v>
      </c>
      <c r="AO78" s="58" t="str">
        <f t="shared" si="105"/>
        <v>114</v>
      </c>
      <c r="AP78" s="58" t="str">
        <f t="shared" si="106"/>
        <v>164</v>
      </c>
      <c r="AQ78" s="21" t="e">
        <f t="shared" si="107"/>
        <v>#NUM!</v>
      </c>
      <c r="AR78" s="21" t="e">
        <f t="shared" si="108"/>
        <v>#NUM!</v>
      </c>
      <c r="AS78" s="136" t="e">
        <f t="shared" si="124"/>
        <v>#NUM!</v>
      </c>
      <c r="AT78" s="59" t="e">
        <f t="shared" si="109"/>
        <v>#NUM!</v>
      </c>
      <c r="AU78" s="21" t="e">
        <f t="shared" si="125"/>
        <v>#NUM!</v>
      </c>
      <c r="AV78" s="58">
        <f t="shared" si="110"/>
        <v>1500</v>
      </c>
      <c r="AW78" s="58">
        <f t="shared" si="111"/>
        <v>600</v>
      </c>
      <c r="AX78" s="60">
        <f t="shared" si="112"/>
        <v>0.11</v>
      </c>
      <c r="AY78" s="212">
        <f t="shared" si="126"/>
        <v>0</v>
      </c>
      <c r="AZ78" s="59">
        <f t="shared" si="113"/>
        <v>0</v>
      </c>
      <c r="BA78" s="21" t="e">
        <f t="shared" si="127"/>
        <v>#DIV/0!</v>
      </c>
      <c r="BB78" s="58">
        <f t="shared" si="114"/>
        <v>2900</v>
      </c>
      <c r="BC78" s="58">
        <f t="shared" si="115"/>
        <v>1160</v>
      </c>
      <c r="BD78" s="60">
        <f t="shared" si="116"/>
        <v>0.15</v>
      </c>
      <c r="BE78" s="212" t="e">
        <f t="shared" si="128"/>
        <v>#NUM!</v>
      </c>
      <c r="BF78" s="59" t="e">
        <f t="shared" si="117"/>
        <v>#NUM!</v>
      </c>
      <c r="BG78" s="21" t="e">
        <f t="shared" si="129"/>
        <v>#NUM!</v>
      </c>
      <c r="BH78" s="55">
        <f t="shared" ca="1" si="118"/>
        <v>0</v>
      </c>
    </row>
    <row r="79" spans="1:60" x14ac:dyDescent="0.2">
      <c r="A79" s="61">
        <f ca="1">RANK(W79,W$12:W$311,0)+COUNTIF(W$12:W79,W79)-1</f>
        <v>233</v>
      </c>
      <c r="B79" s="55">
        <f>'Etape 1'!A75</f>
        <v>68</v>
      </c>
      <c r="C79" s="55">
        <f>'Etape 1'!B75</f>
        <v>0</v>
      </c>
      <c r="D79" s="55">
        <f>'Etape 1'!C75</f>
        <v>0</v>
      </c>
      <c r="E79" s="55">
        <f>'Etape 1'!D75</f>
        <v>0</v>
      </c>
      <c r="F79" s="55">
        <f>'Etape 1'!E75</f>
        <v>0</v>
      </c>
      <c r="G79" s="55">
        <f>'Etape 1'!F75</f>
        <v>0</v>
      </c>
      <c r="H79" s="55">
        <f>'Etape 1'!G75</f>
        <v>0</v>
      </c>
      <c r="I79" s="209">
        <v>1</v>
      </c>
      <c r="J79" s="58">
        <f t="shared" si="130"/>
        <v>0</v>
      </c>
      <c r="K79" s="21">
        <f t="shared" si="83"/>
        <v>0</v>
      </c>
      <c r="L79" s="21">
        <f t="shared" si="84"/>
        <v>0</v>
      </c>
      <c r="M79" s="21">
        <f t="shared" ca="1" si="85"/>
        <v>3</v>
      </c>
      <c r="N79" s="21">
        <f t="shared" ca="1" si="86"/>
        <v>3</v>
      </c>
      <c r="O79" s="21">
        <f t="shared" ca="1" si="87"/>
        <v>0</v>
      </c>
      <c r="P79" s="262" t="str">
        <f>IF('Etape 1'!J75=999,"",IF('Etape 1'!J75=9999,txt_Schritt1.Angaben.fehlen,VLOOKUP(N79,Matrix_1.2.3.Test.Punkte.ID.Beurteilung,4,1)))</f>
        <v/>
      </c>
      <c r="Q79" s="21">
        <f t="shared" ref="Q79:Q110" ca="1" si="131">IF(AH79=1,1,O79)</f>
        <v>0</v>
      </c>
      <c r="R79" s="136">
        <f t="shared" si="119"/>
        <v>68</v>
      </c>
      <c r="S79" s="136">
        <f t="shared" ca="1" si="88"/>
        <v>162.22591362126246</v>
      </c>
      <c r="T79" s="136">
        <f t="shared" ca="1" si="120"/>
        <v>750.22591362126241</v>
      </c>
      <c r="U79" s="136">
        <f t="shared" ca="1" si="121"/>
        <v>1224000.2259136213</v>
      </c>
      <c r="V79" s="211">
        <f t="shared" ca="1" si="122"/>
        <v>235406.41795794066</v>
      </c>
      <c r="W79" s="136">
        <f t="shared" ca="1" si="89"/>
        <v>68</v>
      </c>
      <c r="X79" s="136">
        <f t="shared" ca="1" si="90"/>
        <v>162.999000999001</v>
      </c>
      <c r="Y79" s="21">
        <f t="shared" si="91"/>
        <v>1</v>
      </c>
      <c r="Z79" s="21" t="str">
        <f t="shared" si="92"/>
        <v>&lt;IE0</v>
      </c>
      <c r="AA79" s="21">
        <f t="shared" si="93"/>
        <v>1</v>
      </c>
      <c r="AB79" s="21" t="str">
        <f t="shared" si="94"/>
        <v>a - "&lt; 1990 (Eff3)"</v>
      </c>
      <c r="AC79" s="21">
        <f t="shared" si="95"/>
        <v>999999</v>
      </c>
      <c r="AD79" s="21" t="str">
        <f t="shared" si="96"/>
        <v/>
      </c>
      <c r="AE79" s="21" t="str">
        <f t="shared" si="97"/>
        <v/>
      </c>
      <c r="AF79" s="21" t="str">
        <f t="shared" si="98"/>
        <v/>
      </c>
      <c r="AG79" s="21">
        <f t="shared" si="99"/>
        <v>0</v>
      </c>
      <c r="AH79" s="21">
        <f>IF('Etape 1'!H75=St.Wert_Hacken,1,0)</f>
        <v>0</v>
      </c>
      <c r="AI79" s="21">
        <f t="shared" si="123"/>
        <v>0</v>
      </c>
      <c r="AJ79" s="21">
        <f t="shared" si="100"/>
        <v>1000999</v>
      </c>
      <c r="AK79" s="58">
        <f t="shared" si="101"/>
        <v>1100</v>
      </c>
      <c r="AL79" s="58">
        <f t="shared" si="102"/>
        <v>440</v>
      </c>
      <c r="AM79" s="21">
        <f t="shared" si="103"/>
        <v>0</v>
      </c>
      <c r="AN79" s="58">
        <f t="shared" si="104"/>
        <v>1</v>
      </c>
      <c r="AO79" s="58" t="str">
        <f t="shared" si="105"/>
        <v>114</v>
      </c>
      <c r="AP79" s="58" t="str">
        <f t="shared" si="106"/>
        <v>164</v>
      </c>
      <c r="AQ79" s="21" t="e">
        <f t="shared" si="107"/>
        <v>#NUM!</v>
      </c>
      <c r="AR79" s="21" t="e">
        <f t="shared" si="108"/>
        <v>#NUM!</v>
      </c>
      <c r="AS79" s="136" t="e">
        <f t="shared" si="124"/>
        <v>#NUM!</v>
      </c>
      <c r="AT79" s="59" t="e">
        <f t="shared" si="109"/>
        <v>#NUM!</v>
      </c>
      <c r="AU79" s="21" t="e">
        <f t="shared" si="125"/>
        <v>#NUM!</v>
      </c>
      <c r="AV79" s="58">
        <f t="shared" si="110"/>
        <v>1500</v>
      </c>
      <c r="AW79" s="58">
        <f t="shared" si="111"/>
        <v>600</v>
      </c>
      <c r="AX79" s="60">
        <f t="shared" si="112"/>
        <v>0.11</v>
      </c>
      <c r="AY79" s="212">
        <f t="shared" si="126"/>
        <v>0</v>
      </c>
      <c r="AZ79" s="59">
        <f t="shared" si="113"/>
        <v>0</v>
      </c>
      <c r="BA79" s="21" t="e">
        <f t="shared" si="127"/>
        <v>#DIV/0!</v>
      </c>
      <c r="BB79" s="58">
        <f t="shared" si="114"/>
        <v>2900</v>
      </c>
      <c r="BC79" s="58">
        <f t="shared" si="115"/>
        <v>1160</v>
      </c>
      <c r="BD79" s="60">
        <f t="shared" si="116"/>
        <v>0.15</v>
      </c>
      <c r="BE79" s="212" t="e">
        <f t="shared" si="128"/>
        <v>#NUM!</v>
      </c>
      <c r="BF79" s="59" t="e">
        <f t="shared" si="117"/>
        <v>#NUM!</v>
      </c>
      <c r="BG79" s="21" t="e">
        <f t="shared" si="129"/>
        <v>#NUM!</v>
      </c>
      <c r="BH79" s="55">
        <f t="shared" ca="1" si="118"/>
        <v>0</v>
      </c>
    </row>
    <row r="80" spans="1:60" x14ac:dyDescent="0.2">
      <c r="A80" s="61">
        <f ca="1">RANK(W80,W$12:W$311,0)+COUNTIF(W$12:W80,W80)-1</f>
        <v>232</v>
      </c>
      <c r="B80" s="55">
        <f>'Etape 1'!A76</f>
        <v>69</v>
      </c>
      <c r="C80" s="55">
        <f>'Etape 1'!B76</f>
        <v>0</v>
      </c>
      <c r="D80" s="55">
        <f>'Etape 1'!C76</f>
        <v>0</v>
      </c>
      <c r="E80" s="55">
        <f>'Etape 1'!D76</f>
        <v>0</v>
      </c>
      <c r="F80" s="55">
        <f>'Etape 1'!E76</f>
        <v>0</v>
      </c>
      <c r="G80" s="55">
        <f>'Etape 1'!F76</f>
        <v>0</v>
      </c>
      <c r="H80" s="55">
        <f>'Etape 1'!G76</f>
        <v>0</v>
      </c>
      <c r="I80" s="209">
        <v>1</v>
      </c>
      <c r="J80" s="58">
        <f t="shared" si="130"/>
        <v>0</v>
      </c>
      <c r="K80" s="21">
        <f t="shared" si="83"/>
        <v>0</v>
      </c>
      <c r="L80" s="21">
        <f t="shared" si="84"/>
        <v>0</v>
      </c>
      <c r="M80" s="21">
        <f t="shared" ca="1" si="85"/>
        <v>3</v>
      </c>
      <c r="N80" s="21">
        <f t="shared" ca="1" si="86"/>
        <v>3</v>
      </c>
      <c r="O80" s="21">
        <f t="shared" ca="1" si="87"/>
        <v>0</v>
      </c>
      <c r="P80" s="262" t="str">
        <f>IF('Etape 1'!J76=999,"",IF('Etape 1'!J76=9999,txt_Schritt1.Angaben.fehlen,VLOOKUP(N80,Matrix_1.2.3.Test.Punkte.ID.Beurteilung,4,1)))</f>
        <v/>
      </c>
      <c r="Q80" s="21">
        <f t="shared" ca="1" si="131"/>
        <v>0</v>
      </c>
      <c r="R80" s="136">
        <f t="shared" si="119"/>
        <v>69</v>
      </c>
      <c r="S80" s="136">
        <f t="shared" ca="1" si="88"/>
        <v>162.22923588039868</v>
      </c>
      <c r="T80" s="136">
        <f t="shared" ca="1" si="120"/>
        <v>750.22923588039862</v>
      </c>
      <c r="U80" s="136">
        <f t="shared" ca="1" si="121"/>
        <v>1224000.2292358803</v>
      </c>
      <c r="V80" s="211">
        <f t="shared" ca="1" si="122"/>
        <v>235406.42128019981</v>
      </c>
      <c r="W80" s="136">
        <f t="shared" ca="1" si="89"/>
        <v>69</v>
      </c>
      <c r="X80" s="136">
        <f t="shared" ca="1" si="90"/>
        <v>162.999000999001</v>
      </c>
      <c r="Y80" s="21">
        <f t="shared" si="91"/>
        <v>1</v>
      </c>
      <c r="Z80" s="21" t="str">
        <f t="shared" si="92"/>
        <v>&lt;IE0</v>
      </c>
      <c r="AA80" s="21">
        <f t="shared" si="93"/>
        <v>1</v>
      </c>
      <c r="AB80" s="21" t="str">
        <f t="shared" si="94"/>
        <v>a - "&lt; 1990 (Eff3)"</v>
      </c>
      <c r="AC80" s="21">
        <f t="shared" si="95"/>
        <v>999999</v>
      </c>
      <c r="AD80" s="21" t="str">
        <f t="shared" si="96"/>
        <v/>
      </c>
      <c r="AE80" s="21" t="str">
        <f t="shared" si="97"/>
        <v/>
      </c>
      <c r="AF80" s="21" t="str">
        <f t="shared" si="98"/>
        <v/>
      </c>
      <c r="AG80" s="21">
        <f t="shared" si="99"/>
        <v>0</v>
      </c>
      <c r="AH80" s="21">
        <f>IF('Etape 1'!H76=St.Wert_Hacken,1,0)</f>
        <v>0</v>
      </c>
      <c r="AI80" s="21">
        <f t="shared" si="123"/>
        <v>0</v>
      </c>
      <c r="AJ80" s="21">
        <f t="shared" si="100"/>
        <v>1000999</v>
      </c>
      <c r="AK80" s="58">
        <f t="shared" si="101"/>
        <v>1100</v>
      </c>
      <c r="AL80" s="58">
        <f t="shared" si="102"/>
        <v>440</v>
      </c>
      <c r="AM80" s="21">
        <f t="shared" si="103"/>
        <v>0</v>
      </c>
      <c r="AN80" s="58">
        <f t="shared" si="104"/>
        <v>1</v>
      </c>
      <c r="AO80" s="58" t="str">
        <f t="shared" si="105"/>
        <v>114</v>
      </c>
      <c r="AP80" s="58" t="str">
        <f t="shared" si="106"/>
        <v>164</v>
      </c>
      <c r="AQ80" s="21" t="e">
        <f t="shared" si="107"/>
        <v>#NUM!</v>
      </c>
      <c r="AR80" s="21" t="e">
        <f t="shared" si="108"/>
        <v>#NUM!</v>
      </c>
      <c r="AS80" s="136" t="e">
        <f t="shared" si="124"/>
        <v>#NUM!</v>
      </c>
      <c r="AT80" s="59" t="e">
        <f t="shared" si="109"/>
        <v>#NUM!</v>
      </c>
      <c r="AU80" s="21" t="e">
        <f t="shared" si="125"/>
        <v>#NUM!</v>
      </c>
      <c r="AV80" s="58">
        <f t="shared" si="110"/>
        <v>1500</v>
      </c>
      <c r="AW80" s="58">
        <f t="shared" si="111"/>
        <v>600</v>
      </c>
      <c r="AX80" s="60">
        <f t="shared" si="112"/>
        <v>0.11</v>
      </c>
      <c r="AY80" s="212">
        <f t="shared" si="126"/>
        <v>0</v>
      </c>
      <c r="AZ80" s="59">
        <f t="shared" si="113"/>
        <v>0</v>
      </c>
      <c r="BA80" s="21" t="e">
        <f t="shared" si="127"/>
        <v>#DIV/0!</v>
      </c>
      <c r="BB80" s="58">
        <f t="shared" si="114"/>
        <v>2900</v>
      </c>
      <c r="BC80" s="58">
        <f t="shared" si="115"/>
        <v>1160</v>
      </c>
      <c r="BD80" s="60">
        <f t="shared" si="116"/>
        <v>0.15</v>
      </c>
      <c r="BE80" s="212" t="e">
        <f t="shared" si="128"/>
        <v>#NUM!</v>
      </c>
      <c r="BF80" s="59" t="e">
        <f t="shared" si="117"/>
        <v>#NUM!</v>
      </c>
      <c r="BG80" s="21" t="e">
        <f t="shared" si="129"/>
        <v>#NUM!</v>
      </c>
      <c r="BH80" s="55">
        <f t="shared" ca="1" si="118"/>
        <v>0</v>
      </c>
    </row>
    <row r="81" spans="1:60" x14ac:dyDescent="0.2">
      <c r="A81" s="61">
        <f ca="1">RANK(W81,W$12:W$311,0)+COUNTIF(W$12:W81,W81)-1</f>
        <v>231</v>
      </c>
      <c r="B81" s="55">
        <f>'Etape 1'!A77</f>
        <v>70</v>
      </c>
      <c r="C81" s="55">
        <f>'Etape 1'!B77</f>
        <v>0</v>
      </c>
      <c r="D81" s="55">
        <f>'Etape 1'!C77</f>
        <v>0</v>
      </c>
      <c r="E81" s="55">
        <f>'Etape 1'!D77</f>
        <v>0</v>
      </c>
      <c r="F81" s="55">
        <f>'Etape 1'!E77</f>
        <v>0</v>
      </c>
      <c r="G81" s="55">
        <f>'Etape 1'!F77</f>
        <v>0</v>
      </c>
      <c r="H81" s="55">
        <f>'Etape 1'!G77</f>
        <v>0</v>
      </c>
      <c r="I81" s="209">
        <v>1</v>
      </c>
      <c r="J81" s="58">
        <f t="shared" si="130"/>
        <v>0</v>
      </c>
      <c r="K81" s="21">
        <f t="shared" si="83"/>
        <v>0</v>
      </c>
      <c r="L81" s="21">
        <f t="shared" si="84"/>
        <v>0</v>
      </c>
      <c r="M81" s="21">
        <f t="shared" ca="1" si="85"/>
        <v>3</v>
      </c>
      <c r="N81" s="21">
        <f t="shared" ca="1" si="86"/>
        <v>3</v>
      </c>
      <c r="O81" s="21">
        <f t="shared" ca="1" si="87"/>
        <v>0</v>
      </c>
      <c r="P81" s="262" t="str">
        <f>IF('Etape 1'!J77=999,"",IF('Etape 1'!J77=9999,txt_Schritt1.Angaben.fehlen,VLOOKUP(N81,Matrix_1.2.3.Test.Punkte.ID.Beurteilung,4,1)))</f>
        <v/>
      </c>
      <c r="Q81" s="21">
        <f t="shared" ca="1" si="131"/>
        <v>0</v>
      </c>
      <c r="R81" s="136">
        <f t="shared" si="119"/>
        <v>70</v>
      </c>
      <c r="S81" s="136">
        <f t="shared" ca="1" si="88"/>
        <v>162.23255813953489</v>
      </c>
      <c r="T81" s="136">
        <f t="shared" ca="1" si="120"/>
        <v>750.23255813953483</v>
      </c>
      <c r="U81" s="136">
        <f t="shared" ca="1" si="121"/>
        <v>1224000.2325581396</v>
      </c>
      <c r="V81" s="211">
        <f t="shared" ca="1" si="122"/>
        <v>235406.42460245895</v>
      </c>
      <c r="W81" s="136">
        <f t="shared" ca="1" si="89"/>
        <v>70</v>
      </c>
      <c r="X81" s="136">
        <f t="shared" ca="1" si="90"/>
        <v>162.999000999001</v>
      </c>
      <c r="Y81" s="21">
        <f t="shared" si="91"/>
        <v>1</v>
      </c>
      <c r="Z81" s="21" t="str">
        <f t="shared" si="92"/>
        <v>&lt;IE0</v>
      </c>
      <c r="AA81" s="21">
        <f t="shared" si="93"/>
        <v>1</v>
      </c>
      <c r="AB81" s="21" t="str">
        <f t="shared" si="94"/>
        <v>a - "&lt; 1990 (Eff3)"</v>
      </c>
      <c r="AC81" s="21">
        <f t="shared" si="95"/>
        <v>999999</v>
      </c>
      <c r="AD81" s="21" t="str">
        <f t="shared" si="96"/>
        <v/>
      </c>
      <c r="AE81" s="21" t="str">
        <f t="shared" si="97"/>
        <v/>
      </c>
      <c r="AF81" s="21" t="str">
        <f t="shared" si="98"/>
        <v/>
      </c>
      <c r="AG81" s="21">
        <f t="shared" si="99"/>
        <v>0</v>
      </c>
      <c r="AH81" s="21">
        <f>IF('Etape 1'!H77=St.Wert_Hacken,1,0)</f>
        <v>0</v>
      </c>
      <c r="AI81" s="21">
        <f t="shared" si="123"/>
        <v>0</v>
      </c>
      <c r="AJ81" s="21">
        <f t="shared" si="100"/>
        <v>1000999</v>
      </c>
      <c r="AK81" s="58">
        <f t="shared" si="101"/>
        <v>1100</v>
      </c>
      <c r="AL81" s="58">
        <f t="shared" si="102"/>
        <v>440</v>
      </c>
      <c r="AM81" s="21">
        <f t="shared" si="103"/>
        <v>0</v>
      </c>
      <c r="AN81" s="58">
        <f t="shared" si="104"/>
        <v>1</v>
      </c>
      <c r="AO81" s="58" t="str">
        <f t="shared" si="105"/>
        <v>114</v>
      </c>
      <c r="AP81" s="58" t="str">
        <f t="shared" si="106"/>
        <v>164</v>
      </c>
      <c r="AQ81" s="21" t="e">
        <f t="shared" si="107"/>
        <v>#NUM!</v>
      </c>
      <c r="AR81" s="21" t="e">
        <f t="shared" si="108"/>
        <v>#NUM!</v>
      </c>
      <c r="AS81" s="136" t="e">
        <f t="shared" si="124"/>
        <v>#NUM!</v>
      </c>
      <c r="AT81" s="59" t="e">
        <f t="shared" si="109"/>
        <v>#NUM!</v>
      </c>
      <c r="AU81" s="21" t="e">
        <f t="shared" si="125"/>
        <v>#NUM!</v>
      </c>
      <c r="AV81" s="58">
        <f t="shared" si="110"/>
        <v>1500</v>
      </c>
      <c r="AW81" s="58">
        <f t="shared" si="111"/>
        <v>600</v>
      </c>
      <c r="AX81" s="60">
        <f t="shared" si="112"/>
        <v>0.11</v>
      </c>
      <c r="AY81" s="212">
        <f t="shared" si="126"/>
        <v>0</v>
      </c>
      <c r="AZ81" s="59">
        <f t="shared" si="113"/>
        <v>0</v>
      </c>
      <c r="BA81" s="21" t="e">
        <f t="shared" si="127"/>
        <v>#DIV/0!</v>
      </c>
      <c r="BB81" s="58">
        <f t="shared" si="114"/>
        <v>2900</v>
      </c>
      <c r="BC81" s="58">
        <f t="shared" si="115"/>
        <v>1160</v>
      </c>
      <c r="BD81" s="60">
        <f t="shared" si="116"/>
        <v>0.15</v>
      </c>
      <c r="BE81" s="212" t="e">
        <f t="shared" si="128"/>
        <v>#NUM!</v>
      </c>
      <c r="BF81" s="59" t="e">
        <f t="shared" si="117"/>
        <v>#NUM!</v>
      </c>
      <c r="BG81" s="21" t="e">
        <f t="shared" si="129"/>
        <v>#NUM!</v>
      </c>
      <c r="BH81" s="55">
        <f t="shared" ca="1" si="118"/>
        <v>0</v>
      </c>
    </row>
    <row r="82" spans="1:60" x14ac:dyDescent="0.2">
      <c r="A82" s="61">
        <f ca="1">RANK(W82,W$12:W$311,0)+COUNTIF(W$12:W82,W82)-1</f>
        <v>230</v>
      </c>
      <c r="B82" s="55">
        <f>'Etape 1'!A78</f>
        <v>71</v>
      </c>
      <c r="C82" s="55">
        <f>'Etape 1'!B78</f>
        <v>0</v>
      </c>
      <c r="D82" s="55">
        <f>'Etape 1'!C78</f>
        <v>0</v>
      </c>
      <c r="E82" s="55">
        <f>'Etape 1'!D78</f>
        <v>0</v>
      </c>
      <c r="F82" s="55">
        <f>'Etape 1'!E78</f>
        <v>0</v>
      </c>
      <c r="G82" s="55">
        <f>'Etape 1'!F78</f>
        <v>0</v>
      </c>
      <c r="H82" s="55">
        <f>'Etape 1'!G78</f>
        <v>0</v>
      </c>
      <c r="I82" s="209">
        <v>1</v>
      </c>
      <c r="J82" s="58">
        <f t="shared" si="130"/>
        <v>0</v>
      </c>
      <c r="K82" s="21">
        <f t="shared" si="83"/>
        <v>0</v>
      </c>
      <c r="L82" s="21">
        <f t="shared" si="84"/>
        <v>0</v>
      </c>
      <c r="M82" s="21">
        <f t="shared" ca="1" si="85"/>
        <v>3</v>
      </c>
      <c r="N82" s="21">
        <f t="shared" ca="1" si="86"/>
        <v>3</v>
      </c>
      <c r="O82" s="21">
        <f t="shared" ca="1" si="87"/>
        <v>0</v>
      </c>
      <c r="P82" s="262" t="str">
        <f>IF('Etape 1'!J78=999,"",IF('Etape 1'!J78=9999,txt_Schritt1.Angaben.fehlen,VLOOKUP(N82,Matrix_1.2.3.Test.Punkte.ID.Beurteilung,4,1)))</f>
        <v/>
      </c>
      <c r="Q82" s="21">
        <f t="shared" ca="1" si="131"/>
        <v>0</v>
      </c>
      <c r="R82" s="136">
        <f t="shared" si="119"/>
        <v>71</v>
      </c>
      <c r="S82" s="136">
        <f t="shared" ca="1" si="88"/>
        <v>162.2358803986711</v>
      </c>
      <c r="T82" s="136">
        <f t="shared" ca="1" si="120"/>
        <v>750.23588039867104</v>
      </c>
      <c r="U82" s="136">
        <f t="shared" ca="1" si="121"/>
        <v>1224000.2358803987</v>
      </c>
      <c r="V82" s="211">
        <f t="shared" ca="1" si="122"/>
        <v>235406.42792471807</v>
      </c>
      <c r="W82" s="136">
        <f t="shared" ca="1" si="89"/>
        <v>71</v>
      </c>
      <c r="X82" s="136">
        <f t="shared" ca="1" si="90"/>
        <v>162.999000999001</v>
      </c>
      <c r="Y82" s="21">
        <f t="shared" si="91"/>
        <v>1</v>
      </c>
      <c r="Z82" s="21" t="str">
        <f t="shared" si="92"/>
        <v>&lt;IE0</v>
      </c>
      <c r="AA82" s="21">
        <f t="shared" si="93"/>
        <v>1</v>
      </c>
      <c r="AB82" s="21" t="str">
        <f t="shared" si="94"/>
        <v>a - "&lt; 1990 (Eff3)"</v>
      </c>
      <c r="AC82" s="21">
        <f t="shared" si="95"/>
        <v>999999</v>
      </c>
      <c r="AD82" s="21" t="str">
        <f t="shared" si="96"/>
        <v/>
      </c>
      <c r="AE82" s="21" t="str">
        <f t="shared" si="97"/>
        <v/>
      </c>
      <c r="AF82" s="21" t="str">
        <f t="shared" si="98"/>
        <v/>
      </c>
      <c r="AG82" s="21">
        <f t="shared" si="99"/>
        <v>0</v>
      </c>
      <c r="AH82" s="21">
        <f>IF('Etape 1'!H78=St.Wert_Hacken,1,0)</f>
        <v>0</v>
      </c>
      <c r="AI82" s="21">
        <f t="shared" si="123"/>
        <v>0</v>
      </c>
      <c r="AJ82" s="21">
        <f t="shared" si="100"/>
        <v>1000999</v>
      </c>
      <c r="AK82" s="58">
        <f t="shared" si="101"/>
        <v>1100</v>
      </c>
      <c r="AL82" s="58">
        <f t="shared" si="102"/>
        <v>440</v>
      </c>
      <c r="AM82" s="21">
        <f t="shared" si="103"/>
        <v>0</v>
      </c>
      <c r="AN82" s="58">
        <f t="shared" si="104"/>
        <v>1</v>
      </c>
      <c r="AO82" s="58" t="str">
        <f t="shared" si="105"/>
        <v>114</v>
      </c>
      <c r="AP82" s="58" t="str">
        <f t="shared" si="106"/>
        <v>164</v>
      </c>
      <c r="AQ82" s="21" t="e">
        <f t="shared" si="107"/>
        <v>#NUM!</v>
      </c>
      <c r="AR82" s="21" t="e">
        <f t="shared" si="108"/>
        <v>#NUM!</v>
      </c>
      <c r="AS82" s="136" t="e">
        <f t="shared" si="124"/>
        <v>#NUM!</v>
      </c>
      <c r="AT82" s="59" t="e">
        <f t="shared" si="109"/>
        <v>#NUM!</v>
      </c>
      <c r="AU82" s="21" t="e">
        <f t="shared" si="125"/>
        <v>#NUM!</v>
      </c>
      <c r="AV82" s="58">
        <f t="shared" si="110"/>
        <v>1500</v>
      </c>
      <c r="AW82" s="58">
        <f t="shared" si="111"/>
        <v>600</v>
      </c>
      <c r="AX82" s="60">
        <f t="shared" si="112"/>
        <v>0.11</v>
      </c>
      <c r="AY82" s="212">
        <f t="shared" si="126"/>
        <v>0</v>
      </c>
      <c r="AZ82" s="59">
        <f t="shared" si="113"/>
        <v>0</v>
      </c>
      <c r="BA82" s="21" t="e">
        <f t="shared" si="127"/>
        <v>#DIV/0!</v>
      </c>
      <c r="BB82" s="58">
        <f t="shared" si="114"/>
        <v>2900</v>
      </c>
      <c r="BC82" s="58">
        <f t="shared" si="115"/>
        <v>1160</v>
      </c>
      <c r="BD82" s="60">
        <f t="shared" si="116"/>
        <v>0.15</v>
      </c>
      <c r="BE82" s="212" t="e">
        <f t="shared" si="128"/>
        <v>#NUM!</v>
      </c>
      <c r="BF82" s="59" t="e">
        <f t="shared" si="117"/>
        <v>#NUM!</v>
      </c>
      <c r="BG82" s="21" t="e">
        <f t="shared" si="129"/>
        <v>#NUM!</v>
      </c>
      <c r="BH82" s="55">
        <f t="shared" ca="1" si="118"/>
        <v>0</v>
      </c>
    </row>
    <row r="83" spans="1:60" x14ac:dyDescent="0.2">
      <c r="A83" s="61">
        <f ca="1">RANK(W83,W$12:W$311,0)+COUNTIF(W$12:W83,W83)-1</f>
        <v>229</v>
      </c>
      <c r="B83" s="55">
        <f>'Etape 1'!A79</f>
        <v>72</v>
      </c>
      <c r="C83" s="55">
        <f>'Etape 1'!B79</f>
        <v>0</v>
      </c>
      <c r="D83" s="55">
        <f>'Etape 1'!C79</f>
        <v>0</v>
      </c>
      <c r="E83" s="55">
        <f>'Etape 1'!D79</f>
        <v>0</v>
      </c>
      <c r="F83" s="55">
        <f>'Etape 1'!E79</f>
        <v>0</v>
      </c>
      <c r="G83" s="55">
        <f>'Etape 1'!F79</f>
        <v>0</v>
      </c>
      <c r="H83" s="55">
        <f>'Etape 1'!G79</f>
        <v>0</v>
      </c>
      <c r="I83" s="209">
        <v>1</v>
      </c>
      <c r="J83" s="58">
        <f t="shared" si="130"/>
        <v>0</v>
      </c>
      <c r="K83" s="21">
        <f t="shared" si="83"/>
        <v>0</v>
      </c>
      <c r="L83" s="21">
        <f t="shared" si="84"/>
        <v>0</v>
      </c>
      <c r="M83" s="21">
        <f t="shared" ca="1" si="85"/>
        <v>3</v>
      </c>
      <c r="N83" s="21">
        <f t="shared" ca="1" si="86"/>
        <v>3</v>
      </c>
      <c r="O83" s="21">
        <f t="shared" ca="1" si="87"/>
        <v>0</v>
      </c>
      <c r="P83" s="262" t="str">
        <f>IF('Etape 1'!J79=999,"",IF('Etape 1'!J79=9999,txt_Schritt1.Angaben.fehlen,VLOOKUP(N83,Matrix_1.2.3.Test.Punkte.ID.Beurteilung,4,1)))</f>
        <v/>
      </c>
      <c r="Q83" s="21">
        <f t="shared" ca="1" si="131"/>
        <v>0</v>
      </c>
      <c r="R83" s="136">
        <f t="shared" si="119"/>
        <v>72</v>
      </c>
      <c r="S83" s="136">
        <f t="shared" ca="1" si="88"/>
        <v>162.23920265780731</v>
      </c>
      <c r="T83" s="136">
        <f t="shared" ca="1" si="120"/>
        <v>750.23920265780725</v>
      </c>
      <c r="U83" s="136">
        <f t="shared" ca="1" si="121"/>
        <v>1224000.2392026577</v>
      </c>
      <c r="V83" s="211">
        <f t="shared" ca="1" si="122"/>
        <v>235406.43124697721</v>
      </c>
      <c r="W83" s="136">
        <f t="shared" ca="1" si="89"/>
        <v>72</v>
      </c>
      <c r="X83" s="136">
        <f t="shared" ca="1" si="90"/>
        <v>162.999000999001</v>
      </c>
      <c r="Y83" s="21">
        <f t="shared" si="91"/>
        <v>1</v>
      </c>
      <c r="Z83" s="21" t="str">
        <f t="shared" si="92"/>
        <v>&lt;IE0</v>
      </c>
      <c r="AA83" s="21">
        <f t="shared" si="93"/>
        <v>1</v>
      </c>
      <c r="AB83" s="21" t="str">
        <f t="shared" si="94"/>
        <v>a - "&lt; 1990 (Eff3)"</v>
      </c>
      <c r="AC83" s="21">
        <f t="shared" si="95"/>
        <v>999999</v>
      </c>
      <c r="AD83" s="21" t="str">
        <f t="shared" si="96"/>
        <v/>
      </c>
      <c r="AE83" s="21" t="str">
        <f t="shared" si="97"/>
        <v/>
      </c>
      <c r="AF83" s="21" t="str">
        <f t="shared" si="98"/>
        <v/>
      </c>
      <c r="AG83" s="21">
        <f t="shared" si="99"/>
        <v>0</v>
      </c>
      <c r="AH83" s="21">
        <f>IF('Etape 1'!H79=St.Wert_Hacken,1,0)</f>
        <v>0</v>
      </c>
      <c r="AI83" s="21">
        <f t="shared" si="123"/>
        <v>0</v>
      </c>
      <c r="AJ83" s="21">
        <f t="shared" si="100"/>
        <v>1000999</v>
      </c>
      <c r="AK83" s="58">
        <f t="shared" si="101"/>
        <v>1100</v>
      </c>
      <c r="AL83" s="58">
        <f t="shared" si="102"/>
        <v>440</v>
      </c>
      <c r="AM83" s="21">
        <f t="shared" si="103"/>
        <v>0</v>
      </c>
      <c r="AN83" s="58">
        <f t="shared" si="104"/>
        <v>1</v>
      </c>
      <c r="AO83" s="58" t="str">
        <f t="shared" si="105"/>
        <v>114</v>
      </c>
      <c r="AP83" s="58" t="str">
        <f t="shared" si="106"/>
        <v>164</v>
      </c>
      <c r="AQ83" s="21" t="e">
        <f t="shared" si="107"/>
        <v>#NUM!</v>
      </c>
      <c r="AR83" s="21" t="e">
        <f t="shared" si="108"/>
        <v>#NUM!</v>
      </c>
      <c r="AS83" s="136" t="e">
        <f t="shared" si="124"/>
        <v>#NUM!</v>
      </c>
      <c r="AT83" s="59" t="e">
        <f t="shared" si="109"/>
        <v>#NUM!</v>
      </c>
      <c r="AU83" s="21" t="e">
        <f t="shared" si="125"/>
        <v>#NUM!</v>
      </c>
      <c r="AV83" s="58">
        <f t="shared" si="110"/>
        <v>1500</v>
      </c>
      <c r="AW83" s="58">
        <f t="shared" si="111"/>
        <v>600</v>
      </c>
      <c r="AX83" s="60">
        <f t="shared" si="112"/>
        <v>0.11</v>
      </c>
      <c r="AY83" s="212">
        <f t="shared" si="126"/>
        <v>0</v>
      </c>
      <c r="AZ83" s="59">
        <f t="shared" si="113"/>
        <v>0</v>
      </c>
      <c r="BA83" s="21" t="e">
        <f t="shared" si="127"/>
        <v>#DIV/0!</v>
      </c>
      <c r="BB83" s="58">
        <f t="shared" si="114"/>
        <v>2900</v>
      </c>
      <c r="BC83" s="58">
        <f t="shared" si="115"/>
        <v>1160</v>
      </c>
      <c r="BD83" s="60">
        <f t="shared" si="116"/>
        <v>0.15</v>
      </c>
      <c r="BE83" s="212" t="e">
        <f t="shared" si="128"/>
        <v>#NUM!</v>
      </c>
      <c r="BF83" s="59" t="e">
        <f t="shared" si="117"/>
        <v>#NUM!</v>
      </c>
      <c r="BG83" s="21" t="e">
        <f t="shared" si="129"/>
        <v>#NUM!</v>
      </c>
      <c r="BH83" s="55">
        <f t="shared" ca="1" si="118"/>
        <v>0</v>
      </c>
    </row>
    <row r="84" spans="1:60" x14ac:dyDescent="0.2">
      <c r="A84" s="61">
        <f ca="1">RANK(W84,W$12:W$311,0)+COUNTIF(W$12:W84,W84)-1</f>
        <v>228</v>
      </c>
      <c r="B84" s="55">
        <f>'Etape 1'!A80</f>
        <v>73</v>
      </c>
      <c r="C84" s="55">
        <f>'Etape 1'!B80</f>
        <v>0</v>
      </c>
      <c r="D84" s="55">
        <f>'Etape 1'!C80</f>
        <v>0</v>
      </c>
      <c r="E84" s="55">
        <f>'Etape 1'!D80</f>
        <v>0</v>
      </c>
      <c r="F84" s="55">
        <f>'Etape 1'!E80</f>
        <v>0</v>
      </c>
      <c r="G84" s="55">
        <f>'Etape 1'!F80</f>
        <v>0</v>
      </c>
      <c r="H84" s="55">
        <f>'Etape 1'!G80</f>
        <v>0</v>
      </c>
      <c r="I84" s="209">
        <v>1</v>
      </c>
      <c r="J84" s="58">
        <f t="shared" si="130"/>
        <v>0</v>
      </c>
      <c r="K84" s="21">
        <f t="shared" si="83"/>
        <v>0</v>
      </c>
      <c r="L84" s="21">
        <f t="shared" si="84"/>
        <v>0</v>
      </c>
      <c r="M84" s="21">
        <f t="shared" ca="1" si="85"/>
        <v>3</v>
      </c>
      <c r="N84" s="21">
        <f t="shared" ca="1" si="86"/>
        <v>3</v>
      </c>
      <c r="O84" s="21">
        <f t="shared" ca="1" si="87"/>
        <v>0</v>
      </c>
      <c r="P84" s="262" t="str">
        <f>IF('Etape 1'!J80=999,"",IF('Etape 1'!J80=9999,txt_Schritt1.Angaben.fehlen,VLOOKUP(N84,Matrix_1.2.3.Test.Punkte.ID.Beurteilung,4,1)))</f>
        <v/>
      </c>
      <c r="Q84" s="21">
        <f t="shared" ca="1" si="131"/>
        <v>0</v>
      </c>
      <c r="R84" s="136">
        <f t="shared" si="119"/>
        <v>73</v>
      </c>
      <c r="S84" s="136">
        <f t="shared" ca="1" si="88"/>
        <v>162.24252491694352</v>
      </c>
      <c r="T84" s="136">
        <f t="shared" ca="1" si="120"/>
        <v>750.24252491694347</v>
      </c>
      <c r="U84" s="136">
        <f t="shared" ca="1" si="121"/>
        <v>1224000.242524917</v>
      </c>
      <c r="V84" s="211">
        <f t="shared" ca="1" si="122"/>
        <v>235406.43456923636</v>
      </c>
      <c r="W84" s="136">
        <f t="shared" ca="1" si="89"/>
        <v>73</v>
      </c>
      <c r="X84" s="136">
        <f t="shared" ca="1" si="90"/>
        <v>162.999000999001</v>
      </c>
      <c r="Y84" s="21">
        <f t="shared" si="91"/>
        <v>1</v>
      </c>
      <c r="Z84" s="21" t="str">
        <f t="shared" si="92"/>
        <v>&lt;IE0</v>
      </c>
      <c r="AA84" s="21">
        <f t="shared" si="93"/>
        <v>1</v>
      </c>
      <c r="AB84" s="21" t="str">
        <f t="shared" si="94"/>
        <v>a - "&lt; 1990 (Eff3)"</v>
      </c>
      <c r="AC84" s="21">
        <f t="shared" si="95"/>
        <v>999999</v>
      </c>
      <c r="AD84" s="21" t="str">
        <f t="shared" si="96"/>
        <v/>
      </c>
      <c r="AE84" s="21" t="str">
        <f t="shared" si="97"/>
        <v/>
      </c>
      <c r="AF84" s="21" t="str">
        <f t="shared" si="98"/>
        <v/>
      </c>
      <c r="AG84" s="21">
        <f t="shared" si="99"/>
        <v>0</v>
      </c>
      <c r="AH84" s="21">
        <f>IF('Etape 1'!H80=St.Wert_Hacken,1,0)</f>
        <v>0</v>
      </c>
      <c r="AI84" s="21">
        <f t="shared" si="123"/>
        <v>0</v>
      </c>
      <c r="AJ84" s="21">
        <f t="shared" si="100"/>
        <v>1000999</v>
      </c>
      <c r="AK84" s="58">
        <f t="shared" si="101"/>
        <v>1100</v>
      </c>
      <c r="AL84" s="58">
        <f t="shared" si="102"/>
        <v>440</v>
      </c>
      <c r="AM84" s="21">
        <f t="shared" si="103"/>
        <v>0</v>
      </c>
      <c r="AN84" s="58">
        <f t="shared" si="104"/>
        <v>1</v>
      </c>
      <c r="AO84" s="58" t="str">
        <f t="shared" si="105"/>
        <v>114</v>
      </c>
      <c r="AP84" s="58" t="str">
        <f t="shared" si="106"/>
        <v>164</v>
      </c>
      <c r="AQ84" s="21" t="e">
        <f t="shared" si="107"/>
        <v>#NUM!</v>
      </c>
      <c r="AR84" s="21" t="e">
        <f t="shared" si="108"/>
        <v>#NUM!</v>
      </c>
      <c r="AS84" s="136" t="e">
        <f t="shared" si="124"/>
        <v>#NUM!</v>
      </c>
      <c r="AT84" s="59" t="e">
        <f t="shared" si="109"/>
        <v>#NUM!</v>
      </c>
      <c r="AU84" s="21" t="e">
        <f t="shared" si="125"/>
        <v>#NUM!</v>
      </c>
      <c r="AV84" s="58">
        <f t="shared" si="110"/>
        <v>1500</v>
      </c>
      <c r="AW84" s="58">
        <f t="shared" si="111"/>
        <v>600</v>
      </c>
      <c r="AX84" s="60">
        <f t="shared" si="112"/>
        <v>0.11</v>
      </c>
      <c r="AY84" s="212">
        <f t="shared" si="126"/>
        <v>0</v>
      </c>
      <c r="AZ84" s="59">
        <f t="shared" si="113"/>
        <v>0</v>
      </c>
      <c r="BA84" s="21" t="e">
        <f t="shared" si="127"/>
        <v>#DIV/0!</v>
      </c>
      <c r="BB84" s="58">
        <f t="shared" si="114"/>
        <v>2900</v>
      </c>
      <c r="BC84" s="58">
        <f t="shared" si="115"/>
        <v>1160</v>
      </c>
      <c r="BD84" s="60">
        <f t="shared" si="116"/>
        <v>0.15</v>
      </c>
      <c r="BE84" s="212" t="e">
        <f t="shared" si="128"/>
        <v>#NUM!</v>
      </c>
      <c r="BF84" s="59" t="e">
        <f t="shared" si="117"/>
        <v>#NUM!</v>
      </c>
      <c r="BG84" s="21" t="e">
        <f t="shared" si="129"/>
        <v>#NUM!</v>
      </c>
      <c r="BH84" s="55">
        <f t="shared" ca="1" si="118"/>
        <v>0</v>
      </c>
    </row>
    <row r="85" spans="1:60" x14ac:dyDescent="0.2">
      <c r="A85" s="61">
        <f ca="1">RANK(W85,W$12:W$311,0)+COUNTIF(W$12:W85,W85)-1</f>
        <v>227</v>
      </c>
      <c r="B85" s="55">
        <f>'Etape 1'!A81</f>
        <v>74</v>
      </c>
      <c r="C85" s="55">
        <f>'Etape 1'!B81</f>
        <v>0</v>
      </c>
      <c r="D85" s="55">
        <f>'Etape 1'!C81</f>
        <v>0</v>
      </c>
      <c r="E85" s="55">
        <f>'Etape 1'!D81</f>
        <v>0</v>
      </c>
      <c r="F85" s="55">
        <f>'Etape 1'!E81</f>
        <v>0</v>
      </c>
      <c r="G85" s="55">
        <f>'Etape 1'!F81</f>
        <v>0</v>
      </c>
      <c r="H85" s="55">
        <f>'Etape 1'!G81</f>
        <v>0</v>
      </c>
      <c r="I85" s="209">
        <v>1</v>
      </c>
      <c r="J85" s="58">
        <f t="shared" si="130"/>
        <v>0</v>
      </c>
      <c r="K85" s="21">
        <f t="shared" si="83"/>
        <v>0</v>
      </c>
      <c r="L85" s="21">
        <f t="shared" si="84"/>
        <v>0</v>
      </c>
      <c r="M85" s="21">
        <f t="shared" ca="1" si="85"/>
        <v>3</v>
      </c>
      <c r="N85" s="21">
        <f t="shared" ca="1" si="86"/>
        <v>3</v>
      </c>
      <c r="O85" s="21">
        <f t="shared" ca="1" si="87"/>
        <v>0</v>
      </c>
      <c r="P85" s="262" t="str">
        <f>IF('Etape 1'!J81=999,"",IF('Etape 1'!J81=9999,txt_Schritt1.Angaben.fehlen,VLOOKUP(N85,Matrix_1.2.3.Test.Punkte.ID.Beurteilung,4,1)))</f>
        <v/>
      </c>
      <c r="Q85" s="21">
        <f t="shared" ca="1" si="131"/>
        <v>0</v>
      </c>
      <c r="R85" s="136">
        <f t="shared" si="119"/>
        <v>74</v>
      </c>
      <c r="S85" s="136">
        <f t="shared" ca="1" si="88"/>
        <v>162.24584717607974</v>
      </c>
      <c r="T85" s="136">
        <f t="shared" ca="1" si="120"/>
        <v>750.24584717607968</v>
      </c>
      <c r="U85" s="136">
        <f t="shared" ca="1" si="121"/>
        <v>1224000.2458471761</v>
      </c>
      <c r="V85" s="211">
        <f t="shared" ca="1" si="122"/>
        <v>235406.4378914955</v>
      </c>
      <c r="W85" s="136">
        <f t="shared" ca="1" si="89"/>
        <v>74</v>
      </c>
      <c r="X85" s="136">
        <f t="shared" ca="1" si="90"/>
        <v>162.999000999001</v>
      </c>
      <c r="Y85" s="21">
        <f t="shared" si="91"/>
        <v>1</v>
      </c>
      <c r="Z85" s="21" t="str">
        <f t="shared" si="92"/>
        <v>&lt;IE0</v>
      </c>
      <c r="AA85" s="21">
        <f t="shared" si="93"/>
        <v>1</v>
      </c>
      <c r="AB85" s="21" t="str">
        <f t="shared" si="94"/>
        <v>a - "&lt; 1990 (Eff3)"</v>
      </c>
      <c r="AC85" s="21">
        <f t="shared" si="95"/>
        <v>999999</v>
      </c>
      <c r="AD85" s="21" t="str">
        <f t="shared" si="96"/>
        <v/>
      </c>
      <c r="AE85" s="21" t="str">
        <f t="shared" si="97"/>
        <v/>
      </c>
      <c r="AF85" s="21" t="str">
        <f t="shared" si="98"/>
        <v/>
      </c>
      <c r="AG85" s="21">
        <f t="shared" si="99"/>
        <v>0</v>
      </c>
      <c r="AH85" s="21">
        <f>IF('Etape 1'!H81=St.Wert_Hacken,1,0)</f>
        <v>0</v>
      </c>
      <c r="AI85" s="21">
        <f t="shared" si="123"/>
        <v>0</v>
      </c>
      <c r="AJ85" s="21">
        <f t="shared" si="100"/>
        <v>1000999</v>
      </c>
      <c r="AK85" s="58">
        <f t="shared" si="101"/>
        <v>1100</v>
      </c>
      <c r="AL85" s="58">
        <f t="shared" si="102"/>
        <v>440</v>
      </c>
      <c r="AM85" s="21">
        <f t="shared" si="103"/>
        <v>0</v>
      </c>
      <c r="AN85" s="58">
        <f t="shared" si="104"/>
        <v>1</v>
      </c>
      <c r="AO85" s="58" t="str">
        <f t="shared" si="105"/>
        <v>114</v>
      </c>
      <c r="AP85" s="58" t="str">
        <f t="shared" si="106"/>
        <v>164</v>
      </c>
      <c r="AQ85" s="21" t="e">
        <f t="shared" si="107"/>
        <v>#NUM!</v>
      </c>
      <c r="AR85" s="21" t="e">
        <f t="shared" si="108"/>
        <v>#NUM!</v>
      </c>
      <c r="AS85" s="136" t="e">
        <f t="shared" si="124"/>
        <v>#NUM!</v>
      </c>
      <c r="AT85" s="59" t="e">
        <f t="shared" si="109"/>
        <v>#NUM!</v>
      </c>
      <c r="AU85" s="21" t="e">
        <f t="shared" si="125"/>
        <v>#NUM!</v>
      </c>
      <c r="AV85" s="58">
        <f t="shared" si="110"/>
        <v>1500</v>
      </c>
      <c r="AW85" s="58">
        <f t="shared" si="111"/>
        <v>600</v>
      </c>
      <c r="AX85" s="60">
        <f t="shared" si="112"/>
        <v>0.11</v>
      </c>
      <c r="AY85" s="212">
        <f t="shared" si="126"/>
        <v>0</v>
      </c>
      <c r="AZ85" s="59">
        <f t="shared" si="113"/>
        <v>0</v>
      </c>
      <c r="BA85" s="21" t="e">
        <f t="shared" si="127"/>
        <v>#DIV/0!</v>
      </c>
      <c r="BB85" s="58">
        <f t="shared" si="114"/>
        <v>2900</v>
      </c>
      <c r="BC85" s="58">
        <f t="shared" si="115"/>
        <v>1160</v>
      </c>
      <c r="BD85" s="60">
        <f t="shared" si="116"/>
        <v>0.15</v>
      </c>
      <c r="BE85" s="212" t="e">
        <f t="shared" si="128"/>
        <v>#NUM!</v>
      </c>
      <c r="BF85" s="59" t="e">
        <f t="shared" si="117"/>
        <v>#NUM!</v>
      </c>
      <c r="BG85" s="21" t="e">
        <f t="shared" si="129"/>
        <v>#NUM!</v>
      </c>
      <c r="BH85" s="55">
        <f t="shared" ca="1" si="118"/>
        <v>0</v>
      </c>
    </row>
    <row r="86" spans="1:60" x14ac:dyDescent="0.2">
      <c r="A86" s="61">
        <f ca="1">RANK(W86,W$12:W$311,0)+COUNTIF(W$12:W86,W86)-1</f>
        <v>226</v>
      </c>
      <c r="B86" s="55">
        <f>'Etape 1'!A82</f>
        <v>75</v>
      </c>
      <c r="C86" s="55">
        <f>'Etape 1'!B82</f>
        <v>0</v>
      </c>
      <c r="D86" s="55">
        <f>'Etape 1'!C82</f>
        <v>0</v>
      </c>
      <c r="E86" s="55">
        <f>'Etape 1'!D82</f>
        <v>0</v>
      </c>
      <c r="F86" s="55">
        <f>'Etape 1'!E82</f>
        <v>0</v>
      </c>
      <c r="G86" s="55">
        <f>'Etape 1'!F82</f>
        <v>0</v>
      </c>
      <c r="H86" s="55">
        <f>'Etape 1'!G82</f>
        <v>0</v>
      </c>
      <c r="I86" s="209">
        <v>1</v>
      </c>
      <c r="J86" s="58">
        <f t="shared" si="130"/>
        <v>0</v>
      </c>
      <c r="K86" s="21">
        <f t="shared" si="83"/>
        <v>0</v>
      </c>
      <c r="L86" s="21">
        <f t="shared" si="84"/>
        <v>0</v>
      </c>
      <c r="M86" s="21">
        <f t="shared" ca="1" si="85"/>
        <v>3</v>
      </c>
      <c r="N86" s="21">
        <f t="shared" ca="1" si="86"/>
        <v>3</v>
      </c>
      <c r="O86" s="21">
        <f t="shared" ca="1" si="87"/>
        <v>0</v>
      </c>
      <c r="P86" s="262" t="str">
        <f>IF('Etape 1'!J82=999,"",IF('Etape 1'!J82=9999,txt_Schritt1.Angaben.fehlen,VLOOKUP(N86,Matrix_1.2.3.Test.Punkte.ID.Beurteilung,4,1)))</f>
        <v/>
      </c>
      <c r="Q86" s="21">
        <f t="shared" ca="1" si="131"/>
        <v>0</v>
      </c>
      <c r="R86" s="136">
        <f t="shared" si="119"/>
        <v>75</v>
      </c>
      <c r="S86" s="136">
        <f t="shared" ca="1" si="88"/>
        <v>162.24916943521595</v>
      </c>
      <c r="T86" s="136">
        <f t="shared" ca="1" si="120"/>
        <v>750.24916943521589</v>
      </c>
      <c r="U86" s="136">
        <f t="shared" ca="1" si="121"/>
        <v>1224000.2491694351</v>
      </c>
      <c r="V86" s="211">
        <f t="shared" ca="1" si="122"/>
        <v>235406.44121375462</v>
      </c>
      <c r="W86" s="136">
        <f t="shared" ca="1" si="89"/>
        <v>75</v>
      </c>
      <c r="X86" s="136">
        <f t="shared" ca="1" si="90"/>
        <v>162.999000999001</v>
      </c>
      <c r="Y86" s="21">
        <f t="shared" si="91"/>
        <v>1</v>
      </c>
      <c r="Z86" s="21" t="str">
        <f t="shared" si="92"/>
        <v>&lt;IE0</v>
      </c>
      <c r="AA86" s="21">
        <f t="shared" si="93"/>
        <v>1</v>
      </c>
      <c r="AB86" s="21" t="str">
        <f t="shared" si="94"/>
        <v>a - "&lt; 1990 (Eff3)"</v>
      </c>
      <c r="AC86" s="21">
        <f t="shared" si="95"/>
        <v>999999</v>
      </c>
      <c r="AD86" s="21" t="str">
        <f t="shared" si="96"/>
        <v/>
      </c>
      <c r="AE86" s="21" t="str">
        <f t="shared" si="97"/>
        <v/>
      </c>
      <c r="AF86" s="21" t="str">
        <f t="shared" si="98"/>
        <v/>
      </c>
      <c r="AG86" s="21">
        <f t="shared" si="99"/>
        <v>0</v>
      </c>
      <c r="AH86" s="21">
        <f>IF('Etape 1'!H82=St.Wert_Hacken,1,0)</f>
        <v>0</v>
      </c>
      <c r="AI86" s="21">
        <f t="shared" si="123"/>
        <v>0</v>
      </c>
      <c r="AJ86" s="21">
        <f t="shared" si="100"/>
        <v>1000999</v>
      </c>
      <c r="AK86" s="58">
        <f t="shared" si="101"/>
        <v>1100</v>
      </c>
      <c r="AL86" s="58">
        <f t="shared" si="102"/>
        <v>440</v>
      </c>
      <c r="AM86" s="21">
        <f t="shared" si="103"/>
        <v>0</v>
      </c>
      <c r="AN86" s="58">
        <f t="shared" si="104"/>
        <v>1</v>
      </c>
      <c r="AO86" s="58" t="str">
        <f t="shared" si="105"/>
        <v>114</v>
      </c>
      <c r="AP86" s="58" t="str">
        <f t="shared" si="106"/>
        <v>164</v>
      </c>
      <c r="AQ86" s="21" t="e">
        <f t="shared" si="107"/>
        <v>#NUM!</v>
      </c>
      <c r="AR86" s="21" t="e">
        <f t="shared" si="108"/>
        <v>#NUM!</v>
      </c>
      <c r="AS86" s="136" t="e">
        <f t="shared" si="124"/>
        <v>#NUM!</v>
      </c>
      <c r="AT86" s="59" t="e">
        <f t="shared" si="109"/>
        <v>#NUM!</v>
      </c>
      <c r="AU86" s="21" t="e">
        <f t="shared" si="125"/>
        <v>#NUM!</v>
      </c>
      <c r="AV86" s="58">
        <f t="shared" si="110"/>
        <v>1500</v>
      </c>
      <c r="AW86" s="58">
        <f t="shared" si="111"/>
        <v>600</v>
      </c>
      <c r="AX86" s="60">
        <f t="shared" si="112"/>
        <v>0.11</v>
      </c>
      <c r="AY86" s="212">
        <f t="shared" si="126"/>
        <v>0</v>
      </c>
      <c r="AZ86" s="59">
        <f t="shared" si="113"/>
        <v>0</v>
      </c>
      <c r="BA86" s="21" t="e">
        <f t="shared" si="127"/>
        <v>#DIV/0!</v>
      </c>
      <c r="BB86" s="58">
        <f t="shared" si="114"/>
        <v>2900</v>
      </c>
      <c r="BC86" s="58">
        <f t="shared" si="115"/>
        <v>1160</v>
      </c>
      <c r="BD86" s="60">
        <f t="shared" si="116"/>
        <v>0.15</v>
      </c>
      <c r="BE86" s="212" t="e">
        <f t="shared" si="128"/>
        <v>#NUM!</v>
      </c>
      <c r="BF86" s="59" t="e">
        <f t="shared" si="117"/>
        <v>#NUM!</v>
      </c>
      <c r="BG86" s="21" t="e">
        <f t="shared" si="129"/>
        <v>#NUM!</v>
      </c>
      <c r="BH86" s="55">
        <f t="shared" ca="1" si="118"/>
        <v>0</v>
      </c>
    </row>
    <row r="87" spans="1:60" x14ac:dyDescent="0.2">
      <c r="A87" s="61">
        <f ca="1">RANK(W87,W$12:W$311,0)+COUNTIF(W$12:W87,W87)-1</f>
        <v>225</v>
      </c>
      <c r="B87" s="55">
        <f>'Etape 1'!A83</f>
        <v>76</v>
      </c>
      <c r="C87" s="55">
        <f>'Etape 1'!B83</f>
        <v>0</v>
      </c>
      <c r="D87" s="55">
        <f>'Etape 1'!C83</f>
        <v>0</v>
      </c>
      <c r="E87" s="55">
        <f>'Etape 1'!D83</f>
        <v>0</v>
      </c>
      <c r="F87" s="55">
        <f>'Etape 1'!E83</f>
        <v>0</v>
      </c>
      <c r="G87" s="55">
        <f>'Etape 1'!F83</f>
        <v>0</v>
      </c>
      <c r="H87" s="55">
        <f>'Etape 1'!G83</f>
        <v>0</v>
      </c>
      <c r="I87" s="209">
        <v>1</v>
      </c>
      <c r="J87" s="58">
        <f t="shared" si="130"/>
        <v>0</v>
      </c>
      <c r="K87" s="21">
        <f t="shared" si="83"/>
        <v>0</v>
      </c>
      <c r="L87" s="21">
        <f t="shared" si="84"/>
        <v>0</v>
      </c>
      <c r="M87" s="21">
        <f t="shared" ca="1" si="85"/>
        <v>3</v>
      </c>
      <c r="N87" s="21">
        <f t="shared" ca="1" si="86"/>
        <v>3</v>
      </c>
      <c r="O87" s="21">
        <f t="shared" ca="1" si="87"/>
        <v>0</v>
      </c>
      <c r="P87" s="262" t="str">
        <f>IF('Etape 1'!J83=999,"",IF('Etape 1'!J83=9999,txt_Schritt1.Angaben.fehlen,VLOOKUP(N87,Matrix_1.2.3.Test.Punkte.ID.Beurteilung,4,1)))</f>
        <v/>
      </c>
      <c r="Q87" s="21">
        <f t="shared" ca="1" si="131"/>
        <v>0</v>
      </c>
      <c r="R87" s="136">
        <f t="shared" si="119"/>
        <v>76</v>
      </c>
      <c r="S87" s="136">
        <f t="shared" ca="1" si="88"/>
        <v>162.25249169435216</v>
      </c>
      <c r="T87" s="136">
        <f t="shared" ca="1" si="120"/>
        <v>750.25249169435222</v>
      </c>
      <c r="U87" s="136">
        <f t="shared" ca="1" si="121"/>
        <v>1224000.2524916944</v>
      </c>
      <c r="V87" s="211">
        <f t="shared" ca="1" si="122"/>
        <v>235406.44453601376</v>
      </c>
      <c r="W87" s="136">
        <f t="shared" ca="1" si="89"/>
        <v>76</v>
      </c>
      <c r="X87" s="136">
        <f t="shared" ca="1" si="90"/>
        <v>162.999000999001</v>
      </c>
      <c r="Y87" s="21">
        <f t="shared" si="91"/>
        <v>1</v>
      </c>
      <c r="Z87" s="21" t="str">
        <f t="shared" si="92"/>
        <v>&lt;IE0</v>
      </c>
      <c r="AA87" s="21">
        <f t="shared" si="93"/>
        <v>1</v>
      </c>
      <c r="AB87" s="21" t="str">
        <f t="shared" si="94"/>
        <v>a - "&lt; 1990 (Eff3)"</v>
      </c>
      <c r="AC87" s="21">
        <f t="shared" si="95"/>
        <v>999999</v>
      </c>
      <c r="AD87" s="21" t="str">
        <f t="shared" si="96"/>
        <v/>
      </c>
      <c r="AE87" s="21" t="str">
        <f t="shared" si="97"/>
        <v/>
      </c>
      <c r="AF87" s="21" t="str">
        <f t="shared" si="98"/>
        <v/>
      </c>
      <c r="AG87" s="21">
        <f t="shared" si="99"/>
        <v>0</v>
      </c>
      <c r="AH87" s="21">
        <f>IF('Etape 1'!H83=St.Wert_Hacken,1,0)</f>
        <v>0</v>
      </c>
      <c r="AI87" s="21">
        <f t="shared" si="123"/>
        <v>0</v>
      </c>
      <c r="AJ87" s="21">
        <f t="shared" si="100"/>
        <v>1000999</v>
      </c>
      <c r="AK87" s="58">
        <f t="shared" si="101"/>
        <v>1100</v>
      </c>
      <c r="AL87" s="58">
        <f t="shared" si="102"/>
        <v>440</v>
      </c>
      <c r="AM87" s="21">
        <f t="shared" si="103"/>
        <v>0</v>
      </c>
      <c r="AN87" s="58">
        <f t="shared" si="104"/>
        <v>1</v>
      </c>
      <c r="AO87" s="58" t="str">
        <f t="shared" si="105"/>
        <v>114</v>
      </c>
      <c r="AP87" s="58" t="str">
        <f t="shared" si="106"/>
        <v>164</v>
      </c>
      <c r="AQ87" s="21" t="e">
        <f t="shared" si="107"/>
        <v>#NUM!</v>
      </c>
      <c r="AR87" s="21" t="e">
        <f t="shared" si="108"/>
        <v>#NUM!</v>
      </c>
      <c r="AS87" s="136" t="e">
        <f t="shared" si="124"/>
        <v>#NUM!</v>
      </c>
      <c r="AT87" s="59" t="e">
        <f t="shared" si="109"/>
        <v>#NUM!</v>
      </c>
      <c r="AU87" s="21" t="e">
        <f t="shared" si="125"/>
        <v>#NUM!</v>
      </c>
      <c r="AV87" s="58">
        <f t="shared" si="110"/>
        <v>1500</v>
      </c>
      <c r="AW87" s="58">
        <f t="shared" si="111"/>
        <v>600</v>
      </c>
      <c r="AX87" s="60">
        <f t="shared" si="112"/>
        <v>0.11</v>
      </c>
      <c r="AY87" s="212">
        <f t="shared" si="126"/>
        <v>0</v>
      </c>
      <c r="AZ87" s="59">
        <f t="shared" si="113"/>
        <v>0</v>
      </c>
      <c r="BA87" s="21" t="e">
        <f t="shared" si="127"/>
        <v>#DIV/0!</v>
      </c>
      <c r="BB87" s="58">
        <f t="shared" si="114"/>
        <v>2900</v>
      </c>
      <c r="BC87" s="58">
        <f t="shared" si="115"/>
        <v>1160</v>
      </c>
      <c r="BD87" s="60">
        <f t="shared" si="116"/>
        <v>0.15</v>
      </c>
      <c r="BE87" s="212" t="e">
        <f t="shared" si="128"/>
        <v>#NUM!</v>
      </c>
      <c r="BF87" s="59" t="e">
        <f t="shared" si="117"/>
        <v>#NUM!</v>
      </c>
      <c r="BG87" s="21" t="e">
        <f t="shared" si="129"/>
        <v>#NUM!</v>
      </c>
      <c r="BH87" s="55">
        <f t="shared" ca="1" si="118"/>
        <v>0</v>
      </c>
    </row>
    <row r="88" spans="1:60" x14ac:dyDescent="0.2">
      <c r="A88" s="61">
        <f ca="1">RANK(W88,W$12:W$311,0)+COUNTIF(W$12:W88,W88)-1</f>
        <v>224</v>
      </c>
      <c r="B88" s="55">
        <f>'Etape 1'!A84</f>
        <v>77</v>
      </c>
      <c r="C88" s="55">
        <f>'Etape 1'!B84</f>
        <v>0</v>
      </c>
      <c r="D88" s="55">
        <f>'Etape 1'!C84</f>
        <v>0</v>
      </c>
      <c r="E88" s="55">
        <f>'Etape 1'!D84</f>
        <v>0</v>
      </c>
      <c r="F88" s="55">
        <f>'Etape 1'!E84</f>
        <v>0</v>
      </c>
      <c r="G88" s="55">
        <f>'Etape 1'!F84</f>
        <v>0</v>
      </c>
      <c r="H88" s="55">
        <f>'Etape 1'!G84</f>
        <v>0</v>
      </c>
      <c r="I88" s="209">
        <v>1</v>
      </c>
      <c r="J88" s="58">
        <f t="shared" si="130"/>
        <v>0</v>
      </c>
      <c r="K88" s="21">
        <f t="shared" si="83"/>
        <v>0</v>
      </c>
      <c r="L88" s="21">
        <f t="shared" si="84"/>
        <v>0</v>
      </c>
      <c r="M88" s="21">
        <f t="shared" ca="1" si="85"/>
        <v>3</v>
      </c>
      <c r="N88" s="21">
        <f t="shared" ca="1" si="86"/>
        <v>3</v>
      </c>
      <c r="O88" s="21">
        <f t="shared" ca="1" si="87"/>
        <v>0</v>
      </c>
      <c r="P88" s="262" t="str">
        <f>IF('Etape 1'!J84=999,"",IF('Etape 1'!J84=9999,txt_Schritt1.Angaben.fehlen,VLOOKUP(N88,Matrix_1.2.3.Test.Punkte.ID.Beurteilung,4,1)))</f>
        <v/>
      </c>
      <c r="Q88" s="21">
        <f t="shared" ca="1" si="131"/>
        <v>0</v>
      </c>
      <c r="R88" s="136">
        <f t="shared" si="119"/>
        <v>77</v>
      </c>
      <c r="S88" s="136">
        <f t="shared" ca="1" si="88"/>
        <v>162.25581395348837</v>
      </c>
      <c r="T88" s="136">
        <f t="shared" ca="1" si="120"/>
        <v>750.25581395348843</v>
      </c>
      <c r="U88" s="136">
        <f t="shared" ca="1" si="121"/>
        <v>1224000.2558139535</v>
      </c>
      <c r="V88" s="211">
        <f t="shared" ca="1" si="122"/>
        <v>235406.44785827291</v>
      </c>
      <c r="W88" s="136">
        <f t="shared" ca="1" si="89"/>
        <v>77</v>
      </c>
      <c r="X88" s="136">
        <f t="shared" ca="1" si="90"/>
        <v>162.999000999001</v>
      </c>
      <c r="Y88" s="21">
        <f t="shared" si="91"/>
        <v>1</v>
      </c>
      <c r="Z88" s="21" t="str">
        <f t="shared" si="92"/>
        <v>&lt;IE0</v>
      </c>
      <c r="AA88" s="21">
        <f t="shared" si="93"/>
        <v>1</v>
      </c>
      <c r="AB88" s="21" t="str">
        <f t="shared" si="94"/>
        <v>a - "&lt; 1990 (Eff3)"</v>
      </c>
      <c r="AC88" s="21">
        <f t="shared" si="95"/>
        <v>999999</v>
      </c>
      <c r="AD88" s="21" t="str">
        <f t="shared" si="96"/>
        <v/>
      </c>
      <c r="AE88" s="21" t="str">
        <f t="shared" si="97"/>
        <v/>
      </c>
      <c r="AF88" s="21" t="str">
        <f t="shared" si="98"/>
        <v/>
      </c>
      <c r="AG88" s="21">
        <f t="shared" si="99"/>
        <v>0</v>
      </c>
      <c r="AH88" s="21">
        <f>IF('Etape 1'!H84=St.Wert_Hacken,1,0)</f>
        <v>0</v>
      </c>
      <c r="AI88" s="21">
        <f t="shared" si="123"/>
        <v>0</v>
      </c>
      <c r="AJ88" s="21">
        <f t="shared" si="100"/>
        <v>1000999</v>
      </c>
      <c r="AK88" s="58">
        <f t="shared" si="101"/>
        <v>1100</v>
      </c>
      <c r="AL88" s="58">
        <f t="shared" si="102"/>
        <v>440</v>
      </c>
      <c r="AM88" s="21">
        <f t="shared" si="103"/>
        <v>0</v>
      </c>
      <c r="AN88" s="58">
        <f t="shared" si="104"/>
        <v>1</v>
      </c>
      <c r="AO88" s="58" t="str">
        <f t="shared" si="105"/>
        <v>114</v>
      </c>
      <c r="AP88" s="58" t="str">
        <f t="shared" si="106"/>
        <v>164</v>
      </c>
      <c r="AQ88" s="21" t="e">
        <f t="shared" si="107"/>
        <v>#NUM!</v>
      </c>
      <c r="AR88" s="21" t="e">
        <f t="shared" si="108"/>
        <v>#NUM!</v>
      </c>
      <c r="AS88" s="136" t="e">
        <f t="shared" si="124"/>
        <v>#NUM!</v>
      </c>
      <c r="AT88" s="59" t="e">
        <f t="shared" si="109"/>
        <v>#NUM!</v>
      </c>
      <c r="AU88" s="21" t="e">
        <f t="shared" si="125"/>
        <v>#NUM!</v>
      </c>
      <c r="AV88" s="58">
        <f t="shared" si="110"/>
        <v>1500</v>
      </c>
      <c r="AW88" s="58">
        <f t="shared" si="111"/>
        <v>600</v>
      </c>
      <c r="AX88" s="60">
        <f t="shared" si="112"/>
        <v>0.11</v>
      </c>
      <c r="AY88" s="212">
        <f t="shared" si="126"/>
        <v>0</v>
      </c>
      <c r="AZ88" s="59">
        <f t="shared" si="113"/>
        <v>0</v>
      </c>
      <c r="BA88" s="21" t="e">
        <f t="shared" si="127"/>
        <v>#DIV/0!</v>
      </c>
      <c r="BB88" s="58">
        <f t="shared" si="114"/>
        <v>2900</v>
      </c>
      <c r="BC88" s="58">
        <f t="shared" si="115"/>
        <v>1160</v>
      </c>
      <c r="BD88" s="60">
        <f t="shared" si="116"/>
        <v>0.15</v>
      </c>
      <c r="BE88" s="212" t="e">
        <f t="shared" si="128"/>
        <v>#NUM!</v>
      </c>
      <c r="BF88" s="59" t="e">
        <f t="shared" si="117"/>
        <v>#NUM!</v>
      </c>
      <c r="BG88" s="21" t="e">
        <f t="shared" si="129"/>
        <v>#NUM!</v>
      </c>
      <c r="BH88" s="55">
        <f t="shared" ca="1" si="118"/>
        <v>0</v>
      </c>
    </row>
    <row r="89" spans="1:60" x14ac:dyDescent="0.2">
      <c r="A89" s="61">
        <f ca="1">RANK(W89,W$12:W$311,0)+COUNTIF(W$12:W89,W89)-1</f>
        <v>223</v>
      </c>
      <c r="B89" s="55">
        <f>'Etape 1'!A85</f>
        <v>78</v>
      </c>
      <c r="C89" s="55">
        <f>'Etape 1'!B85</f>
        <v>0</v>
      </c>
      <c r="D89" s="55">
        <f>'Etape 1'!C85</f>
        <v>0</v>
      </c>
      <c r="E89" s="55">
        <f>'Etape 1'!D85</f>
        <v>0</v>
      </c>
      <c r="F89" s="55">
        <f>'Etape 1'!E85</f>
        <v>0</v>
      </c>
      <c r="G89" s="55">
        <f>'Etape 1'!F85</f>
        <v>0</v>
      </c>
      <c r="H89" s="55">
        <f>'Etape 1'!G85</f>
        <v>0</v>
      </c>
      <c r="I89" s="209">
        <v>1</v>
      </c>
      <c r="J89" s="58">
        <f t="shared" si="130"/>
        <v>0</v>
      </c>
      <c r="K89" s="21">
        <f t="shared" si="83"/>
        <v>0</v>
      </c>
      <c r="L89" s="21">
        <f t="shared" si="84"/>
        <v>0</v>
      </c>
      <c r="M89" s="21">
        <f t="shared" ca="1" si="85"/>
        <v>3</v>
      </c>
      <c r="N89" s="21">
        <f t="shared" ca="1" si="86"/>
        <v>3</v>
      </c>
      <c r="O89" s="21">
        <f t="shared" ca="1" si="87"/>
        <v>0</v>
      </c>
      <c r="P89" s="262" t="str">
        <f>IF('Etape 1'!J85=999,"",IF('Etape 1'!J85=9999,txt_Schritt1.Angaben.fehlen,VLOOKUP(N89,Matrix_1.2.3.Test.Punkte.ID.Beurteilung,4,1)))</f>
        <v/>
      </c>
      <c r="Q89" s="21">
        <f t="shared" ca="1" si="131"/>
        <v>0</v>
      </c>
      <c r="R89" s="136">
        <f t="shared" si="119"/>
        <v>78</v>
      </c>
      <c r="S89" s="136">
        <f t="shared" ca="1" si="88"/>
        <v>162.25913621262458</v>
      </c>
      <c r="T89" s="136">
        <f t="shared" ca="1" si="120"/>
        <v>750.25913621262464</v>
      </c>
      <c r="U89" s="136">
        <f t="shared" ca="1" si="121"/>
        <v>1224000.2591362125</v>
      </c>
      <c r="V89" s="211">
        <f t="shared" ca="1" si="122"/>
        <v>235406.45118053202</v>
      </c>
      <c r="W89" s="136">
        <f t="shared" ca="1" si="89"/>
        <v>78</v>
      </c>
      <c r="X89" s="136">
        <f t="shared" ca="1" si="90"/>
        <v>162.999000999001</v>
      </c>
      <c r="Y89" s="21">
        <f t="shared" si="91"/>
        <v>1</v>
      </c>
      <c r="Z89" s="21" t="str">
        <f t="shared" si="92"/>
        <v>&lt;IE0</v>
      </c>
      <c r="AA89" s="21">
        <f t="shared" si="93"/>
        <v>1</v>
      </c>
      <c r="AB89" s="21" t="str">
        <f t="shared" si="94"/>
        <v>a - "&lt; 1990 (Eff3)"</v>
      </c>
      <c r="AC89" s="21">
        <f t="shared" si="95"/>
        <v>999999</v>
      </c>
      <c r="AD89" s="21" t="str">
        <f t="shared" si="96"/>
        <v/>
      </c>
      <c r="AE89" s="21" t="str">
        <f t="shared" si="97"/>
        <v/>
      </c>
      <c r="AF89" s="21" t="str">
        <f t="shared" si="98"/>
        <v/>
      </c>
      <c r="AG89" s="21">
        <f t="shared" si="99"/>
        <v>0</v>
      </c>
      <c r="AH89" s="21">
        <f>IF('Etape 1'!H85=St.Wert_Hacken,1,0)</f>
        <v>0</v>
      </c>
      <c r="AI89" s="21">
        <f t="shared" si="123"/>
        <v>0</v>
      </c>
      <c r="AJ89" s="21">
        <f t="shared" si="100"/>
        <v>1000999</v>
      </c>
      <c r="AK89" s="58">
        <f t="shared" si="101"/>
        <v>1100</v>
      </c>
      <c r="AL89" s="58">
        <f t="shared" si="102"/>
        <v>440</v>
      </c>
      <c r="AM89" s="21">
        <f t="shared" si="103"/>
        <v>0</v>
      </c>
      <c r="AN89" s="58">
        <f t="shared" si="104"/>
        <v>1</v>
      </c>
      <c r="AO89" s="58" t="str">
        <f t="shared" si="105"/>
        <v>114</v>
      </c>
      <c r="AP89" s="58" t="str">
        <f t="shared" si="106"/>
        <v>164</v>
      </c>
      <c r="AQ89" s="21" t="e">
        <f t="shared" si="107"/>
        <v>#NUM!</v>
      </c>
      <c r="AR89" s="21" t="e">
        <f t="shared" si="108"/>
        <v>#NUM!</v>
      </c>
      <c r="AS89" s="136" t="e">
        <f t="shared" si="124"/>
        <v>#NUM!</v>
      </c>
      <c r="AT89" s="59" t="e">
        <f t="shared" si="109"/>
        <v>#NUM!</v>
      </c>
      <c r="AU89" s="21" t="e">
        <f t="shared" si="125"/>
        <v>#NUM!</v>
      </c>
      <c r="AV89" s="58">
        <f t="shared" si="110"/>
        <v>1500</v>
      </c>
      <c r="AW89" s="58">
        <f t="shared" si="111"/>
        <v>600</v>
      </c>
      <c r="AX89" s="60">
        <f t="shared" si="112"/>
        <v>0.11</v>
      </c>
      <c r="AY89" s="212">
        <f t="shared" si="126"/>
        <v>0</v>
      </c>
      <c r="AZ89" s="59">
        <f t="shared" si="113"/>
        <v>0</v>
      </c>
      <c r="BA89" s="21" t="e">
        <f t="shared" si="127"/>
        <v>#DIV/0!</v>
      </c>
      <c r="BB89" s="58">
        <f t="shared" si="114"/>
        <v>2900</v>
      </c>
      <c r="BC89" s="58">
        <f t="shared" si="115"/>
        <v>1160</v>
      </c>
      <c r="BD89" s="60">
        <f t="shared" si="116"/>
        <v>0.15</v>
      </c>
      <c r="BE89" s="212" t="e">
        <f t="shared" si="128"/>
        <v>#NUM!</v>
      </c>
      <c r="BF89" s="59" t="e">
        <f t="shared" si="117"/>
        <v>#NUM!</v>
      </c>
      <c r="BG89" s="21" t="e">
        <f t="shared" si="129"/>
        <v>#NUM!</v>
      </c>
      <c r="BH89" s="55">
        <f t="shared" ca="1" si="118"/>
        <v>0</v>
      </c>
    </row>
    <row r="90" spans="1:60" x14ac:dyDescent="0.2">
      <c r="A90" s="61">
        <f ca="1">RANK(W90,W$12:W$311,0)+COUNTIF(W$12:W90,W90)-1</f>
        <v>222</v>
      </c>
      <c r="B90" s="55">
        <f>'Etape 1'!A86</f>
        <v>79</v>
      </c>
      <c r="C90" s="55">
        <f>'Etape 1'!B86</f>
        <v>0</v>
      </c>
      <c r="D90" s="55">
        <f>'Etape 1'!C86</f>
        <v>0</v>
      </c>
      <c r="E90" s="55">
        <f>'Etape 1'!D86</f>
        <v>0</v>
      </c>
      <c r="F90" s="55">
        <f>'Etape 1'!E86</f>
        <v>0</v>
      </c>
      <c r="G90" s="55">
        <f>'Etape 1'!F86</f>
        <v>0</v>
      </c>
      <c r="H90" s="55">
        <f>'Etape 1'!G86</f>
        <v>0</v>
      </c>
      <c r="I90" s="209">
        <v>1</v>
      </c>
      <c r="J90" s="58">
        <f t="shared" si="130"/>
        <v>0</v>
      </c>
      <c r="K90" s="21">
        <f t="shared" si="83"/>
        <v>0</v>
      </c>
      <c r="L90" s="21">
        <f t="shared" si="84"/>
        <v>0</v>
      </c>
      <c r="M90" s="21">
        <f t="shared" ca="1" si="85"/>
        <v>3</v>
      </c>
      <c r="N90" s="21">
        <f t="shared" ca="1" si="86"/>
        <v>3</v>
      </c>
      <c r="O90" s="21">
        <f t="shared" ca="1" si="87"/>
        <v>0</v>
      </c>
      <c r="P90" s="262" t="str">
        <f>IF('Etape 1'!J86=999,"",IF('Etape 1'!J86=9999,txt_Schritt1.Angaben.fehlen,VLOOKUP(N90,Matrix_1.2.3.Test.Punkte.ID.Beurteilung,4,1)))</f>
        <v/>
      </c>
      <c r="Q90" s="21">
        <f t="shared" ca="1" si="131"/>
        <v>0</v>
      </c>
      <c r="R90" s="136">
        <f t="shared" si="119"/>
        <v>79</v>
      </c>
      <c r="S90" s="136">
        <f t="shared" ca="1" si="88"/>
        <v>162.26245847176079</v>
      </c>
      <c r="T90" s="136">
        <f t="shared" ca="1" si="120"/>
        <v>750.26245847176085</v>
      </c>
      <c r="U90" s="136">
        <f t="shared" ca="1" si="121"/>
        <v>1224000.2624584718</v>
      </c>
      <c r="V90" s="211">
        <f t="shared" ca="1" si="122"/>
        <v>235406.45450279117</v>
      </c>
      <c r="W90" s="136">
        <f t="shared" ca="1" si="89"/>
        <v>79</v>
      </c>
      <c r="X90" s="136">
        <f t="shared" ca="1" si="90"/>
        <v>162.999000999001</v>
      </c>
      <c r="Y90" s="21">
        <f t="shared" si="91"/>
        <v>1</v>
      </c>
      <c r="Z90" s="21" t="str">
        <f t="shared" si="92"/>
        <v>&lt;IE0</v>
      </c>
      <c r="AA90" s="21">
        <f t="shared" si="93"/>
        <v>1</v>
      </c>
      <c r="AB90" s="21" t="str">
        <f t="shared" si="94"/>
        <v>a - "&lt; 1990 (Eff3)"</v>
      </c>
      <c r="AC90" s="21">
        <f t="shared" si="95"/>
        <v>999999</v>
      </c>
      <c r="AD90" s="21" t="str">
        <f t="shared" si="96"/>
        <v/>
      </c>
      <c r="AE90" s="21" t="str">
        <f t="shared" si="97"/>
        <v/>
      </c>
      <c r="AF90" s="21" t="str">
        <f t="shared" si="98"/>
        <v/>
      </c>
      <c r="AG90" s="21">
        <f t="shared" si="99"/>
        <v>0</v>
      </c>
      <c r="AH90" s="21">
        <f>IF('Etape 1'!H86=St.Wert_Hacken,1,0)</f>
        <v>0</v>
      </c>
      <c r="AI90" s="21">
        <f t="shared" si="123"/>
        <v>0</v>
      </c>
      <c r="AJ90" s="21">
        <f t="shared" si="100"/>
        <v>1000999</v>
      </c>
      <c r="AK90" s="58">
        <f t="shared" si="101"/>
        <v>1100</v>
      </c>
      <c r="AL90" s="58">
        <f t="shared" si="102"/>
        <v>440</v>
      </c>
      <c r="AM90" s="21">
        <f t="shared" si="103"/>
        <v>0</v>
      </c>
      <c r="AN90" s="58">
        <f t="shared" si="104"/>
        <v>1</v>
      </c>
      <c r="AO90" s="58" t="str">
        <f t="shared" si="105"/>
        <v>114</v>
      </c>
      <c r="AP90" s="58" t="str">
        <f t="shared" si="106"/>
        <v>164</v>
      </c>
      <c r="AQ90" s="21" t="e">
        <f t="shared" si="107"/>
        <v>#NUM!</v>
      </c>
      <c r="AR90" s="21" t="e">
        <f t="shared" si="108"/>
        <v>#NUM!</v>
      </c>
      <c r="AS90" s="136" t="e">
        <f t="shared" si="124"/>
        <v>#NUM!</v>
      </c>
      <c r="AT90" s="59" t="e">
        <f t="shared" si="109"/>
        <v>#NUM!</v>
      </c>
      <c r="AU90" s="21" t="e">
        <f t="shared" si="125"/>
        <v>#NUM!</v>
      </c>
      <c r="AV90" s="58">
        <f t="shared" si="110"/>
        <v>1500</v>
      </c>
      <c r="AW90" s="58">
        <f t="shared" si="111"/>
        <v>600</v>
      </c>
      <c r="AX90" s="60">
        <f t="shared" si="112"/>
        <v>0.11</v>
      </c>
      <c r="AY90" s="212">
        <f t="shared" si="126"/>
        <v>0</v>
      </c>
      <c r="AZ90" s="59">
        <f t="shared" si="113"/>
        <v>0</v>
      </c>
      <c r="BA90" s="21" t="e">
        <f t="shared" si="127"/>
        <v>#DIV/0!</v>
      </c>
      <c r="BB90" s="58">
        <f t="shared" si="114"/>
        <v>2900</v>
      </c>
      <c r="BC90" s="58">
        <f t="shared" si="115"/>
        <v>1160</v>
      </c>
      <c r="BD90" s="60">
        <f t="shared" si="116"/>
        <v>0.15</v>
      </c>
      <c r="BE90" s="212" t="e">
        <f t="shared" si="128"/>
        <v>#NUM!</v>
      </c>
      <c r="BF90" s="59" t="e">
        <f t="shared" si="117"/>
        <v>#NUM!</v>
      </c>
      <c r="BG90" s="21" t="e">
        <f t="shared" si="129"/>
        <v>#NUM!</v>
      </c>
      <c r="BH90" s="55">
        <f t="shared" ca="1" si="118"/>
        <v>0</v>
      </c>
    </row>
    <row r="91" spans="1:60" x14ac:dyDescent="0.2">
      <c r="A91" s="61">
        <f ca="1">RANK(W91,W$12:W$311,0)+COUNTIF(W$12:W91,W91)-1</f>
        <v>221</v>
      </c>
      <c r="B91" s="55">
        <f>'Etape 1'!A87</f>
        <v>80</v>
      </c>
      <c r="C91" s="55">
        <f>'Etape 1'!B87</f>
        <v>0</v>
      </c>
      <c r="D91" s="55">
        <f>'Etape 1'!C87</f>
        <v>0</v>
      </c>
      <c r="E91" s="55">
        <f>'Etape 1'!D87</f>
        <v>0</v>
      </c>
      <c r="F91" s="55">
        <f>'Etape 1'!E87</f>
        <v>0</v>
      </c>
      <c r="G91" s="55">
        <f>'Etape 1'!F87</f>
        <v>0</v>
      </c>
      <c r="H91" s="55">
        <f>'Etape 1'!G87</f>
        <v>0</v>
      </c>
      <c r="I91" s="209">
        <v>1</v>
      </c>
      <c r="J91" s="58">
        <f t="shared" si="130"/>
        <v>0</v>
      </c>
      <c r="K91" s="21">
        <f t="shared" si="83"/>
        <v>0</v>
      </c>
      <c r="L91" s="21">
        <f t="shared" si="84"/>
        <v>0</v>
      </c>
      <c r="M91" s="21">
        <f t="shared" ca="1" si="85"/>
        <v>3</v>
      </c>
      <c r="N91" s="21">
        <f t="shared" ca="1" si="86"/>
        <v>3</v>
      </c>
      <c r="O91" s="21">
        <f t="shared" ca="1" si="87"/>
        <v>0</v>
      </c>
      <c r="P91" s="262" t="str">
        <f>IF('Etape 1'!J87=999,"",IF('Etape 1'!J87=9999,txt_Schritt1.Angaben.fehlen,VLOOKUP(N91,Matrix_1.2.3.Test.Punkte.ID.Beurteilung,4,1)))</f>
        <v/>
      </c>
      <c r="Q91" s="21">
        <f t="shared" ca="1" si="131"/>
        <v>0</v>
      </c>
      <c r="R91" s="136">
        <f t="shared" si="119"/>
        <v>80</v>
      </c>
      <c r="S91" s="136">
        <f t="shared" ca="1" si="88"/>
        <v>162.26578073089701</v>
      </c>
      <c r="T91" s="136">
        <f t="shared" ca="1" si="120"/>
        <v>750.26578073089706</v>
      </c>
      <c r="U91" s="136">
        <f t="shared" ca="1" si="121"/>
        <v>1224000.2657807309</v>
      </c>
      <c r="V91" s="211">
        <f t="shared" ca="1" si="122"/>
        <v>235406.45782505031</v>
      </c>
      <c r="W91" s="136">
        <f t="shared" ca="1" si="89"/>
        <v>80</v>
      </c>
      <c r="X91" s="136">
        <f t="shared" ca="1" si="90"/>
        <v>162.999000999001</v>
      </c>
      <c r="Y91" s="21">
        <f t="shared" si="91"/>
        <v>1</v>
      </c>
      <c r="Z91" s="21" t="str">
        <f t="shared" si="92"/>
        <v>&lt;IE0</v>
      </c>
      <c r="AA91" s="21">
        <f t="shared" si="93"/>
        <v>1</v>
      </c>
      <c r="AB91" s="21" t="str">
        <f t="shared" si="94"/>
        <v>a - "&lt; 1990 (Eff3)"</v>
      </c>
      <c r="AC91" s="21">
        <f t="shared" si="95"/>
        <v>999999</v>
      </c>
      <c r="AD91" s="21" t="str">
        <f t="shared" si="96"/>
        <v/>
      </c>
      <c r="AE91" s="21" t="str">
        <f t="shared" si="97"/>
        <v/>
      </c>
      <c r="AF91" s="21" t="str">
        <f t="shared" si="98"/>
        <v/>
      </c>
      <c r="AG91" s="21">
        <f t="shared" si="99"/>
        <v>0</v>
      </c>
      <c r="AH91" s="21">
        <f>IF('Etape 1'!H87=St.Wert_Hacken,1,0)</f>
        <v>0</v>
      </c>
      <c r="AI91" s="21">
        <f t="shared" si="123"/>
        <v>0</v>
      </c>
      <c r="AJ91" s="21">
        <f t="shared" si="100"/>
        <v>1000999</v>
      </c>
      <c r="AK91" s="58">
        <f t="shared" si="101"/>
        <v>1100</v>
      </c>
      <c r="AL91" s="58">
        <f t="shared" si="102"/>
        <v>440</v>
      </c>
      <c r="AM91" s="21">
        <f t="shared" si="103"/>
        <v>0</v>
      </c>
      <c r="AN91" s="58">
        <f t="shared" si="104"/>
        <v>1</v>
      </c>
      <c r="AO91" s="58" t="str">
        <f t="shared" si="105"/>
        <v>114</v>
      </c>
      <c r="AP91" s="58" t="str">
        <f t="shared" si="106"/>
        <v>164</v>
      </c>
      <c r="AQ91" s="21" t="e">
        <f t="shared" si="107"/>
        <v>#NUM!</v>
      </c>
      <c r="AR91" s="21" t="e">
        <f t="shared" si="108"/>
        <v>#NUM!</v>
      </c>
      <c r="AS91" s="136" t="e">
        <f t="shared" si="124"/>
        <v>#NUM!</v>
      </c>
      <c r="AT91" s="59" t="e">
        <f t="shared" si="109"/>
        <v>#NUM!</v>
      </c>
      <c r="AU91" s="21" t="e">
        <f t="shared" si="125"/>
        <v>#NUM!</v>
      </c>
      <c r="AV91" s="58">
        <f t="shared" si="110"/>
        <v>1500</v>
      </c>
      <c r="AW91" s="58">
        <f t="shared" si="111"/>
        <v>600</v>
      </c>
      <c r="AX91" s="60">
        <f t="shared" si="112"/>
        <v>0.11</v>
      </c>
      <c r="AY91" s="212">
        <f t="shared" si="126"/>
        <v>0</v>
      </c>
      <c r="AZ91" s="59">
        <f t="shared" si="113"/>
        <v>0</v>
      </c>
      <c r="BA91" s="21" t="e">
        <f t="shared" si="127"/>
        <v>#DIV/0!</v>
      </c>
      <c r="BB91" s="58">
        <f t="shared" si="114"/>
        <v>2900</v>
      </c>
      <c r="BC91" s="58">
        <f t="shared" si="115"/>
        <v>1160</v>
      </c>
      <c r="BD91" s="60">
        <f t="shared" si="116"/>
        <v>0.15</v>
      </c>
      <c r="BE91" s="212" t="e">
        <f t="shared" si="128"/>
        <v>#NUM!</v>
      </c>
      <c r="BF91" s="59" t="e">
        <f t="shared" si="117"/>
        <v>#NUM!</v>
      </c>
      <c r="BG91" s="21" t="e">
        <f t="shared" si="129"/>
        <v>#NUM!</v>
      </c>
      <c r="BH91" s="55">
        <f t="shared" ca="1" si="118"/>
        <v>0</v>
      </c>
    </row>
    <row r="92" spans="1:60" x14ac:dyDescent="0.2">
      <c r="A92" s="61">
        <f ca="1">RANK(W92,W$12:W$311,0)+COUNTIF(W$12:W92,W92)-1</f>
        <v>220</v>
      </c>
      <c r="B92" s="55">
        <f>'Etape 1'!A88</f>
        <v>81</v>
      </c>
      <c r="C92" s="55">
        <f>'Etape 1'!B88</f>
        <v>0</v>
      </c>
      <c r="D92" s="55">
        <f>'Etape 1'!C88</f>
        <v>0</v>
      </c>
      <c r="E92" s="55">
        <f>'Etape 1'!D88</f>
        <v>0</v>
      </c>
      <c r="F92" s="55">
        <f>'Etape 1'!E88</f>
        <v>0</v>
      </c>
      <c r="G92" s="55">
        <f>'Etape 1'!F88</f>
        <v>0</v>
      </c>
      <c r="H92" s="55">
        <f>'Etape 1'!G88</f>
        <v>0</v>
      </c>
      <c r="I92" s="209">
        <v>1</v>
      </c>
      <c r="J92" s="58">
        <f t="shared" si="130"/>
        <v>0</v>
      </c>
      <c r="K92" s="21">
        <f t="shared" si="83"/>
        <v>0</v>
      </c>
      <c r="L92" s="21">
        <f t="shared" si="84"/>
        <v>0</v>
      </c>
      <c r="M92" s="21">
        <f t="shared" ca="1" si="85"/>
        <v>3</v>
      </c>
      <c r="N92" s="21">
        <f t="shared" ca="1" si="86"/>
        <v>3</v>
      </c>
      <c r="O92" s="21">
        <f t="shared" ca="1" si="87"/>
        <v>0</v>
      </c>
      <c r="P92" s="262" t="str">
        <f>IF('Etape 1'!J88=999,"",IF('Etape 1'!J88=9999,txt_Schritt1.Angaben.fehlen,VLOOKUP(N92,Matrix_1.2.3.Test.Punkte.ID.Beurteilung,4,1)))</f>
        <v/>
      </c>
      <c r="Q92" s="21">
        <f t="shared" ca="1" si="131"/>
        <v>0</v>
      </c>
      <c r="R92" s="136">
        <f t="shared" si="119"/>
        <v>81</v>
      </c>
      <c r="S92" s="136">
        <f t="shared" ca="1" si="88"/>
        <v>162.26910299003322</v>
      </c>
      <c r="T92" s="136">
        <f t="shared" ca="1" si="120"/>
        <v>750.26910299003328</v>
      </c>
      <c r="U92" s="136">
        <f t="shared" ca="1" si="121"/>
        <v>1224000.2691029899</v>
      </c>
      <c r="V92" s="211">
        <f t="shared" ca="1" si="122"/>
        <v>235406.46114730946</v>
      </c>
      <c r="W92" s="136">
        <f t="shared" ca="1" si="89"/>
        <v>81</v>
      </c>
      <c r="X92" s="136">
        <f t="shared" ca="1" si="90"/>
        <v>162.999000999001</v>
      </c>
      <c r="Y92" s="21">
        <f t="shared" si="91"/>
        <v>1</v>
      </c>
      <c r="Z92" s="21" t="str">
        <f t="shared" si="92"/>
        <v>&lt;IE0</v>
      </c>
      <c r="AA92" s="21">
        <f t="shared" si="93"/>
        <v>1</v>
      </c>
      <c r="AB92" s="21" t="str">
        <f t="shared" si="94"/>
        <v>a - "&lt; 1990 (Eff3)"</v>
      </c>
      <c r="AC92" s="21">
        <f t="shared" si="95"/>
        <v>999999</v>
      </c>
      <c r="AD92" s="21" t="str">
        <f t="shared" si="96"/>
        <v/>
      </c>
      <c r="AE92" s="21" t="str">
        <f t="shared" si="97"/>
        <v/>
      </c>
      <c r="AF92" s="21" t="str">
        <f t="shared" si="98"/>
        <v/>
      </c>
      <c r="AG92" s="21">
        <f t="shared" si="99"/>
        <v>0</v>
      </c>
      <c r="AH92" s="21">
        <f>IF('Etape 1'!H88=St.Wert_Hacken,1,0)</f>
        <v>0</v>
      </c>
      <c r="AI92" s="21">
        <f t="shared" si="123"/>
        <v>0</v>
      </c>
      <c r="AJ92" s="21">
        <f t="shared" si="100"/>
        <v>1000999</v>
      </c>
      <c r="AK92" s="58">
        <f t="shared" si="101"/>
        <v>1100</v>
      </c>
      <c r="AL92" s="58">
        <f t="shared" si="102"/>
        <v>440</v>
      </c>
      <c r="AM92" s="21">
        <f t="shared" si="103"/>
        <v>0</v>
      </c>
      <c r="AN92" s="58">
        <f t="shared" si="104"/>
        <v>1</v>
      </c>
      <c r="AO92" s="58" t="str">
        <f t="shared" si="105"/>
        <v>114</v>
      </c>
      <c r="AP92" s="58" t="str">
        <f t="shared" si="106"/>
        <v>164</v>
      </c>
      <c r="AQ92" s="21" t="e">
        <f t="shared" si="107"/>
        <v>#NUM!</v>
      </c>
      <c r="AR92" s="21" t="e">
        <f t="shared" si="108"/>
        <v>#NUM!</v>
      </c>
      <c r="AS92" s="136" t="e">
        <f t="shared" si="124"/>
        <v>#NUM!</v>
      </c>
      <c r="AT92" s="59" t="e">
        <f t="shared" si="109"/>
        <v>#NUM!</v>
      </c>
      <c r="AU92" s="21" t="e">
        <f t="shared" si="125"/>
        <v>#NUM!</v>
      </c>
      <c r="AV92" s="58">
        <f t="shared" si="110"/>
        <v>1500</v>
      </c>
      <c r="AW92" s="58">
        <f t="shared" si="111"/>
        <v>600</v>
      </c>
      <c r="AX92" s="60">
        <f t="shared" si="112"/>
        <v>0.11</v>
      </c>
      <c r="AY92" s="212">
        <f t="shared" si="126"/>
        <v>0</v>
      </c>
      <c r="AZ92" s="59">
        <f t="shared" si="113"/>
        <v>0</v>
      </c>
      <c r="BA92" s="21" t="e">
        <f t="shared" si="127"/>
        <v>#DIV/0!</v>
      </c>
      <c r="BB92" s="58">
        <f t="shared" si="114"/>
        <v>2900</v>
      </c>
      <c r="BC92" s="58">
        <f t="shared" si="115"/>
        <v>1160</v>
      </c>
      <c r="BD92" s="60">
        <f t="shared" si="116"/>
        <v>0.15</v>
      </c>
      <c r="BE92" s="212" t="e">
        <f t="shared" si="128"/>
        <v>#NUM!</v>
      </c>
      <c r="BF92" s="59" t="e">
        <f t="shared" si="117"/>
        <v>#NUM!</v>
      </c>
      <c r="BG92" s="21" t="e">
        <f t="shared" si="129"/>
        <v>#NUM!</v>
      </c>
      <c r="BH92" s="55">
        <f t="shared" ca="1" si="118"/>
        <v>0</v>
      </c>
    </row>
    <row r="93" spans="1:60" x14ac:dyDescent="0.2">
      <c r="A93" s="61">
        <f ca="1">RANK(W93,W$12:W$311,0)+COUNTIF(W$12:W93,W93)-1</f>
        <v>219</v>
      </c>
      <c r="B93" s="55">
        <f>'Etape 1'!A89</f>
        <v>82</v>
      </c>
      <c r="C93" s="55">
        <f>'Etape 1'!B89</f>
        <v>0</v>
      </c>
      <c r="D93" s="55">
        <f>'Etape 1'!C89</f>
        <v>0</v>
      </c>
      <c r="E93" s="55">
        <f>'Etape 1'!D89</f>
        <v>0</v>
      </c>
      <c r="F93" s="55">
        <f>'Etape 1'!E89</f>
        <v>0</v>
      </c>
      <c r="G93" s="55">
        <f>'Etape 1'!F89</f>
        <v>0</v>
      </c>
      <c r="H93" s="55">
        <f>'Etape 1'!G89</f>
        <v>0</v>
      </c>
      <c r="I93" s="209">
        <v>1</v>
      </c>
      <c r="J93" s="58">
        <f t="shared" si="130"/>
        <v>0</v>
      </c>
      <c r="K93" s="21">
        <f t="shared" si="83"/>
        <v>0</v>
      </c>
      <c r="L93" s="21">
        <f t="shared" si="84"/>
        <v>0</v>
      </c>
      <c r="M93" s="21">
        <f t="shared" ca="1" si="85"/>
        <v>3</v>
      </c>
      <c r="N93" s="21">
        <f t="shared" ca="1" si="86"/>
        <v>3</v>
      </c>
      <c r="O93" s="21">
        <f t="shared" ca="1" si="87"/>
        <v>0</v>
      </c>
      <c r="P93" s="262" t="str">
        <f>IF('Etape 1'!J89=999,"",IF('Etape 1'!J89=9999,txt_Schritt1.Angaben.fehlen,VLOOKUP(N93,Matrix_1.2.3.Test.Punkte.ID.Beurteilung,4,1)))</f>
        <v/>
      </c>
      <c r="Q93" s="21">
        <f t="shared" ca="1" si="131"/>
        <v>0</v>
      </c>
      <c r="R93" s="136">
        <f t="shared" si="119"/>
        <v>82</v>
      </c>
      <c r="S93" s="136">
        <f t="shared" ca="1" si="88"/>
        <v>162.27242524916943</v>
      </c>
      <c r="T93" s="136">
        <f t="shared" ca="1" si="120"/>
        <v>750.27242524916949</v>
      </c>
      <c r="U93" s="136">
        <f t="shared" ca="1" si="121"/>
        <v>1224000.2724252492</v>
      </c>
      <c r="V93" s="211">
        <f t="shared" ca="1" si="122"/>
        <v>235406.46446956857</v>
      </c>
      <c r="W93" s="136">
        <f t="shared" ca="1" si="89"/>
        <v>82</v>
      </c>
      <c r="X93" s="136">
        <f t="shared" ca="1" si="90"/>
        <v>162.999000999001</v>
      </c>
      <c r="Y93" s="21">
        <f t="shared" si="91"/>
        <v>1</v>
      </c>
      <c r="Z93" s="21" t="str">
        <f t="shared" si="92"/>
        <v>&lt;IE0</v>
      </c>
      <c r="AA93" s="21">
        <f t="shared" si="93"/>
        <v>1</v>
      </c>
      <c r="AB93" s="21" t="str">
        <f t="shared" si="94"/>
        <v>a - "&lt; 1990 (Eff3)"</v>
      </c>
      <c r="AC93" s="21">
        <f t="shared" si="95"/>
        <v>999999</v>
      </c>
      <c r="AD93" s="21" t="str">
        <f t="shared" si="96"/>
        <v/>
      </c>
      <c r="AE93" s="21" t="str">
        <f t="shared" si="97"/>
        <v/>
      </c>
      <c r="AF93" s="21" t="str">
        <f t="shared" si="98"/>
        <v/>
      </c>
      <c r="AG93" s="21">
        <f t="shared" si="99"/>
        <v>0</v>
      </c>
      <c r="AH93" s="21">
        <f>IF('Etape 1'!H89=St.Wert_Hacken,1,0)</f>
        <v>0</v>
      </c>
      <c r="AI93" s="21">
        <f t="shared" si="123"/>
        <v>0</v>
      </c>
      <c r="AJ93" s="21">
        <f t="shared" si="100"/>
        <v>1000999</v>
      </c>
      <c r="AK93" s="58">
        <f t="shared" si="101"/>
        <v>1100</v>
      </c>
      <c r="AL93" s="58">
        <f t="shared" si="102"/>
        <v>440</v>
      </c>
      <c r="AM93" s="21">
        <f t="shared" si="103"/>
        <v>0</v>
      </c>
      <c r="AN93" s="58">
        <f t="shared" si="104"/>
        <v>1</v>
      </c>
      <c r="AO93" s="58" t="str">
        <f t="shared" si="105"/>
        <v>114</v>
      </c>
      <c r="AP93" s="58" t="str">
        <f t="shared" si="106"/>
        <v>164</v>
      </c>
      <c r="AQ93" s="21" t="e">
        <f t="shared" si="107"/>
        <v>#NUM!</v>
      </c>
      <c r="AR93" s="21" t="e">
        <f t="shared" si="108"/>
        <v>#NUM!</v>
      </c>
      <c r="AS93" s="136" t="e">
        <f t="shared" si="124"/>
        <v>#NUM!</v>
      </c>
      <c r="AT93" s="59" t="e">
        <f t="shared" si="109"/>
        <v>#NUM!</v>
      </c>
      <c r="AU93" s="21" t="e">
        <f t="shared" si="125"/>
        <v>#NUM!</v>
      </c>
      <c r="AV93" s="58">
        <f t="shared" si="110"/>
        <v>1500</v>
      </c>
      <c r="AW93" s="58">
        <f t="shared" si="111"/>
        <v>600</v>
      </c>
      <c r="AX93" s="60">
        <f t="shared" si="112"/>
        <v>0.11</v>
      </c>
      <c r="AY93" s="212">
        <f t="shared" si="126"/>
        <v>0</v>
      </c>
      <c r="AZ93" s="59">
        <f t="shared" si="113"/>
        <v>0</v>
      </c>
      <c r="BA93" s="21" t="e">
        <f t="shared" si="127"/>
        <v>#DIV/0!</v>
      </c>
      <c r="BB93" s="58">
        <f t="shared" si="114"/>
        <v>2900</v>
      </c>
      <c r="BC93" s="58">
        <f t="shared" si="115"/>
        <v>1160</v>
      </c>
      <c r="BD93" s="60">
        <f t="shared" si="116"/>
        <v>0.15</v>
      </c>
      <c r="BE93" s="212" t="e">
        <f t="shared" si="128"/>
        <v>#NUM!</v>
      </c>
      <c r="BF93" s="59" t="e">
        <f t="shared" si="117"/>
        <v>#NUM!</v>
      </c>
      <c r="BG93" s="21" t="e">
        <f t="shared" si="129"/>
        <v>#NUM!</v>
      </c>
      <c r="BH93" s="55">
        <f t="shared" ca="1" si="118"/>
        <v>0</v>
      </c>
    </row>
    <row r="94" spans="1:60" x14ac:dyDescent="0.2">
      <c r="A94" s="61">
        <f ca="1">RANK(W94,W$12:W$311,0)+COUNTIF(W$12:W94,W94)-1</f>
        <v>218</v>
      </c>
      <c r="B94" s="55">
        <f>'Etape 1'!A90</f>
        <v>83</v>
      </c>
      <c r="C94" s="55">
        <f>'Etape 1'!B90</f>
        <v>0</v>
      </c>
      <c r="D94" s="55">
        <f>'Etape 1'!C90</f>
        <v>0</v>
      </c>
      <c r="E94" s="55">
        <f>'Etape 1'!D90</f>
        <v>0</v>
      </c>
      <c r="F94" s="55">
        <f>'Etape 1'!E90</f>
        <v>0</v>
      </c>
      <c r="G94" s="55">
        <f>'Etape 1'!F90</f>
        <v>0</v>
      </c>
      <c r="H94" s="55">
        <f>'Etape 1'!G90</f>
        <v>0</v>
      </c>
      <c r="I94" s="209">
        <v>1</v>
      </c>
      <c r="J94" s="58">
        <f t="shared" si="130"/>
        <v>0</v>
      </c>
      <c r="K94" s="21">
        <f t="shared" si="83"/>
        <v>0</v>
      </c>
      <c r="L94" s="21">
        <f t="shared" si="84"/>
        <v>0</v>
      </c>
      <c r="M94" s="21">
        <f t="shared" ca="1" si="85"/>
        <v>3</v>
      </c>
      <c r="N94" s="21">
        <f t="shared" ca="1" si="86"/>
        <v>3</v>
      </c>
      <c r="O94" s="21">
        <f t="shared" ca="1" si="87"/>
        <v>0</v>
      </c>
      <c r="P94" s="262" t="str">
        <f>IF('Etape 1'!J90=999,"",IF('Etape 1'!J90=9999,txt_Schritt1.Angaben.fehlen,VLOOKUP(N94,Matrix_1.2.3.Test.Punkte.ID.Beurteilung,4,1)))</f>
        <v/>
      </c>
      <c r="Q94" s="21">
        <f t="shared" ca="1" si="131"/>
        <v>0</v>
      </c>
      <c r="R94" s="136">
        <f t="shared" si="119"/>
        <v>83</v>
      </c>
      <c r="S94" s="136">
        <f t="shared" ca="1" si="88"/>
        <v>162.27574750830564</v>
      </c>
      <c r="T94" s="136">
        <f t="shared" ca="1" si="120"/>
        <v>750.2757475083057</v>
      </c>
      <c r="U94" s="136">
        <f t="shared" ca="1" si="121"/>
        <v>1224000.2757475083</v>
      </c>
      <c r="V94" s="211">
        <f t="shared" ca="1" si="122"/>
        <v>235406.46779182772</v>
      </c>
      <c r="W94" s="136">
        <f t="shared" ca="1" si="89"/>
        <v>83</v>
      </c>
      <c r="X94" s="136">
        <f t="shared" ca="1" si="90"/>
        <v>162.999000999001</v>
      </c>
      <c r="Y94" s="21">
        <f t="shared" si="91"/>
        <v>1</v>
      </c>
      <c r="Z94" s="21" t="str">
        <f t="shared" si="92"/>
        <v>&lt;IE0</v>
      </c>
      <c r="AA94" s="21">
        <f t="shared" si="93"/>
        <v>1</v>
      </c>
      <c r="AB94" s="21" t="str">
        <f t="shared" si="94"/>
        <v>a - "&lt; 1990 (Eff3)"</v>
      </c>
      <c r="AC94" s="21">
        <f t="shared" si="95"/>
        <v>999999</v>
      </c>
      <c r="AD94" s="21" t="str">
        <f t="shared" si="96"/>
        <v/>
      </c>
      <c r="AE94" s="21" t="str">
        <f t="shared" si="97"/>
        <v/>
      </c>
      <c r="AF94" s="21" t="str">
        <f t="shared" si="98"/>
        <v/>
      </c>
      <c r="AG94" s="21">
        <f t="shared" si="99"/>
        <v>0</v>
      </c>
      <c r="AH94" s="21">
        <f>IF('Etape 1'!H90=St.Wert_Hacken,1,0)</f>
        <v>0</v>
      </c>
      <c r="AI94" s="21">
        <f t="shared" si="123"/>
        <v>0</v>
      </c>
      <c r="AJ94" s="21">
        <f t="shared" si="100"/>
        <v>1000999</v>
      </c>
      <c r="AK94" s="58">
        <f t="shared" si="101"/>
        <v>1100</v>
      </c>
      <c r="AL94" s="58">
        <f t="shared" si="102"/>
        <v>440</v>
      </c>
      <c r="AM94" s="21">
        <f t="shared" si="103"/>
        <v>0</v>
      </c>
      <c r="AN94" s="58">
        <f t="shared" si="104"/>
        <v>1</v>
      </c>
      <c r="AO94" s="58" t="str">
        <f t="shared" si="105"/>
        <v>114</v>
      </c>
      <c r="AP94" s="58" t="str">
        <f t="shared" si="106"/>
        <v>164</v>
      </c>
      <c r="AQ94" s="21" t="e">
        <f t="shared" si="107"/>
        <v>#NUM!</v>
      </c>
      <c r="AR94" s="21" t="e">
        <f t="shared" si="108"/>
        <v>#NUM!</v>
      </c>
      <c r="AS94" s="136" t="e">
        <f t="shared" si="124"/>
        <v>#NUM!</v>
      </c>
      <c r="AT94" s="59" t="e">
        <f t="shared" si="109"/>
        <v>#NUM!</v>
      </c>
      <c r="AU94" s="21" t="e">
        <f t="shared" si="125"/>
        <v>#NUM!</v>
      </c>
      <c r="AV94" s="58">
        <f t="shared" si="110"/>
        <v>1500</v>
      </c>
      <c r="AW94" s="58">
        <f t="shared" si="111"/>
        <v>600</v>
      </c>
      <c r="AX94" s="60">
        <f t="shared" si="112"/>
        <v>0.11</v>
      </c>
      <c r="AY94" s="212">
        <f t="shared" si="126"/>
        <v>0</v>
      </c>
      <c r="AZ94" s="59">
        <f t="shared" si="113"/>
        <v>0</v>
      </c>
      <c r="BA94" s="21" t="e">
        <f t="shared" si="127"/>
        <v>#DIV/0!</v>
      </c>
      <c r="BB94" s="58">
        <f t="shared" si="114"/>
        <v>2900</v>
      </c>
      <c r="BC94" s="58">
        <f t="shared" si="115"/>
        <v>1160</v>
      </c>
      <c r="BD94" s="60">
        <f t="shared" si="116"/>
        <v>0.15</v>
      </c>
      <c r="BE94" s="212" t="e">
        <f t="shared" si="128"/>
        <v>#NUM!</v>
      </c>
      <c r="BF94" s="59" t="e">
        <f t="shared" si="117"/>
        <v>#NUM!</v>
      </c>
      <c r="BG94" s="21" t="e">
        <f t="shared" si="129"/>
        <v>#NUM!</v>
      </c>
      <c r="BH94" s="55">
        <f t="shared" ca="1" si="118"/>
        <v>0</v>
      </c>
    </row>
    <row r="95" spans="1:60" x14ac:dyDescent="0.2">
      <c r="A95" s="61">
        <f ca="1">RANK(W95,W$12:W$311,0)+COUNTIF(W$12:W95,W95)-1</f>
        <v>217</v>
      </c>
      <c r="B95" s="55">
        <f>'Etape 1'!A91</f>
        <v>84</v>
      </c>
      <c r="C95" s="55">
        <f>'Etape 1'!B91</f>
        <v>0</v>
      </c>
      <c r="D95" s="55">
        <f>'Etape 1'!C91</f>
        <v>0</v>
      </c>
      <c r="E95" s="55">
        <f>'Etape 1'!D91</f>
        <v>0</v>
      </c>
      <c r="F95" s="55">
        <f>'Etape 1'!E91</f>
        <v>0</v>
      </c>
      <c r="G95" s="55">
        <f>'Etape 1'!F91</f>
        <v>0</v>
      </c>
      <c r="H95" s="55">
        <f>'Etape 1'!G91</f>
        <v>0</v>
      </c>
      <c r="I95" s="209">
        <v>1</v>
      </c>
      <c r="J95" s="58">
        <f t="shared" si="130"/>
        <v>0</v>
      </c>
      <c r="K95" s="21">
        <f t="shared" si="83"/>
        <v>0</v>
      </c>
      <c r="L95" s="21">
        <f t="shared" si="84"/>
        <v>0</v>
      </c>
      <c r="M95" s="21">
        <f t="shared" ca="1" si="85"/>
        <v>3</v>
      </c>
      <c r="N95" s="21">
        <f t="shared" ca="1" si="86"/>
        <v>3</v>
      </c>
      <c r="O95" s="21">
        <f t="shared" ca="1" si="87"/>
        <v>0</v>
      </c>
      <c r="P95" s="262" t="str">
        <f>IF('Etape 1'!J91=999,"",IF('Etape 1'!J91=9999,txt_Schritt1.Angaben.fehlen,VLOOKUP(N95,Matrix_1.2.3.Test.Punkte.ID.Beurteilung,4,1)))</f>
        <v/>
      </c>
      <c r="Q95" s="21">
        <f t="shared" ca="1" si="131"/>
        <v>0</v>
      </c>
      <c r="R95" s="136">
        <f t="shared" si="119"/>
        <v>84</v>
      </c>
      <c r="S95" s="136">
        <f t="shared" ca="1" si="88"/>
        <v>162.27906976744185</v>
      </c>
      <c r="T95" s="136">
        <f t="shared" ca="1" si="120"/>
        <v>750.27906976744191</v>
      </c>
      <c r="U95" s="136">
        <f t="shared" ca="1" si="121"/>
        <v>1224000.2790697673</v>
      </c>
      <c r="V95" s="211">
        <f t="shared" ca="1" si="122"/>
        <v>235406.47111408686</v>
      </c>
      <c r="W95" s="136">
        <f t="shared" ca="1" si="89"/>
        <v>84</v>
      </c>
      <c r="X95" s="136">
        <f t="shared" ca="1" si="90"/>
        <v>162.999000999001</v>
      </c>
      <c r="Y95" s="21">
        <f t="shared" si="91"/>
        <v>1</v>
      </c>
      <c r="Z95" s="21" t="str">
        <f t="shared" si="92"/>
        <v>&lt;IE0</v>
      </c>
      <c r="AA95" s="21">
        <f t="shared" si="93"/>
        <v>1</v>
      </c>
      <c r="AB95" s="21" t="str">
        <f t="shared" si="94"/>
        <v>a - "&lt; 1990 (Eff3)"</v>
      </c>
      <c r="AC95" s="21">
        <f t="shared" si="95"/>
        <v>999999</v>
      </c>
      <c r="AD95" s="21" t="str">
        <f t="shared" si="96"/>
        <v/>
      </c>
      <c r="AE95" s="21" t="str">
        <f t="shared" si="97"/>
        <v/>
      </c>
      <c r="AF95" s="21" t="str">
        <f t="shared" si="98"/>
        <v/>
      </c>
      <c r="AG95" s="21">
        <f t="shared" si="99"/>
        <v>0</v>
      </c>
      <c r="AH95" s="21">
        <f>IF('Etape 1'!H91=St.Wert_Hacken,1,0)</f>
        <v>0</v>
      </c>
      <c r="AI95" s="21">
        <f t="shared" si="123"/>
        <v>0</v>
      </c>
      <c r="AJ95" s="21">
        <f t="shared" si="100"/>
        <v>1000999</v>
      </c>
      <c r="AK95" s="58">
        <f t="shared" si="101"/>
        <v>1100</v>
      </c>
      <c r="AL95" s="58">
        <f t="shared" si="102"/>
        <v>440</v>
      </c>
      <c r="AM95" s="21">
        <f t="shared" si="103"/>
        <v>0</v>
      </c>
      <c r="AN95" s="58">
        <f t="shared" si="104"/>
        <v>1</v>
      </c>
      <c r="AO95" s="58" t="str">
        <f t="shared" si="105"/>
        <v>114</v>
      </c>
      <c r="AP95" s="58" t="str">
        <f t="shared" si="106"/>
        <v>164</v>
      </c>
      <c r="AQ95" s="21" t="e">
        <f t="shared" si="107"/>
        <v>#NUM!</v>
      </c>
      <c r="AR95" s="21" t="e">
        <f t="shared" si="108"/>
        <v>#NUM!</v>
      </c>
      <c r="AS95" s="136" t="e">
        <f t="shared" si="124"/>
        <v>#NUM!</v>
      </c>
      <c r="AT95" s="59" t="e">
        <f t="shared" si="109"/>
        <v>#NUM!</v>
      </c>
      <c r="AU95" s="21" t="e">
        <f t="shared" si="125"/>
        <v>#NUM!</v>
      </c>
      <c r="AV95" s="58">
        <f t="shared" si="110"/>
        <v>1500</v>
      </c>
      <c r="AW95" s="58">
        <f t="shared" si="111"/>
        <v>600</v>
      </c>
      <c r="AX95" s="60">
        <f t="shared" si="112"/>
        <v>0.11</v>
      </c>
      <c r="AY95" s="212">
        <f t="shared" si="126"/>
        <v>0</v>
      </c>
      <c r="AZ95" s="59">
        <f t="shared" si="113"/>
        <v>0</v>
      </c>
      <c r="BA95" s="21" t="e">
        <f t="shared" si="127"/>
        <v>#DIV/0!</v>
      </c>
      <c r="BB95" s="58">
        <f t="shared" si="114"/>
        <v>2900</v>
      </c>
      <c r="BC95" s="58">
        <f t="shared" si="115"/>
        <v>1160</v>
      </c>
      <c r="BD95" s="60">
        <f t="shared" si="116"/>
        <v>0.15</v>
      </c>
      <c r="BE95" s="212" t="e">
        <f t="shared" si="128"/>
        <v>#NUM!</v>
      </c>
      <c r="BF95" s="59" t="e">
        <f t="shared" si="117"/>
        <v>#NUM!</v>
      </c>
      <c r="BG95" s="21" t="e">
        <f t="shared" si="129"/>
        <v>#NUM!</v>
      </c>
      <c r="BH95" s="55">
        <f t="shared" ca="1" si="118"/>
        <v>0</v>
      </c>
    </row>
    <row r="96" spans="1:60" x14ac:dyDescent="0.2">
      <c r="A96" s="61">
        <f ca="1">RANK(W96,W$12:W$311,0)+COUNTIF(W$12:W96,W96)-1</f>
        <v>216</v>
      </c>
      <c r="B96" s="55">
        <f>'Etape 1'!A92</f>
        <v>85</v>
      </c>
      <c r="C96" s="55">
        <f>'Etape 1'!B92</f>
        <v>0</v>
      </c>
      <c r="D96" s="55">
        <f>'Etape 1'!C92</f>
        <v>0</v>
      </c>
      <c r="E96" s="55">
        <f>'Etape 1'!D92</f>
        <v>0</v>
      </c>
      <c r="F96" s="55">
        <f>'Etape 1'!E92</f>
        <v>0</v>
      </c>
      <c r="G96" s="55">
        <f>'Etape 1'!F92</f>
        <v>0</v>
      </c>
      <c r="H96" s="55">
        <f>'Etape 1'!G92</f>
        <v>0</v>
      </c>
      <c r="I96" s="209">
        <v>1</v>
      </c>
      <c r="J96" s="58">
        <f t="shared" si="130"/>
        <v>0</v>
      </c>
      <c r="K96" s="21">
        <f t="shared" si="83"/>
        <v>0</v>
      </c>
      <c r="L96" s="21">
        <f t="shared" si="84"/>
        <v>0</v>
      </c>
      <c r="M96" s="21">
        <f t="shared" ca="1" si="85"/>
        <v>3</v>
      </c>
      <c r="N96" s="21">
        <f t="shared" ca="1" si="86"/>
        <v>3</v>
      </c>
      <c r="O96" s="21">
        <f t="shared" ca="1" si="87"/>
        <v>0</v>
      </c>
      <c r="P96" s="262" t="str">
        <f>IF('Etape 1'!J92=999,"",IF('Etape 1'!J92=9999,txt_Schritt1.Angaben.fehlen,VLOOKUP(N96,Matrix_1.2.3.Test.Punkte.ID.Beurteilung,4,1)))</f>
        <v/>
      </c>
      <c r="Q96" s="21">
        <f t="shared" ca="1" si="131"/>
        <v>0</v>
      </c>
      <c r="R96" s="136">
        <f t="shared" si="119"/>
        <v>85</v>
      </c>
      <c r="S96" s="136">
        <f t="shared" ca="1" si="88"/>
        <v>162.28239202657807</v>
      </c>
      <c r="T96" s="136">
        <f t="shared" ca="1" si="120"/>
        <v>750.28239202657812</v>
      </c>
      <c r="U96" s="136">
        <f t="shared" ca="1" si="121"/>
        <v>1224000.2823920266</v>
      </c>
      <c r="V96" s="211">
        <f t="shared" ca="1" si="122"/>
        <v>235406.47443634598</v>
      </c>
      <c r="W96" s="136">
        <f t="shared" ca="1" si="89"/>
        <v>85</v>
      </c>
      <c r="X96" s="136">
        <f t="shared" ca="1" si="90"/>
        <v>162.999000999001</v>
      </c>
      <c r="Y96" s="21">
        <f t="shared" si="91"/>
        <v>1</v>
      </c>
      <c r="Z96" s="21" t="str">
        <f t="shared" si="92"/>
        <v>&lt;IE0</v>
      </c>
      <c r="AA96" s="21">
        <f t="shared" si="93"/>
        <v>1</v>
      </c>
      <c r="AB96" s="21" t="str">
        <f t="shared" si="94"/>
        <v>a - "&lt; 1990 (Eff3)"</v>
      </c>
      <c r="AC96" s="21">
        <f t="shared" si="95"/>
        <v>999999</v>
      </c>
      <c r="AD96" s="21" t="str">
        <f t="shared" si="96"/>
        <v/>
      </c>
      <c r="AE96" s="21" t="str">
        <f t="shared" si="97"/>
        <v/>
      </c>
      <c r="AF96" s="21" t="str">
        <f t="shared" si="98"/>
        <v/>
      </c>
      <c r="AG96" s="21">
        <f t="shared" si="99"/>
        <v>0</v>
      </c>
      <c r="AH96" s="21">
        <f>IF('Etape 1'!H92=St.Wert_Hacken,1,0)</f>
        <v>0</v>
      </c>
      <c r="AI96" s="21">
        <f t="shared" si="123"/>
        <v>0</v>
      </c>
      <c r="AJ96" s="21">
        <f t="shared" si="100"/>
        <v>1000999</v>
      </c>
      <c r="AK96" s="58">
        <f t="shared" si="101"/>
        <v>1100</v>
      </c>
      <c r="AL96" s="58">
        <f t="shared" si="102"/>
        <v>440</v>
      </c>
      <c r="AM96" s="21">
        <f t="shared" si="103"/>
        <v>0</v>
      </c>
      <c r="AN96" s="58">
        <f t="shared" si="104"/>
        <v>1</v>
      </c>
      <c r="AO96" s="58" t="str">
        <f t="shared" si="105"/>
        <v>114</v>
      </c>
      <c r="AP96" s="58" t="str">
        <f t="shared" si="106"/>
        <v>164</v>
      </c>
      <c r="AQ96" s="21" t="e">
        <f t="shared" si="107"/>
        <v>#NUM!</v>
      </c>
      <c r="AR96" s="21" t="e">
        <f t="shared" si="108"/>
        <v>#NUM!</v>
      </c>
      <c r="AS96" s="136" t="e">
        <f t="shared" si="124"/>
        <v>#NUM!</v>
      </c>
      <c r="AT96" s="59" t="e">
        <f t="shared" si="109"/>
        <v>#NUM!</v>
      </c>
      <c r="AU96" s="21" t="e">
        <f t="shared" si="125"/>
        <v>#NUM!</v>
      </c>
      <c r="AV96" s="58">
        <f t="shared" si="110"/>
        <v>1500</v>
      </c>
      <c r="AW96" s="58">
        <f t="shared" si="111"/>
        <v>600</v>
      </c>
      <c r="AX96" s="60">
        <f t="shared" si="112"/>
        <v>0.11</v>
      </c>
      <c r="AY96" s="212">
        <f t="shared" si="126"/>
        <v>0</v>
      </c>
      <c r="AZ96" s="59">
        <f t="shared" si="113"/>
        <v>0</v>
      </c>
      <c r="BA96" s="21" t="e">
        <f t="shared" si="127"/>
        <v>#DIV/0!</v>
      </c>
      <c r="BB96" s="58">
        <f t="shared" si="114"/>
        <v>2900</v>
      </c>
      <c r="BC96" s="58">
        <f t="shared" si="115"/>
        <v>1160</v>
      </c>
      <c r="BD96" s="60">
        <f t="shared" si="116"/>
        <v>0.15</v>
      </c>
      <c r="BE96" s="212" t="e">
        <f t="shared" si="128"/>
        <v>#NUM!</v>
      </c>
      <c r="BF96" s="59" t="e">
        <f t="shared" si="117"/>
        <v>#NUM!</v>
      </c>
      <c r="BG96" s="21" t="e">
        <f t="shared" si="129"/>
        <v>#NUM!</v>
      </c>
      <c r="BH96" s="55">
        <f t="shared" ca="1" si="118"/>
        <v>0</v>
      </c>
    </row>
    <row r="97" spans="1:60" x14ac:dyDescent="0.2">
      <c r="A97" s="61">
        <f ca="1">RANK(W97,W$12:W$311,0)+COUNTIF(W$12:W97,W97)-1</f>
        <v>215</v>
      </c>
      <c r="B97" s="55">
        <f>'Etape 1'!A93</f>
        <v>86</v>
      </c>
      <c r="C97" s="55">
        <f>'Etape 1'!B93</f>
        <v>0</v>
      </c>
      <c r="D97" s="55">
        <f>'Etape 1'!C93</f>
        <v>0</v>
      </c>
      <c r="E97" s="55">
        <f>'Etape 1'!D93</f>
        <v>0</v>
      </c>
      <c r="F97" s="55">
        <f>'Etape 1'!E93</f>
        <v>0</v>
      </c>
      <c r="G97" s="55">
        <f>'Etape 1'!F93</f>
        <v>0</v>
      </c>
      <c r="H97" s="55">
        <f>'Etape 1'!G93</f>
        <v>0</v>
      </c>
      <c r="I97" s="209">
        <v>1</v>
      </c>
      <c r="J97" s="58">
        <f t="shared" si="130"/>
        <v>0</v>
      </c>
      <c r="K97" s="21">
        <f t="shared" si="83"/>
        <v>0</v>
      </c>
      <c r="L97" s="21">
        <f t="shared" si="84"/>
        <v>0</v>
      </c>
      <c r="M97" s="21">
        <f t="shared" ca="1" si="85"/>
        <v>3</v>
      </c>
      <c r="N97" s="21">
        <f t="shared" ca="1" si="86"/>
        <v>3</v>
      </c>
      <c r="O97" s="21">
        <f t="shared" ca="1" si="87"/>
        <v>0</v>
      </c>
      <c r="P97" s="262" t="str">
        <f>IF('Etape 1'!J93=999,"",IF('Etape 1'!J93=9999,txt_Schritt1.Angaben.fehlen,VLOOKUP(N97,Matrix_1.2.3.Test.Punkte.ID.Beurteilung,4,1)))</f>
        <v/>
      </c>
      <c r="Q97" s="21">
        <f t="shared" ca="1" si="131"/>
        <v>0</v>
      </c>
      <c r="R97" s="136">
        <f t="shared" si="119"/>
        <v>86</v>
      </c>
      <c r="S97" s="136">
        <f t="shared" ca="1" si="88"/>
        <v>162.28571428571428</v>
      </c>
      <c r="T97" s="136">
        <f t="shared" ca="1" si="120"/>
        <v>750.28571428571433</v>
      </c>
      <c r="U97" s="136">
        <f t="shared" ca="1" si="121"/>
        <v>1224000.2857142857</v>
      </c>
      <c r="V97" s="211">
        <f t="shared" ca="1" si="122"/>
        <v>235406.47775860512</v>
      </c>
      <c r="W97" s="136">
        <f t="shared" ca="1" si="89"/>
        <v>86</v>
      </c>
      <c r="X97" s="136">
        <f t="shared" ca="1" si="90"/>
        <v>162.999000999001</v>
      </c>
      <c r="Y97" s="21">
        <f t="shared" si="91"/>
        <v>1</v>
      </c>
      <c r="Z97" s="21" t="str">
        <f t="shared" si="92"/>
        <v>&lt;IE0</v>
      </c>
      <c r="AA97" s="21">
        <f t="shared" si="93"/>
        <v>1</v>
      </c>
      <c r="AB97" s="21" t="str">
        <f t="shared" si="94"/>
        <v>a - "&lt; 1990 (Eff3)"</v>
      </c>
      <c r="AC97" s="21">
        <f t="shared" si="95"/>
        <v>999999</v>
      </c>
      <c r="AD97" s="21" t="str">
        <f t="shared" si="96"/>
        <v/>
      </c>
      <c r="AE97" s="21" t="str">
        <f t="shared" si="97"/>
        <v/>
      </c>
      <c r="AF97" s="21" t="str">
        <f t="shared" si="98"/>
        <v/>
      </c>
      <c r="AG97" s="21">
        <f t="shared" si="99"/>
        <v>0</v>
      </c>
      <c r="AH97" s="21">
        <f>IF('Etape 1'!H93=St.Wert_Hacken,1,0)</f>
        <v>0</v>
      </c>
      <c r="AI97" s="21">
        <f t="shared" si="123"/>
        <v>0</v>
      </c>
      <c r="AJ97" s="21">
        <f t="shared" si="100"/>
        <v>1000999</v>
      </c>
      <c r="AK97" s="58">
        <f t="shared" si="101"/>
        <v>1100</v>
      </c>
      <c r="AL97" s="58">
        <f t="shared" si="102"/>
        <v>440</v>
      </c>
      <c r="AM97" s="21">
        <f t="shared" si="103"/>
        <v>0</v>
      </c>
      <c r="AN97" s="58">
        <f t="shared" si="104"/>
        <v>1</v>
      </c>
      <c r="AO97" s="58" t="str">
        <f t="shared" si="105"/>
        <v>114</v>
      </c>
      <c r="AP97" s="58" t="str">
        <f t="shared" si="106"/>
        <v>164</v>
      </c>
      <c r="AQ97" s="21" t="e">
        <f t="shared" si="107"/>
        <v>#NUM!</v>
      </c>
      <c r="AR97" s="21" t="e">
        <f t="shared" si="108"/>
        <v>#NUM!</v>
      </c>
      <c r="AS97" s="136" t="e">
        <f t="shared" si="124"/>
        <v>#NUM!</v>
      </c>
      <c r="AT97" s="59" t="e">
        <f t="shared" si="109"/>
        <v>#NUM!</v>
      </c>
      <c r="AU97" s="21" t="e">
        <f t="shared" si="125"/>
        <v>#NUM!</v>
      </c>
      <c r="AV97" s="58">
        <f t="shared" si="110"/>
        <v>1500</v>
      </c>
      <c r="AW97" s="58">
        <f t="shared" si="111"/>
        <v>600</v>
      </c>
      <c r="AX97" s="60">
        <f t="shared" si="112"/>
        <v>0.11</v>
      </c>
      <c r="AY97" s="212">
        <f t="shared" si="126"/>
        <v>0</v>
      </c>
      <c r="AZ97" s="59">
        <f t="shared" si="113"/>
        <v>0</v>
      </c>
      <c r="BA97" s="21" t="e">
        <f t="shared" si="127"/>
        <v>#DIV/0!</v>
      </c>
      <c r="BB97" s="58">
        <f t="shared" si="114"/>
        <v>2900</v>
      </c>
      <c r="BC97" s="58">
        <f t="shared" si="115"/>
        <v>1160</v>
      </c>
      <c r="BD97" s="60">
        <f t="shared" si="116"/>
        <v>0.15</v>
      </c>
      <c r="BE97" s="212" t="e">
        <f t="shared" si="128"/>
        <v>#NUM!</v>
      </c>
      <c r="BF97" s="59" t="e">
        <f t="shared" si="117"/>
        <v>#NUM!</v>
      </c>
      <c r="BG97" s="21" t="e">
        <f t="shared" si="129"/>
        <v>#NUM!</v>
      </c>
      <c r="BH97" s="55">
        <f t="shared" ca="1" si="118"/>
        <v>0</v>
      </c>
    </row>
    <row r="98" spans="1:60" x14ac:dyDescent="0.2">
      <c r="A98" s="61">
        <f ca="1">RANK(W98,W$12:W$311,0)+COUNTIF(W$12:W98,W98)-1</f>
        <v>214</v>
      </c>
      <c r="B98" s="55">
        <f>'Etape 1'!A94</f>
        <v>87</v>
      </c>
      <c r="C98" s="55">
        <f>'Etape 1'!B94</f>
        <v>0</v>
      </c>
      <c r="D98" s="55">
        <f>'Etape 1'!C94</f>
        <v>0</v>
      </c>
      <c r="E98" s="55">
        <f>'Etape 1'!D94</f>
        <v>0</v>
      </c>
      <c r="F98" s="55">
        <f>'Etape 1'!E94</f>
        <v>0</v>
      </c>
      <c r="G98" s="55">
        <f>'Etape 1'!F94</f>
        <v>0</v>
      </c>
      <c r="H98" s="55">
        <f>'Etape 1'!G94</f>
        <v>0</v>
      </c>
      <c r="I98" s="209">
        <v>1</v>
      </c>
      <c r="J98" s="58">
        <f t="shared" si="130"/>
        <v>0</v>
      </c>
      <c r="K98" s="21">
        <f t="shared" si="83"/>
        <v>0</v>
      </c>
      <c r="L98" s="21">
        <f t="shared" si="84"/>
        <v>0</v>
      </c>
      <c r="M98" s="21">
        <f t="shared" ca="1" si="85"/>
        <v>3</v>
      </c>
      <c r="N98" s="21">
        <f t="shared" ca="1" si="86"/>
        <v>3</v>
      </c>
      <c r="O98" s="21">
        <f t="shared" ca="1" si="87"/>
        <v>0</v>
      </c>
      <c r="P98" s="262" t="str">
        <f>IF('Etape 1'!J94=999,"",IF('Etape 1'!J94=9999,txt_Schritt1.Angaben.fehlen,VLOOKUP(N98,Matrix_1.2.3.Test.Punkte.ID.Beurteilung,4,1)))</f>
        <v/>
      </c>
      <c r="Q98" s="21">
        <f t="shared" ca="1" si="131"/>
        <v>0</v>
      </c>
      <c r="R98" s="136">
        <f t="shared" si="119"/>
        <v>87</v>
      </c>
      <c r="S98" s="136">
        <f t="shared" ca="1" si="88"/>
        <v>162.28903654485049</v>
      </c>
      <c r="T98" s="136">
        <f t="shared" ca="1" si="120"/>
        <v>750.28903654485055</v>
      </c>
      <c r="U98" s="136">
        <f t="shared" ca="1" si="121"/>
        <v>1224000.2890365447</v>
      </c>
      <c r="V98" s="211">
        <f t="shared" ca="1" si="122"/>
        <v>235406.48108086427</v>
      </c>
      <c r="W98" s="136">
        <f t="shared" ca="1" si="89"/>
        <v>87</v>
      </c>
      <c r="X98" s="136">
        <f t="shared" ca="1" si="90"/>
        <v>162.999000999001</v>
      </c>
      <c r="Y98" s="21">
        <f t="shared" si="91"/>
        <v>1</v>
      </c>
      <c r="Z98" s="21" t="str">
        <f t="shared" si="92"/>
        <v>&lt;IE0</v>
      </c>
      <c r="AA98" s="21">
        <f t="shared" si="93"/>
        <v>1</v>
      </c>
      <c r="AB98" s="21" t="str">
        <f t="shared" si="94"/>
        <v>a - "&lt; 1990 (Eff3)"</v>
      </c>
      <c r="AC98" s="21">
        <f t="shared" si="95"/>
        <v>999999</v>
      </c>
      <c r="AD98" s="21" t="str">
        <f t="shared" si="96"/>
        <v/>
      </c>
      <c r="AE98" s="21" t="str">
        <f t="shared" si="97"/>
        <v/>
      </c>
      <c r="AF98" s="21" t="str">
        <f t="shared" si="98"/>
        <v/>
      </c>
      <c r="AG98" s="21">
        <f t="shared" si="99"/>
        <v>0</v>
      </c>
      <c r="AH98" s="21">
        <f>IF('Etape 1'!H94=St.Wert_Hacken,1,0)</f>
        <v>0</v>
      </c>
      <c r="AI98" s="21">
        <f t="shared" si="123"/>
        <v>0</v>
      </c>
      <c r="AJ98" s="21">
        <f t="shared" si="100"/>
        <v>1000999</v>
      </c>
      <c r="AK98" s="58">
        <f t="shared" si="101"/>
        <v>1100</v>
      </c>
      <c r="AL98" s="58">
        <f t="shared" si="102"/>
        <v>440</v>
      </c>
      <c r="AM98" s="21">
        <f t="shared" si="103"/>
        <v>0</v>
      </c>
      <c r="AN98" s="58">
        <f t="shared" si="104"/>
        <v>1</v>
      </c>
      <c r="AO98" s="58" t="str">
        <f t="shared" si="105"/>
        <v>114</v>
      </c>
      <c r="AP98" s="58" t="str">
        <f t="shared" si="106"/>
        <v>164</v>
      </c>
      <c r="AQ98" s="21" t="e">
        <f t="shared" si="107"/>
        <v>#NUM!</v>
      </c>
      <c r="AR98" s="21" t="e">
        <f t="shared" si="108"/>
        <v>#NUM!</v>
      </c>
      <c r="AS98" s="136" t="e">
        <f t="shared" si="124"/>
        <v>#NUM!</v>
      </c>
      <c r="AT98" s="59" t="e">
        <f t="shared" si="109"/>
        <v>#NUM!</v>
      </c>
      <c r="AU98" s="21" t="e">
        <f t="shared" si="125"/>
        <v>#NUM!</v>
      </c>
      <c r="AV98" s="58">
        <f t="shared" si="110"/>
        <v>1500</v>
      </c>
      <c r="AW98" s="58">
        <f t="shared" si="111"/>
        <v>600</v>
      </c>
      <c r="AX98" s="60">
        <f t="shared" si="112"/>
        <v>0.11</v>
      </c>
      <c r="AY98" s="212">
        <f t="shared" si="126"/>
        <v>0</v>
      </c>
      <c r="AZ98" s="59">
        <f t="shared" si="113"/>
        <v>0</v>
      </c>
      <c r="BA98" s="21" t="e">
        <f t="shared" si="127"/>
        <v>#DIV/0!</v>
      </c>
      <c r="BB98" s="58">
        <f t="shared" si="114"/>
        <v>2900</v>
      </c>
      <c r="BC98" s="58">
        <f t="shared" si="115"/>
        <v>1160</v>
      </c>
      <c r="BD98" s="60">
        <f t="shared" si="116"/>
        <v>0.15</v>
      </c>
      <c r="BE98" s="212" t="e">
        <f t="shared" si="128"/>
        <v>#NUM!</v>
      </c>
      <c r="BF98" s="59" t="e">
        <f t="shared" si="117"/>
        <v>#NUM!</v>
      </c>
      <c r="BG98" s="21" t="e">
        <f t="shared" si="129"/>
        <v>#NUM!</v>
      </c>
      <c r="BH98" s="55">
        <f t="shared" ca="1" si="118"/>
        <v>0</v>
      </c>
    </row>
    <row r="99" spans="1:60" x14ac:dyDescent="0.2">
      <c r="A99" s="61">
        <f ca="1">RANK(W99,W$12:W$311,0)+COUNTIF(W$12:W99,W99)-1</f>
        <v>213</v>
      </c>
      <c r="B99" s="55">
        <f>'Etape 1'!A95</f>
        <v>88</v>
      </c>
      <c r="C99" s="55">
        <f>'Etape 1'!B95</f>
        <v>0</v>
      </c>
      <c r="D99" s="55">
        <f>'Etape 1'!C95</f>
        <v>0</v>
      </c>
      <c r="E99" s="55">
        <f>'Etape 1'!D95</f>
        <v>0</v>
      </c>
      <c r="F99" s="55">
        <f>'Etape 1'!E95</f>
        <v>0</v>
      </c>
      <c r="G99" s="55">
        <f>'Etape 1'!F95</f>
        <v>0</v>
      </c>
      <c r="H99" s="55">
        <f>'Etape 1'!G95</f>
        <v>0</v>
      </c>
      <c r="I99" s="209">
        <v>1</v>
      </c>
      <c r="J99" s="58">
        <f t="shared" si="130"/>
        <v>0</v>
      </c>
      <c r="K99" s="21">
        <f t="shared" si="83"/>
        <v>0</v>
      </c>
      <c r="L99" s="21">
        <f t="shared" si="84"/>
        <v>0</v>
      </c>
      <c r="M99" s="21">
        <f t="shared" ca="1" si="85"/>
        <v>3</v>
      </c>
      <c r="N99" s="21">
        <f t="shared" ca="1" si="86"/>
        <v>3</v>
      </c>
      <c r="O99" s="21">
        <f t="shared" ca="1" si="87"/>
        <v>0</v>
      </c>
      <c r="P99" s="262" t="str">
        <f>IF('Etape 1'!J95=999,"",IF('Etape 1'!J95=9999,txt_Schritt1.Angaben.fehlen,VLOOKUP(N99,Matrix_1.2.3.Test.Punkte.ID.Beurteilung,4,1)))</f>
        <v/>
      </c>
      <c r="Q99" s="21">
        <f t="shared" ca="1" si="131"/>
        <v>0</v>
      </c>
      <c r="R99" s="136">
        <f t="shared" si="119"/>
        <v>88</v>
      </c>
      <c r="S99" s="136">
        <f t="shared" ca="1" si="88"/>
        <v>162.2923588039867</v>
      </c>
      <c r="T99" s="136">
        <f t="shared" ca="1" si="120"/>
        <v>750.29235880398676</v>
      </c>
      <c r="U99" s="136">
        <f t="shared" ca="1" si="121"/>
        <v>1224000.292358804</v>
      </c>
      <c r="V99" s="211">
        <f t="shared" ca="1" si="122"/>
        <v>235406.48440312341</v>
      </c>
      <c r="W99" s="136">
        <f t="shared" ca="1" si="89"/>
        <v>88</v>
      </c>
      <c r="X99" s="136">
        <f t="shared" ca="1" si="90"/>
        <v>162.999000999001</v>
      </c>
      <c r="Y99" s="21">
        <f t="shared" si="91"/>
        <v>1</v>
      </c>
      <c r="Z99" s="21" t="str">
        <f t="shared" si="92"/>
        <v>&lt;IE0</v>
      </c>
      <c r="AA99" s="21">
        <f t="shared" si="93"/>
        <v>1</v>
      </c>
      <c r="AB99" s="21" t="str">
        <f t="shared" si="94"/>
        <v>a - "&lt; 1990 (Eff3)"</v>
      </c>
      <c r="AC99" s="21">
        <f t="shared" si="95"/>
        <v>999999</v>
      </c>
      <c r="AD99" s="21" t="str">
        <f t="shared" si="96"/>
        <v/>
      </c>
      <c r="AE99" s="21" t="str">
        <f t="shared" si="97"/>
        <v/>
      </c>
      <c r="AF99" s="21" t="str">
        <f t="shared" si="98"/>
        <v/>
      </c>
      <c r="AG99" s="21">
        <f t="shared" si="99"/>
        <v>0</v>
      </c>
      <c r="AH99" s="21">
        <f>IF('Etape 1'!H95=St.Wert_Hacken,1,0)</f>
        <v>0</v>
      </c>
      <c r="AI99" s="21">
        <f t="shared" si="123"/>
        <v>0</v>
      </c>
      <c r="AJ99" s="21">
        <f t="shared" si="100"/>
        <v>1000999</v>
      </c>
      <c r="AK99" s="58">
        <f t="shared" si="101"/>
        <v>1100</v>
      </c>
      <c r="AL99" s="58">
        <f t="shared" si="102"/>
        <v>440</v>
      </c>
      <c r="AM99" s="21">
        <f t="shared" si="103"/>
        <v>0</v>
      </c>
      <c r="AN99" s="58">
        <f t="shared" si="104"/>
        <v>1</v>
      </c>
      <c r="AO99" s="58" t="str">
        <f t="shared" si="105"/>
        <v>114</v>
      </c>
      <c r="AP99" s="58" t="str">
        <f t="shared" si="106"/>
        <v>164</v>
      </c>
      <c r="AQ99" s="21" t="e">
        <f t="shared" si="107"/>
        <v>#NUM!</v>
      </c>
      <c r="AR99" s="21" t="e">
        <f t="shared" si="108"/>
        <v>#NUM!</v>
      </c>
      <c r="AS99" s="136" t="e">
        <f t="shared" si="124"/>
        <v>#NUM!</v>
      </c>
      <c r="AT99" s="59" t="e">
        <f t="shared" si="109"/>
        <v>#NUM!</v>
      </c>
      <c r="AU99" s="21" t="e">
        <f t="shared" si="125"/>
        <v>#NUM!</v>
      </c>
      <c r="AV99" s="58">
        <f t="shared" si="110"/>
        <v>1500</v>
      </c>
      <c r="AW99" s="58">
        <f t="shared" si="111"/>
        <v>600</v>
      </c>
      <c r="AX99" s="60">
        <f t="shared" si="112"/>
        <v>0.11</v>
      </c>
      <c r="AY99" s="212">
        <f t="shared" si="126"/>
        <v>0</v>
      </c>
      <c r="AZ99" s="59">
        <f t="shared" si="113"/>
        <v>0</v>
      </c>
      <c r="BA99" s="21" t="e">
        <f t="shared" si="127"/>
        <v>#DIV/0!</v>
      </c>
      <c r="BB99" s="58">
        <f t="shared" si="114"/>
        <v>2900</v>
      </c>
      <c r="BC99" s="58">
        <f t="shared" si="115"/>
        <v>1160</v>
      </c>
      <c r="BD99" s="60">
        <f t="shared" si="116"/>
        <v>0.15</v>
      </c>
      <c r="BE99" s="212" t="e">
        <f t="shared" si="128"/>
        <v>#NUM!</v>
      </c>
      <c r="BF99" s="59" t="e">
        <f t="shared" si="117"/>
        <v>#NUM!</v>
      </c>
      <c r="BG99" s="21" t="e">
        <f t="shared" si="129"/>
        <v>#NUM!</v>
      </c>
      <c r="BH99" s="55">
        <f t="shared" ca="1" si="118"/>
        <v>0</v>
      </c>
    </row>
    <row r="100" spans="1:60" x14ac:dyDescent="0.2">
      <c r="A100" s="61">
        <f ca="1">RANK(W100,W$12:W$311,0)+COUNTIF(W$12:W100,W100)-1</f>
        <v>212</v>
      </c>
      <c r="B100" s="55">
        <f>'Etape 1'!A96</f>
        <v>89</v>
      </c>
      <c r="C100" s="55">
        <f>'Etape 1'!B96</f>
        <v>0</v>
      </c>
      <c r="D100" s="55">
        <f>'Etape 1'!C96</f>
        <v>0</v>
      </c>
      <c r="E100" s="55">
        <f>'Etape 1'!D96</f>
        <v>0</v>
      </c>
      <c r="F100" s="55">
        <f>'Etape 1'!E96</f>
        <v>0</v>
      </c>
      <c r="G100" s="55">
        <f>'Etape 1'!F96</f>
        <v>0</v>
      </c>
      <c r="H100" s="55">
        <f>'Etape 1'!G96</f>
        <v>0</v>
      </c>
      <c r="I100" s="209">
        <v>1</v>
      </c>
      <c r="J100" s="58">
        <f t="shared" si="130"/>
        <v>0</v>
      </c>
      <c r="K100" s="21">
        <f t="shared" si="83"/>
        <v>0</v>
      </c>
      <c r="L100" s="21">
        <f t="shared" si="84"/>
        <v>0</v>
      </c>
      <c r="M100" s="21">
        <f t="shared" ca="1" si="85"/>
        <v>3</v>
      </c>
      <c r="N100" s="21">
        <f t="shared" ca="1" si="86"/>
        <v>3</v>
      </c>
      <c r="O100" s="21">
        <f t="shared" ca="1" si="87"/>
        <v>0</v>
      </c>
      <c r="P100" s="262" t="str">
        <f>IF('Etape 1'!J96=999,"",IF('Etape 1'!J96=9999,txt_Schritt1.Angaben.fehlen,VLOOKUP(N100,Matrix_1.2.3.Test.Punkte.ID.Beurteilung,4,1)))</f>
        <v/>
      </c>
      <c r="Q100" s="21">
        <f t="shared" ca="1" si="131"/>
        <v>0</v>
      </c>
      <c r="R100" s="136">
        <f t="shared" si="119"/>
        <v>89</v>
      </c>
      <c r="S100" s="136">
        <f t="shared" ca="1" si="88"/>
        <v>162.29568106312291</v>
      </c>
      <c r="T100" s="136">
        <f t="shared" ca="1" si="120"/>
        <v>750.29568106312297</v>
      </c>
      <c r="U100" s="136">
        <f t="shared" ca="1" si="121"/>
        <v>1224000.2956810631</v>
      </c>
      <c r="V100" s="211">
        <f t="shared" ca="1" si="122"/>
        <v>235406.48772538253</v>
      </c>
      <c r="W100" s="136">
        <f t="shared" ca="1" si="89"/>
        <v>89</v>
      </c>
      <c r="X100" s="136">
        <f t="shared" ca="1" si="90"/>
        <v>162.999000999001</v>
      </c>
      <c r="Y100" s="21">
        <f t="shared" si="91"/>
        <v>1</v>
      </c>
      <c r="Z100" s="21" t="str">
        <f t="shared" si="92"/>
        <v>&lt;IE0</v>
      </c>
      <c r="AA100" s="21">
        <f t="shared" si="93"/>
        <v>1</v>
      </c>
      <c r="AB100" s="21" t="str">
        <f t="shared" si="94"/>
        <v>a - "&lt; 1990 (Eff3)"</v>
      </c>
      <c r="AC100" s="21">
        <f t="shared" si="95"/>
        <v>999999</v>
      </c>
      <c r="AD100" s="21" t="str">
        <f t="shared" si="96"/>
        <v/>
      </c>
      <c r="AE100" s="21" t="str">
        <f t="shared" si="97"/>
        <v/>
      </c>
      <c r="AF100" s="21" t="str">
        <f t="shared" si="98"/>
        <v/>
      </c>
      <c r="AG100" s="21">
        <f t="shared" si="99"/>
        <v>0</v>
      </c>
      <c r="AH100" s="21">
        <f>IF('Etape 1'!H96=St.Wert_Hacken,1,0)</f>
        <v>0</v>
      </c>
      <c r="AI100" s="21">
        <f t="shared" si="123"/>
        <v>0</v>
      </c>
      <c r="AJ100" s="21">
        <f t="shared" si="100"/>
        <v>1000999</v>
      </c>
      <c r="AK100" s="58">
        <f t="shared" si="101"/>
        <v>1100</v>
      </c>
      <c r="AL100" s="58">
        <f t="shared" si="102"/>
        <v>440</v>
      </c>
      <c r="AM100" s="21">
        <f t="shared" si="103"/>
        <v>0</v>
      </c>
      <c r="AN100" s="58">
        <f t="shared" si="104"/>
        <v>1</v>
      </c>
      <c r="AO100" s="58" t="str">
        <f t="shared" si="105"/>
        <v>114</v>
      </c>
      <c r="AP100" s="58" t="str">
        <f t="shared" si="106"/>
        <v>164</v>
      </c>
      <c r="AQ100" s="21" t="e">
        <f t="shared" si="107"/>
        <v>#NUM!</v>
      </c>
      <c r="AR100" s="21" t="e">
        <f t="shared" si="108"/>
        <v>#NUM!</v>
      </c>
      <c r="AS100" s="136" t="e">
        <f t="shared" si="124"/>
        <v>#NUM!</v>
      </c>
      <c r="AT100" s="59" t="e">
        <f t="shared" si="109"/>
        <v>#NUM!</v>
      </c>
      <c r="AU100" s="21" t="e">
        <f t="shared" si="125"/>
        <v>#NUM!</v>
      </c>
      <c r="AV100" s="58">
        <f t="shared" si="110"/>
        <v>1500</v>
      </c>
      <c r="AW100" s="58">
        <f t="shared" si="111"/>
        <v>600</v>
      </c>
      <c r="AX100" s="60">
        <f t="shared" si="112"/>
        <v>0.11</v>
      </c>
      <c r="AY100" s="212">
        <f t="shared" si="126"/>
        <v>0</v>
      </c>
      <c r="AZ100" s="59">
        <f t="shared" si="113"/>
        <v>0</v>
      </c>
      <c r="BA100" s="21" t="e">
        <f t="shared" si="127"/>
        <v>#DIV/0!</v>
      </c>
      <c r="BB100" s="58">
        <f t="shared" si="114"/>
        <v>2900</v>
      </c>
      <c r="BC100" s="58">
        <f t="shared" si="115"/>
        <v>1160</v>
      </c>
      <c r="BD100" s="60">
        <f t="shared" si="116"/>
        <v>0.15</v>
      </c>
      <c r="BE100" s="212" t="e">
        <f t="shared" si="128"/>
        <v>#NUM!</v>
      </c>
      <c r="BF100" s="59" t="e">
        <f t="shared" si="117"/>
        <v>#NUM!</v>
      </c>
      <c r="BG100" s="21" t="e">
        <f t="shared" si="129"/>
        <v>#NUM!</v>
      </c>
      <c r="BH100" s="55">
        <f t="shared" ca="1" si="118"/>
        <v>0</v>
      </c>
    </row>
    <row r="101" spans="1:60" x14ac:dyDescent="0.2">
      <c r="A101" s="61">
        <f ca="1">RANK(W101,W$12:W$311,0)+COUNTIF(W$12:W101,W101)-1</f>
        <v>211</v>
      </c>
      <c r="B101" s="55">
        <f>'Etape 1'!A97</f>
        <v>90</v>
      </c>
      <c r="C101" s="55">
        <f>'Etape 1'!B97</f>
        <v>0</v>
      </c>
      <c r="D101" s="55">
        <f>'Etape 1'!C97</f>
        <v>0</v>
      </c>
      <c r="E101" s="55">
        <f>'Etape 1'!D97</f>
        <v>0</v>
      </c>
      <c r="F101" s="55">
        <f>'Etape 1'!E97</f>
        <v>0</v>
      </c>
      <c r="G101" s="55">
        <f>'Etape 1'!F97</f>
        <v>0</v>
      </c>
      <c r="H101" s="55">
        <f>'Etape 1'!G97</f>
        <v>0</v>
      </c>
      <c r="I101" s="209">
        <v>1</v>
      </c>
      <c r="J101" s="58">
        <f t="shared" si="130"/>
        <v>0</v>
      </c>
      <c r="K101" s="21">
        <f t="shared" si="83"/>
        <v>0</v>
      </c>
      <c r="L101" s="21">
        <f t="shared" si="84"/>
        <v>0</v>
      </c>
      <c r="M101" s="21">
        <f t="shared" ca="1" si="85"/>
        <v>3</v>
      </c>
      <c r="N101" s="21">
        <f t="shared" ca="1" si="86"/>
        <v>3</v>
      </c>
      <c r="O101" s="21">
        <f t="shared" ca="1" si="87"/>
        <v>0</v>
      </c>
      <c r="P101" s="262" t="str">
        <f>IF('Etape 1'!J97=999,"",IF('Etape 1'!J97=9999,txt_Schritt1.Angaben.fehlen,VLOOKUP(N101,Matrix_1.2.3.Test.Punkte.ID.Beurteilung,4,1)))</f>
        <v/>
      </c>
      <c r="Q101" s="21">
        <f t="shared" ca="1" si="131"/>
        <v>0</v>
      </c>
      <c r="R101" s="136">
        <f t="shared" si="119"/>
        <v>90</v>
      </c>
      <c r="S101" s="136">
        <f t="shared" ca="1" si="88"/>
        <v>162.29900332225913</v>
      </c>
      <c r="T101" s="136">
        <f t="shared" ca="1" si="120"/>
        <v>750.29900332225918</v>
      </c>
      <c r="U101" s="136">
        <f t="shared" ca="1" si="121"/>
        <v>1224000.2990033221</v>
      </c>
      <c r="V101" s="211">
        <f t="shared" ca="1" si="122"/>
        <v>235406.49104764167</v>
      </c>
      <c r="W101" s="136">
        <f t="shared" ca="1" si="89"/>
        <v>90</v>
      </c>
      <c r="X101" s="136">
        <f t="shared" ca="1" si="90"/>
        <v>162.999000999001</v>
      </c>
      <c r="Y101" s="21">
        <f t="shared" si="91"/>
        <v>1</v>
      </c>
      <c r="Z101" s="21" t="str">
        <f t="shared" si="92"/>
        <v>&lt;IE0</v>
      </c>
      <c r="AA101" s="21">
        <f t="shared" si="93"/>
        <v>1</v>
      </c>
      <c r="AB101" s="21" t="str">
        <f t="shared" si="94"/>
        <v>a - "&lt; 1990 (Eff3)"</v>
      </c>
      <c r="AC101" s="21">
        <f t="shared" si="95"/>
        <v>999999</v>
      </c>
      <c r="AD101" s="21" t="str">
        <f t="shared" si="96"/>
        <v/>
      </c>
      <c r="AE101" s="21" t="str">
        <f t="shared" si="97"/>
        <v/>
      </c>
      <c r="AF101" s="21" t="str">
        <f t="shared" si="98"/>
        <v/>
      </c>
      <c r="AG101" s="21">
        <f t="shared" si="99"/>
        <v>0</v>
      </c>
      <c r="AH101" s="21">
        <f>IF('Etape 1'!H97=St.Wert_Hacken,1,0)</f>
        <v>0</v>
      </c>
      <c r="AI101" s="21">
        <f t="shared" si="123"/>
        <v>0</v>
      </c>
      <c r="AJ101" s="21">
        <f t="shared" si="100"/>
        <v>1000999</v>
      </c>
      <c r="AK101" s="58">
        <f t="shared" si="101"/>
        <v>1100</v>
      </c>
      <c r="AL101" s="58">
        <f t="shared" si="102"/>
        <v>440</v>
      </c>
      <c r="AM101" s="21">
        <f t="shared" si="103"/>
        <v>0</v>
      </c>
      <c r="AN101" s="58">
        <f t="shared" si="104"/>
        <v>1</v>
      </c>
      <c r="AO101" s="58" t="str">
        <f t="shared" si="105"/>
        <v>114</v>
      </c>
      <c r="AP101" s="58" t="str">
        <f t="shared" si="106"/>
        <v>164</v>
      </c>
      <c r="AQ101" s="21" t="e">
        <f t="shared" si="107"/>
        <v>#NUM!</v>
      </c>
      <c r="AR101" s="21" t="e">
        <f t="shared" si="108"/>
        <v>#NUM!</v>
      </c>
      <c r="AS101" s="136" t="e">
        <f t="shared" si="124"/>
        <v>#NUM!</v>
      </c>
      <c r="AT101" s="59" t="e">
        <f t="shared" si="109"/>
        <v>#NUM!</v>
      </c>
      <c r="AU101" s="21" t="e">
        <f t="shared" si="125"/>
        <v>#NUM!</v>
      </c>
      <c r="AV101" s="58">
        <f t="shared" si="110"/>
        <v>1500</v>
      </c>
      <c r="AW101" s="58">
        <f t="shared" si="111"/>
        <v>600</v>
      </c>
      <c r="AX101" s="60">
        <f t="shared" si="112"/>
        <v>0.11</v>
      </c>
      <c r="AY101" s="212">
        <f t="shared" si="126"/>
        <v>0</v>
      </c>
      <c r="AZ101" s="59">
        <f t="shared" si="113"/>
        <v>0</v>
      </c>
      <c r="BA101" s="21" t="e">
        <f t="shared" si="127"/>
        <v>#DIV/0!</v>
      </c>
      <c r="BB101" s="58">
        <f t="shared" si="114"/>
        <v>2900</v>
      </c>
      <c r="BC101" s="58">
        <f t="shared" si="115"/>
        <v>1160</v>
      </c>
      <c r="BD101" s="60">
        <f t="shared" si="116"/>
        <v>0.15</v>
      </c>
      <c r="BE101" s="212" t="e">
        <f t="shared" si="128"/>
        <v>#NUM!</v>
      </c>
      <c r="BF101" s="59" t="e">
        <f t="shared" si="117"/>
        <v>#NUM!</v>
      </c>
      <c r="BG101" s="21" t="e">
        <f t="shared" si="129"/>
        <v>#NUM!</v>
      </c>
      <c r="BH101" s="55">
        <f t="shared" ca="1" si="118"/>
        <v>0</v>
      </c>
    </row>
    <row r="102" spans="1:60" x14ac:dyDescent="0.2">
      <c r="A102" s="61">
        <f ca="1">RANK(W102,W$12:W$311,0)+COUNTIF(W$12:W102,W102)-1</f>
        <v>210</v>
      </c>
      <c r="B102" s="55">
        <f>'Etape 1'!A98</f>
        <v>91</v>
      </c>
      <c r="C102" s="55">
        <f>'Etape 1'!B98</f>
        <v>0</v>
      </c>
      <c r="D102" s="55">
        <f>'Etape 1'!C98</f>
        <v>0</v>
      </c>
      <c r="E102" s="55">
        <f>'Etape 1'!D98</f>
        <v>0</v>
      </c>
      <c r="F102" s="55">
        <f>'Etape 1'!E98</f>
        <v>0</v>
      </c>
      <c r="G102" s="55">
        <f>'Etape 1'!F98</f>
        <v>0</v>
      </c>
      <c r="H102" s="55">
        <f>'Etape 1'!G98</f>
        <v>0</v>
      </c>
      <c r="I102" s="209">
        <v>1</v>
      </c>
      <c r="J102" s="58">
        <f t="shared" si="130"/>
        <v>0</v>
      </c>
      <c r="K102" s="21">
        <f t="shared" si="83"/>
        <v>0</v>
      </c>
      <c r="L102" s="21">
        <f t="shared" si="84"/>
        <v>0</v>
      </c>
      <c r="M102" s="21">
        <f t="shared" ca="1" si="85"/>
        <v>3</v>
      </c>
      <c r="N102" s="21">
        <f t="shared" ca="1" si="86"/>
        <v>3</v>
      </c>
      <c r="O102" s="21">
        <f t="shared" ca="1" si="87"/>
        <v>0</v>
      </c>
      <c r="P102" s="262" t="str">
        <f>IF('Etape 1'!J98=999,"",IF('Etape 1'!J98=9999,txt_Schritt1.Angaben.fehlen,VLOOKUP(N102,Matrix_1.2.3.Test.Punkte.ID.Beurteilung,4,1)))</f>
        <v/>
      </c>
      <c r="Q102" s="21">
        <f t="shared" ca="1" si="131"/>
        <v>0</v>
      </c>
      <c r="R102" s="136">
        <f t="shared" si="119"/>
        <v>91</v>
      </c>
      <c r="S102" s="136">
        <f t="shared" ca="1" si="88"/>
        <v>162.30232558139534</v>
      </c>
      <c r="T102" s="136">
        <f t="shared" ca="1" si="120"/>
        <v>750.30232558139539</v>
      </c>
      <c r="U102" s="136">
        <f t="shared" ca="1" si="121"/>
        <v>1224000.3023255814</v>
      </c>
      <c r="V102" s="211">
        <f t="shared" ca="1" si="122"/>
        <v>235406.49436990081</v>
      </c>
      <c r="W102" s="136">
        <f t="shared" ca="1" si="89"/>
        <v>91</v>
      </c>
      <c r="X102" s="136">
        <f t="shared" ca="1" si="90"/>
        <v>162.999000999001</v>
      </c>
      <c r="Y102" s="21">
        <f t="shared" si="91"/>
        <v>1</v>
      </c>
      <c r="Z102" s="21" t="str">
        <f t="shared" si="92"/>
        <v>&lt;IE0</v>
      </c>
      <c r="AA102" s="21">
        <f t="shared" si="93"/>
        <v>1</v>
      </c>
      <c r="AB102" s="21" t="str">
        <f t="shared" si="94"/>
        <v>a - "&lt; 1990 (Eff3)"</v>
      </c>
      <c r="AC102" s="21">
        <f t="shared" si="95"/>
        <v>999999</v>
      </c>
      <c r="AD102" s="21" t="str">
        <f t="shared" si="96"/>
        <v/>
      </c>
      <c r="AE102" s="21" t="str">
        <f t="shared" si="97"/>
        <v/>
      </c>
      <c r="AF102" s="21" t="str">
        <f t="shared" si="98"/>
        <v/>
      </c>
      <c r="AG102" s="21">
        <f t="shared" si="99"/>
        <v>0</v>
      </c>
      <c r="AH102" s="21">
        <f>IF('Etape 1'!H98=St.Wert_Hacken,1,0)</f>
        <v>0</v>
      </c>
      <c r="AI102" s="21">
        <f t="shared" si="123"/>
        <v>0</v>
      </c>
      <c r="AJ102" s="21">
        <f t="shared" si="100"/>
        <v>1000999</v>
      </c>
      <c r="AK102" s="58">
        <f t="shared" si="101"/>
        <v>1100</v>
      </c>
      <c r="AL102" s="58">
        <f t="shared" si="102"/>
        <v>440</v>
      </c>
      <c r="AM102" s="21">
        <f t="shared" si="103"/>
        <v>0</v>
      </c>
      <c r="AN102" s="58">
        <f t="shared" si="104"/>
        <v>1</v>
      </c>
      <c r="AO102" s="58" t="str">
        <f t="shared" si="105"/>
        <v>114</v>
      </c>
      <c r="AP102" s="58" t="str">
        <f t="shared" si="106"/>
        <v>164</v>
      </c>
      <c r="AQ102" s="21" t="e">
        <f t="shared" si="107"/>
        <v>#NUM!</v>
      </c>
      <c r="AR102" s="21" t="e">
        <f t="shared" si="108"/>
        <v>#NUM!</v>
      </c>
      <c r="AS102" s="136" t="e">
        <f t="shared" si="124"/>
        <v>#NUM!</v>
      </c>
      <c r="AT102" s="59" t="e">
        <f t="shared" si="109"/>
        <v>#NUM!</v>
      </c>
      <c r="AU102" s="21" t="e">
        <f t="shared" si="125"/>
        <v>#NUM!</v>
      </c>
      <c r="AV102" s="58">
        <f t="shared" si="110"/>
        <v>1500</v>
      </c>
      <c r="AW102" s="58">
        <f t="shared" si="111"/>
        <v>600</v>
      </c>
      <c r="AX102" s="60">
        <f t="shared" si="112"/>
        <v>0.11</v>
      </c>
      <c r="AY102" s="212">
        <f t="shared" si="126"/>
        <v>0</v>
      </c>
      <c r="AZ102" s="59">
        <f t="shared" si="113"/>
        <v>0</v>
      </c>
      <c r="BA102" s="21" t="e">
        <f t="shared" si="127"/>
        <v>#DIV/0!</v>
      </c>
      <c r="BB102" s="58">
        <f t="shared" si="114"/>
        <v>2900</v>
      </c>
      <c r="BC102" s="58">
        <f t="shared" si="115"/>
        <v>1160</v>
      </c>
      <c r="BD102" s="60">
        <f t="shared" si="116"/>
        <v>0.15</v>
      </c>
      <c r="BE102" s="212" t="e">
        <f t="shared" si="128"/>
        <v>#NUM!</v>
      </c>
      <c r="BF102" s="59" t="e">
        <f t="shared" si="117"/>
        <v>#NUM!</v>
      </c>
      <c r="BG102" s="21" t="e">
        <f t="shared" si="129"/>
        <v>#NUM!</v>
      </c>
      <c r="BH102" s="55">
        <f t="shared" ca="1" si="118"/>
        <v>0</v>
      </c>
    </row>
    <row r="103" spans="1:60" x14ac:dyDescent="0.2">
      <c r="A103" s="61">
        <f ca="1">RANK(W103,W$12:W$311,0)+COUNTIF(W$12:W103,W103)-1</f>
        <v>209</v>
      </c>
      <c r="B103" s="55">
        <f>'Etape 1'!A99</f>
        <v>92</v>
      </c>
      <c r="C103" s="55">
        <f>'Etape 1'!B99</f>
        <v>0</v>
      </c>
      <c r="D103" s="55">
        <f>'Etape 1'!C99</f>
        <v>0</v>
      </c>
      <c r="E103" s="55">
        <f>'Etape 1'!D99</f>
        <v>0</v>
      </c>
      <c r="F103" s="55">
        <f>'Etape 1'!E99</f>
        <v>0</v>
      </c>
      <c r="G103" s="55">
        <f>'Etape 1'!F99</f>
        <v>0</v>
      </c>
      <c r="H103" s="55">
        <f>'Etape 1'!G99</f>
        <v>0</v>
      </c>
      <c r="I103" s="209">
        <v>1</v>
      </c>
      <c r="J103" s="58">
        <f t="shared" si="130"/>
        <v>0</v>
      </c>
      <c r="K103" s="21">
        <f t="shared" si="83"/>
        <v>0</v>
      </c>
      <c r="L103" s="21">
        <f t="shared" si="84"/>
        <v>0</v>
      </c>
      <c r="M103" s="21">
        <f t="shared" ca="1" si="85"/>
        <v>3</v>
      </c>
      <c r="N103" s="21">
        <f t="shared" ca="1" si="86"/>
        <v>3</v>
      </c>
      <c r="O103" s="21">
        <f t="shared" ca="1" si="87"/>
        <v>0</v>
      </c>
      <c r="P103" s="262" t="str">
        <f>IF('Etape 1'!J99=999,"",IF('Etape 1'!J99=9999,txt_Schritt1.Angaben.fehlen,VLOOKUP(N103,Matrix_1.2.3.Test.Punkte.ID.Beurteilung,4,1)))</f>
        <v/>
      </c>
      <c r="Q103" s="21">
        <f t="shared" ca="1" si="131"/>
        <v>0</v>
      </c>
      <c r="R103" s="136">
        <f t="shared" si="119"/>
        <v>92</v>
      </c>
      <c r="S103" s="136">
        <f t="shared" ca="1" si="88"/>
        <v>162.30564784053155</v>
      </c>
      <c r="T103" s="136">
        <f t="shared" ca="1" si="120"/>
        <v>750.30564784053161</v>
      </c>
      <c r="U103" s="136">
        <f t="shared" ca="1" si="121"/>
        <v>1224000.3056478405</v>
      </c>
      <c r="V103" s="211">
        <f t="shared" ca="1" si="122"/>
        <v>235406.49769215993</v>
      </c>
      <c r="W103" s="136">
        <f t="shared" ca="1" si="89"/>
        <v>92</v>
      </c>
      <c r="X103" s="136">
        <f t="shared" ca="1" si="90"/>
        <v>162.999000999001</v>
      </c>
      <c r="Y103" s="21">
        <f t="shared" si="91"/>
        <v>1</v>
      </c>
      <c r="Z103" s="21" t="str">
        <f t="shared" si="92"/>
        <v>&lt;IE0</v>
      </c>
      <c r="AA103" s="21">
        <f t="shared" si="93"/>
        <v>1</v>
      </c>
      <c r="AB103" s="21" t="str">
        <f t="shared" si="94"/>
        <v>a - "&lt; 1990 (Eff3)"</v>
      </c>
      <c r="AC103" s="21">
        <f t="shared" si="95"/>
        <v>999999</v>
      </c>
      <c r="AD103" s="21" t="str">
        <f t="shared" si="96"/>
        <v/>
      </c>
      <c r="AE103" s="21" t="str">
        <f t="shared" si="97"/>
        <v/>
      </c>
      <c r="AF103" s="21" t="str">
        <f t="shared" si="98"/>
        <v/>
      </c>
      <c r="AG103" s="21">
        <f t="shared" si="99"/>
        <v>0</v>
      </c>
      <c r="AH103" s="21">
        <f>IF('Etape 1'!H99=St.Wert_Hacken,1,0)</f>
        <v>0</v>
      </c>
      <c r="AI103" s="21">
        <f t="shared" si="123"/>
        <v>0</v>
      </c>
      <c r="AJ103" s="21">
        <f t="shared" si="100"/>
        <v>1000999</v>
      </c>
      <c r="AK103" s="58">
        <f t="shared" si="101"/>
        <v>1100</v>
      </c>
      <c r="AL103" s="58">
        <f t="shared" si="102"/>
        <v>440</v>
      </c>
      <c r="AM103" s="21">
        <f t="shared" si="103"/>
        <v>0</v>
      </c>
      <c r="AN103" s="58">
        <f t="shared" si="104"/>
        <v>1</v>
      </c>
      <c r="AO103" s="58" t="str">
        <f t="shared" si="105"/>
        <v>114</v>
      </c>
      <c r="AP103" s="58" t="str">
        <f t="shared" si="106"/>
        <v>164</v>
      </c>
      <c r="AQ103" s="21" t="e">
        <f t="shared" si="107"/>
        <v>#NUM!</v>
      </c>
      <c r="AR103" s="21" t="e">
        <f t="shared" si="108"/>
        <v>#NUM!</v>
      </c>
      <c r="AS103" s="136" t="e">
        <f t="shared" si="124"/>
        <v>#NUM!</v>
      </c>
      <c r="AT103" s="59" t="e">
        <f t="shared" si="109"/>
        <v>#NUM!</v>
      </c>
      <c r="AU103" s="21" t="e">
        <f t="shared" si="125"/>
        <v>#NUM!</v>
      </c>
      <c r="AV103" s="58">
        <f t="shared" si="110"/>
        <v>1500</v>
      </c>
      <c r="AW103" s="58">
        <f t="shared" si="111"/>
        <v>600</v>
      </c>
      <c r="AX103" s="60">
        <f t="shared" si="112"/>
        <v>0.11</v>
      </c>
      <c r="AY103" s="212">
        <f t="shared" si="126"/>
        <v>0</v>
      </c>
      <c r="AZ103" s="59">
        <f t="shared" si="113"/>
        <v>0</v>
      </c>
      <c r="BA103" s="21" t="e">
        <f t="shared" si="127"/>
        <v>#DIV/0!</v>
      </c>
      <c r="BB103" s="58">
        <f t="shared" si="114"/>
        <v>2900</v>
      </c>
      <c r="BC103" s="58">
        <f t="shared" si="115"/>
        <v>1160</v>
      </c>
      <c r="BD103" s="60">
        <f t="shared" si="116"/>
        <v>0.15</v>
      </c>
      <c r="BE103" s="212" t="e">
        <f t="shared" si="128"/>
        <v>#NUM!</v>
      </c>
      <c r="BF103" s="59" t="e">
        <f t="shared" si="117"/>
        <v>#NUM!</v>
      </c>
      <c r="BG103" s="21" t="e">
        <f t="shared" si="129"/>
        <v>#NUM!</v>
      </c>
      <c r="BH103" s="55">
        <f t="shared" ca="1" si="118"/>
        <v>0</v>
      </c>
    </row>
    <row r="104" spans="1:60" x14ac:dyDescent="0.2">
      <c r="A104" s="61">
        <f ca="1">RANK(W104,W$12:W$311,0)+COUNTIF(W$12:W104,W104)-1</f>
        <v>208</v>
      </c>
      <c r="B104" s="55">
        <f>'Etape 1'!A100</f>
        <v>93</v>
      </c>
      <c r="C104" s="55">
        <f>'Etape 1'!B100</f>
        <v>0</v>
      </c>
      <c r="D104" s="55">
        <f>'Etape 1'!C100</f>
        <v>0</v>
      </c>
      <c r="E104" s="55">
        <f>'Etape 1'!D100</f>
        <v>0</v>
      </c>
      <c r="F104" s="55">
        <f>'Etape 1'!E100</f>
        <v>0</v>
      </c>
      <c r="G104" s="55">
        <f>'Etape 1'!F100</f>
        <v>0</v>
      </c>
      <c r="H104" s="55">
        <f>'Etape 1'!G100</f>
        <v>0</v>
      </c>
      <c r="I104" s="209">
        <v>1</v>
      </c>
      <c r="J104" s="58">
        <f t="shared" si="130"/>
        <v>0</v>
      </c>
      <c r="K104" s="21">
        <f t="shared" si="83"/>
        <v>0</v>
      </c>
      <c r="L104" s="21">
        <f t="shared" si="84"/>
        <v>0</v>
      </c>
      <c r="M104" s="21">
        <f t="shared" ca="1" si="85"/>
        <v>3</v>
      </c>
      <c r="N104" s="21">
        <f t="shared" ca="1" si="86"/>
        <v>3</v>
      </c>
      <c r="O104" s="21">
        <f t="shared" ca="1" si="87"/>
        <v>0</v>
      </c>
      <c r="P104" s="262" t="str">
        <f>IF('Etape 1'!J100=999,"",IF('Etape 1'!J100=9999,txt_Schritt1.Angaben.fehlen,VLOOKUP(N104,Matrix_1.2.3.Test.Punkte.ID.Beurteilung,4,1)))</f>
        <v/>
      </c>
      <c r="Q104" s="21">
        <f t="shared" ca="1" si="131"/>
        <v>0</v>
      </c>
      <c r="R104" s="136">
        <f t="shared" si="119"/>
        <v>93</v>
      </c>
      <c r="S104" s="136">
        <f t="shared" ca="1" si="88"/>
        <v>162.30897009966776</v>
      </c>
      <c r="T104" s="136">
        <f t="shared" ca="1" si="120"/>
        <v>750.30897009966782</v>
      </c>
      <c r="U104" s="136">
        <f t="shared" ca="1" si="121"/>
        <v>1224000.3089700998</v>
      </c>
      <c r="V104" s="211">
        <f t="shared" ca="1" si="122"/>
        <v>235406.50101441907</v>
      </c>
      <c r="W104" s="136">
        <f t="shared" ca="1" si="89"/>
        <v>93</v>
      </c>
      <c r="X104" s="136">
        <f t="shared" ca="1" si="90"/>
        <v>162.999000999001</v>
      </c>
      <c r="Y104" s="21">
        <f t="shared" si="91"/>
        <v>1</v>
      </c>
      <c r="Z104" s="21" t="str">
        <f t="shared" si="92"/>
        <v>&lt;IE0</v>
      </c>
      <c r="AA104" s="21">
        <f t="shared" si="93"/>
        <v>1</v>
      </c>
      <c r="AB104" s="21" t="str">
        <f t="shared" si="94"/>
        <v>a - "&lt; 1990 (Eff3)"</v>
      </c>
      <c r="AC104" s="21">
        <f t="shared" si="95"/>
        <v>999999</v>
      </c>
      <c r="AD104" s="21" t="str">
        <f t="shared" si="96"/>
        <v/>
      </c>
      <c r="AE104" s="21" t="str">
        <f t="shared" si="97"/>
        <v/>
      </c>
      <c r="AF104" s="21" t="str">
        <f t="shared" si="98"/>
        <v/>
      </c>
      <c r="AG104" s="21">
        <f t="shared" si="99"/>
        <v>0</v>
      </c>
      <c r="AH104" s="21">
        <f>IF('Etape 1'!H100=St.Wert_Hacken,1,0)</f>
        <v>0</v>
      </c>
      <c r="AI104" s="21">
        <f t="shared" si="123"/>
        <v>0</v>
      </c>
      <c r="AJ104" s="21">
        <f t="shared" si="100"/>
        <v>1000999</v>
      </c>
      <c r="AK104" s="58">
        <f t="shared" si="101"/>
        <v>1100</v>
      </c>
      <c r="AL104" s="58">
        <f t="shared" si="102"/>
        <v>440</v>
      </c>
      <c r="AM104" s="21">
        <f t="shared" si="103"/>
        <v>0</v>
      </c>
      <c r="AN104" s="58">
        <f t="shared" si="104"/>
        <v>1</v>
      </c>
      <c r="AO104" s="58" t="str">
        <f t="shared" si="105"/>
        <v>114</v>
      </c>
      <c r="AP104" s="58" t="str">
        <f t="shared" si="106"/>
        <v>164</v>
      </c>
      <c r="AQ104" s="21" t="e">
        <f t="shared" si="107"/>
        <v>#NUM!</v>
      </c>
      <c r="AR104" s="21" t="e">
        <f t="shared" si="108"/>
        <v>#NUM!</v>
      </c>
      <c r="AS104" s="136" t="e">
        <f t="shared" si="124"/>
        <v>#NUM!</v>
      </c>
      <c r="AT104" s="59" t="e">
        <f t="shared" si="109"/>
        <v>#NUM!</v>
      </c>
      <c r="AU104" s="21" t="e">
        <f t="shared" si="125"/>
        <v>#NUM!</v>
      </c>
      <c r="AV104" s="58">
        <f t="shared" si="110"/>
        <v>1500</v>
      </c>
      <c r="AW104" s="58">
        <f t="shared" si="111"/>
        <v>600</v>
      </c>
      <c r="AX104" s="60">
        <f t="shared" si="112"/>
        <v>0.11</v>
      </c>
      <c r="AY104" s="212">
        <f t="shared" si="126"/>
        <v>0</v>
      </c>
      <c r="AZ104" s="59">
        <f t="shared" si="113"/>
        <v>0</v>
      </c>
      <c r="BA104" s="21" t="e">
        <f t="shared" si="127"/>
        <v>#DIV/0!</v>
      </c>
      <c r="BB104" s="58">
        <f t="shared" si="114"/>
        <v>2900</v>
      </c>
      <c r="BC104" s="58">
        <f t="shared" si="115"/>
        <v>1160</v>
      </c>
      <c r="BD104" s="60">
        <f t="shared" si="116"/>
        <v>0.15</v>
      </c>
      <c r="BE104" s="212" t="e">
        <f t="shared" si="128"/>
        <v>#NUM!</v>
      </c>
      <c r="BF104" s="59" t="e">
        <f t="shared" si="117"/>
        <v>#NUM!</v>
      </c>
      <c r="BG104" s="21" t="e">
        <f t="shared" si="129"/>
        <v>#NUM!</v>
      </c>
      <c r="BH104" s="55">
        <f t="shared" ca="1" si="118"/>
        <v>0</v>
      </c>
    </row>
    <row r="105" spans="1:60" x14ac:dyDescent="0.2">
      <c r="A105" s="61">
        <f ca="1">RANK(W105,W$12:W$311,0)+COUNTIF(W$12:W105,W105)-1</f>
        <v>207</v>
      </c>
      <c r="B105" s="55">
        <f>'Etape 1'!A101</f>
        <v>94</v>
      </c>
      <c r="C105" s="55">
        <f>'Etape 1'!B101</f>
        <v>0</v>
      </c>
      <c r="D105" s="55">
        <f>'Etape 1'!C101</f>
        <v>0</v>
      </c>
      <c r="E105" s="55">
        <f>'Etape 1'!D101</f>
        <v>0</v>
      </c>
      <c r="F105" s="55">
        <f>'Etape 1'!E101</f>
        <v>0</v>
      </c>
      <c r="G105" s="55">
        <f>'Etape 1'!F101</f>
        <v>0</v>
      </c>
      <c r="H105" s="55">
        <f>'Etape 1'!G101</f>
        <v>0</v>
      </c>
      <c r="I105" s="209">
        <v>1</v>
      </c>
      <c r="J105" s="58">
        <f t="shared" si="130"/>
        <v>0</v>
      </c>
      <c r="K105" s="21">
        <f t="shared" si="83"/>
        <v>0</v>
      </c>
      <c r="L105" s="21">
        <f t="shared" si="84"/>
        <v>0</v>
      </c>
      <c r="M105" s="21">
        <f t="shared" ca="1" si="85"/>
        <v>3</v>
      </c>
      <c r="N105" s="21">
        <f t="shared" ca="1" si="86"/>
        <v>3</v>
      </c>
      <c r="O105" s="21">
        <f t="shared" ca="1" si="87"/>
        <v>0</v>
      </c>
      <c r="P105" s="262" t="str">
        <f>IF('Etape 1'!J101=999,"",IF('Etape 1'!J101=9999,txt_Schritt1.Angaben.fehlen,VLOOKUP(N105,Matrix_1.2.3.Test.Punkte.ID.Beurteilung,4,1)))</f>
        <v/>
      </c>
      <c r="Q105" s="21">
        <f t="shared" ca="1" si="131"/>
        <v>0</v>
      </c>
      <c r="R105" s="136">
        <f t="shared" si="119"/>
        <v>94</v>
      </c>
      <c r="S105" s="136">
        <f t="shared" ca="1" si="88"/>
        <v>162.31229235880397</v>
      </c>
      <c r="T105" s="136">
        <f t="shared" ca="1" si="120"/>
        <v>750.31229235880403</v>
      </c>
      <c r="U105" s="136">
        <f t="shared" ca="1" si="121"/>
        <v>1224000.3122923588</v>
      </c>
      <c r="V105" s="211">
        <f t="shared" ca="1" si="122"/>
        <v>235406.50433667822</v>
      </c>
      <c r="W105" s="136">
        <f t="shared" ca="1" si="89"/>
        <v>94</v>
      </c>
      <c r="X105" s="136">
        <f t="shared" ca="1" si="90"/>
        <v>162.999000999001</v>
      </c>
      <c r="Y105" s="21">
        <f t="shared" si="91"/>
        <v>1</v>
      </c>
      <c r="Z105" s="21" t="str">
        <f t="shared" si="92"/>
        <v>&lt;IE0</v>
      </c>
      <c r="AA105" s="21">
        <f t="shared" si="93"/>
        <v>1</v>
      </c>
      <c r="AB105" s="21" t="str">
        <f t="shared" si="94"/>
        <v>a - "&lt; 1990 (Eff3)"</v>
      </c>
      <c r="AC105" s="21">
        <f t="shared" si="95"/>
        <v>999999</v>
      </c>
      <c r="AD105" s="21" t="str">
        <f t="shared" si="96"/>
        <v/>
      </c>
      <c r="AE105" s="21" t="str">
        <f t="shared" si="97"/>
        <v/>
      </c>
      <c r="AF105" s="21" t="str">
        <f t="shared" si="98"/>
        <v/>
      </c>
      <c r="AG105" s="21">
        <f t="shared" si="99"/>
        <v>0</v>
      </c>
      <c r="AH105" s="21">
        <f>IF('Etape 1'!H101=St.Wert_Hacken,1,0)</f>
        <v>0</v>
      </c>
      <c r="AI105" s="21">
        <f t="shared" si="123"/>
        <v>0</v>
      </c>
      <c r="AJ105" s="21">
        <f t="shared" si="100"/>
        <v>1000999</v>
      </c>
      <c r="AK105" s="58">
        <f t="shared" si="101"/>
        <v>1100</v>
      </c>
      <c r="AL105" s="58">
        <f t="shared" si="102"/>
        <v>440</v>
      </c>
      <c r="AM105" s="21">
        <f t="shared" si="103"/>
        <v>0</v>
      </c>
      <c r="AN105" s="58">
        <f t="shared" si="104"/>
        <v>1</v>
      </c>
      <c r="AO105" s="58" t="str">
        <f t="shared" si="105"/>
        <v>114</v>
      </c>
      <c r="AP105" s="58" t="str">
        <f t="shared" si="106"/>
        <v>164</v>
      </c>
      <c r="AQ105" s="21" t="e">
        <f t="shared" si="107"/>
        <v>#NUM!</v>
      </c>
      <c r="AR105" s="21" t="e">
        <f t="shared" si="108"/>
        <v>#NUM!</v>
      </c>
      <c r="AS105" s="136" t="e">
        <f t="shared" si="124"/>
        <v>#NUM!</v>
      </c>
      <c r="AT105" s="59" t="e">
        <f t="shared" si="109"/>
        <v>#NUM!</v>
      </c>
      <c r="AU105" s="21" t="e">
        <f t="shared" si="125"/>
        <v>#NUM!</v>
      </c>
      <c r="AV105" s="58">
        <f t="shared" si="110"/>
        <v>1500</v>
      </c>
      <c r="AW105" s="58">
        <f t="shared" si="111"/>
        <v>600</v>
      </c>
      <c r="AX105" s="60">
        <f t="shared" si="112"/>
        <v>0.11</v>
      </c>
      <c r="AY105" s="212">
        <f t="shared" si="126"/>
        <v>0</v>
      </c>
      <c r="AZ105" s="59">
        <f t="shared" si="113"/>
        <v>0</v>
      </c>
      <c r="BA105" s="21" t="e">
        <f t="shared" si="127"/>
        <v>#DIV/0!</v>
      </c>
      <c r="BB105" s="58">
        <f t="shared" si="114"/>
        <v>2900</v>
      </c>
      <c r="BC105" s="58">
        <f t="shared" si="115"/>
        <v>1160</v>
      </c>
      <c r="BD105" s="60">
        <f t="shared" si="116"/>
        <v>0.15</v>
      </c>
      <c r="BE105" s="212" t="e">
        <f t="shared" si="128"/>
        <v>#NUM!</v>
      </c>
      <c r="BF105" s="59" t="e">
        <f t="shared" si="117"/>
        <v>#NUM!</v>
      </c>
      <c r="BG105" s="21" t="e">
        <f t="shared" si="129"/>
        <v>#NUM!</v>
      </c>
      <c r="BH105" s="55">
        <f t="shared" ca="1" si="118"/>
        <v>0</v>
      </c>
    </row>
    <row r="106" spans="1:60" x14ac:dyDescent="0.2">
      <c r="A106" s="61">
        <f ca="1">RANK(W106,W$12:W$311,0)+COUNTIF(W$12:W106,W106)-1</f>
        <v>206</v>
      </c>
      <c r="B106" s="55">
        <f>'Etape 1'!A102</f>
        <v>95</v>
      </c>
      <c r="C106" s="55">
        <f>'Etape 1'!B102</f>
        <v>0</v>
      </c>
      <c r="D106" s="55">
        <f>'Etape 1'!C102</f>
        <v>0</v>
      </c>
      <c r="E106" s="55">
        <f>'Etape 1'!D102</f>
        <v>0</v>
      </c>
      <c r="F106" s="55">
        <f>'Etape 1'!E102</f>
        <v>0</v>
      </c>
      <c r="G106" s="55">
        <f>'Etape 1'!F102</f>
        <v>0</v>
      </c>
      <c r="H106" s="55">
        <f>'Etape 1'!G102</f>
        <v>0</v>
      </c>
      <c r="I106" s="209">
        <v>1</v>
      </c>
      <c r="J106" s="58">
        <f t="shared" si="130"/>
        <v>0</v>
      </c>
      <c r="K106" s="21">
        <f t="shared" si="83"/>
        <v>0</v>
      </c>
      <c r="L106" s="21">
        <f t="shared" si="84"/>
        <v>0</v>
      </c>
      <c r="M106" s="21">
        <f t="shared" ca="1" si="85"/>
        <v>3</v>
      </c>
      <c r="N106" s="21">
        <f t="shared" ca="1" si="86"/>
        <v>3</v>
      </c>
      <c r="O106" s="21">
        <f t="shared" ca="1" si="87"/>
        <v>0</v>
      </c>
      <c r="P106" s="262" t="str">
        <f>IF('Etape 1'!J102=999,"",IF('Etape 1'!J102=9999,txt_Schritt1.Angaben.fehlen,VLOOKUP(N106,Matrix_1.2.3.Test.Punkte.ID.Beurteilung,4,1)))</f>
        <v/>
      </c>
      <c r="Q106" s="21">
        <f t="shared" ca="1" si="131"/>
        <v>0</v>
      </c>
      <c r="R106" s="136">
        <f t="shared" si="119"/>
        <v>95</v>
      </c>
      <c r="S106" s="136">
        <f t="shared" ca="1" si="88"/>
        <v>162.31561461794021</v>
      </c>
      <c r="T106" s="136">
        <f t="shared" ca="1" si="120"/>
        <v>750.31561461794024</v>
      </c>
      <c r="U106" s="136">
        <f t="shared" ca="1" si="121"/>
        <v>1224000.3156146179</v>
      </c>
      <c r="V106" s="211">
        <f t="shared" ca="1" si="122"/>
        <v>235406.50765893736</v>
      </c>
      <c r="W106" s="136">
        <f t="shared" ca="1" si="89"/>
        <v>95</v>
      </c>
      <c r="X106" s="136">
        <f t="shared" ca="1" si="90"/>
        <v>162.999000999001</v>
      </c>
      <c r="Y106" s="21">
        <f t="shared" si="91"/>
        <v>1</v>
      </c>
      <c r="Z106" s="21" t="str">
        <f t="shared" si="92"/>
        <v>&lt;IE0</v>
      </c>
      <c r="AA106" s="21">
        <f t="shared" si="93"/>
        <v>1</v>
      </c>
      <c r="AB106" s="21" t="str">
        <f t="shared" si="94"/>
        <v>a - "&lt; 1990 (Eff3)"</v>
      </c>
      <c r="AC106" s="21">
        <f t="shared" si="95"/>
        <v>999999</v>
      </c>
      <c r="AD106" s="21" t="str">
        <f t="shared" si="96"/>
        <v/>
      </c>
      <c r="AE106" s="21" t="str">
        <f t="shared" si="97"/>
        <v/>
      </c>
      <c r="AF106" s="21" t="str">
        <f t="shared" si="98"/>
        <v/>
      </c>
      <c r="AG106" s="21">
        <f t="shared" si="99"/>
        <v>0</v>
      </c>
      <c r="AH106" s="21">
        <f>IF('Etape 1'!H102=St.Wert_Hacken,1,0)</f>
        <v>0</v>
      </c>
      <c r="AI106" s="21">
        <f t="shared" si="123"/>
        <v>0</v>
      </c>
      <c r="AJ106" s="21">
        <f t="shared" si="100"/>
        <v>1000999</v>
      </c>
      <c r="AK106" s="58">
        <f t="shared" si="101"/>
        <v>1100</v>
      </c>
      <c r="AL106" s="58">
        <f t="shared" si="102"/>
        <v>440</v>
      </c>
      <c r="AM106" s="21">
        <f t="shared" si="103"/>
        <v>0</v>
      </c>
      <c r="AN106" s="58">
        <f t="shared" si="104"/>
        <v>1</v>
      </c>
      <c r="AO106" s="58" t="str">
        <f t="shared" si="105"/>
        <v>114</v>
      </c>
      <c r="AP106" s="58" t="str">
        <f t="shared" si="106"/>
        <v>164</v>
      </c>
      <c r="AQ106" s="21" t="e">
        <f t="shared" si="107"/>
        <v>#NUM!</v>
      </c>
      <c r="AR106" s="21" t="e">
        <f t="shared" si="108"/>
        <v>#NUM!</v>
      </c>
      <c r="AS106" s="136" t="e">
        <f t="shared" si="124"/>
        <v>#NUM!</v>
      </c>
      <c r="AT106" s="59" t="e">
        <f t="shared" si="109"/>
        <v>#NUM!</v>
      </c>
      <c r="AU106" s="21" t="e">
        <f t="shared" si="125"/>
        <v>#NUM!</v>
      </c>
      <c r="AV106" s="58">
        <f t="shared" si="110"/>
        <v>1500</v>
      </c>
      <c r="AW106" s="58">
        <f t="shared" si="111"/>
        <v>600</v>
      </c>
      <c r="AX106" s="60">
        <f t="shared" si="112"/>
        <v>0.11</v>
      </c>
      <c r="AY106" s="212">
        <f t="shared" si="126"/>
        <v>0</v>
      </c>
      <c r="AZ106" s="59">
        <f t="shared" si="113"/>
        <v>0</v>
      </c>
      <c r="BA106" s="21" t="e">
        <f t="shared" si="127"/>
        <v>#DIV/0!</v>
      </c>
      <c r="BB106" s="58">
        <f t="shared" si="114"/>
        <v>2900</v>
      </c>
      <c r="BC106" s="58">
        <f t="shared" si="115"/>
        <v>1160</v>
      </c>
      <c r="BD106" s="60">
        <f t="shared" si="116"/>
        <v>0.15</v>
      </c>
      <c r="BE106" s="212" t="e">
        <f t="shared" si="128"/>
        <v>#NUM!</v>
      </c>
      <c r="BF106" s="59" t="e">
        <f t="shared" si="117"/>
        <v>#NUM!</v>
      </c>
      <c r="BG106" s="21" t="e">
        <f t="shared" si="129"/>
        <v>#NUM!</v>
      </c>
      <c r="BH106" s="55">
        <f t="shared" ca="1" si="118"/>
        <v>0</v>
      </c>
    </row>
    <row r="107" spans="1:60" x14ac:dyDescent="0.2">
      <c r="A107" s="61">
        <f ca="1">RANK(W107,W$12:W$311,0)+COUNTIF(W$12:W107,W107)-1</f>
        <v>205</v>
      </c>
      <c r="B107" s="55">
        <f>'Etape 1'!A103</f>
        <v>96</v>
      </c>
      <c r="C107" s="55">
        <f>'Etape 1'!B103</f>
        <v>0</v>
      </c>
      <c r="D107" s="55">
        <f>'Etape 1'!C103</f>
        <v>0</v>
      </c>
      <c r="E107" s="55">
        <f>'Etape 1'!D103</f>
        <v>0</v>
      </c>
      <c r="F107" s="55">
        <f>'Etape 1'!E103</f>
        <v>0</v>
      </c>
      <c r="G107" s="55">
        <f>'Etape 1'!F103</f>
        <v>0</v>
      </c>
      <c r="H107" s="55">
        <f>'Etape 1'!G103</f>
        <v>0</v>
      </c>
      <c r="I107" s="209">
        <v>1</v>
      </c>
      <c r="J107" s="58">
        <f t="shared" si="130"/>
        <v>0</v>
      </c>
      <c r="K107" s="21">
        <f t="shared" si="83"/>
        <v>0</v>
      </c>
      <c r="L107" s="21">
        <f t="shared" si="84"/>
        <v>0</v>
      </c>
      <c r="M107" s="21">
        <f t="shared" ca="1" si="85"/>
        <v>3</v>
      </c>
      <c r="N107" s="21">
        <f t="shared" ca="1" si="86"/>
        <v>3</v>
      </c>
      <c r="O107" s="21">
        <f t="shared" ca="1" si="87"/>
        <v>0</v>
      </c>
      <c r="P107" s="262" t="str">
        <f>IF('Etape 1'!J103=999,"",IF('Etape 1'!J103=9999,txt_Schritt1.Angaben.fehlen,VLOOKUP(N107,Matrix_1.2.3.Test.Punkte.ID.Beurteilung,4,1)))</f>
        <v/>
      </c>
      <c r="Q107" s="21">
        <f t="shared" ca="1" si="131"/>
        <v>0</v>
      </c>
      <c r="R107" s="136">
        <f t="shared" si="119"/>
        <v>96</v>
      </c>
      <c r="S107" s="136">
        <f t="shared" ca="1" si="88"/>
        <v>162.31893687707642</v>
      </c>
      <c r="T107" s="136">
        <f t="shared" ca="1" si="120"/>
        <v>750.31893687707645</v>
      </c>
      <c r="U107" s="136">
        <f t="shared" ca="1" si="121"/>
        <v>1224000.3189368772</v>
      </c>
      <c r="V107" s="211">
        <f t="shared" ca="1" si="122"/>
        <v>235406.51098119648</v>
      </c>
      <c r="W107" s="136">
        <f t="shared" ca="1" si="89"/>
        <v>96</v>
      </c>
      <c r="X107" s="136">
        <f t="shared" ca="1" si="90"/>
        <v>162.999000999001</v>
      </c>
      <c r="Y107" s="21">
        <f t="shared" si="91"/>
        <v>1</v>
      </c>
      <c r="Z107" s="21" t="str">
        <f t="shared" si="92"/>
        <v>&lt;IE0</v>
      </c>
      <c r="AA107" s="21">
        <f t="shared" si="93"/>
        <v>1</v>
      </c>
      <c r="AB107" s="21" t="str">
        <f t="shared" si="94"/>
        <v>a - "&lt; 1990 (Eff3)"</v>
      </c>
      <c r="AC107" s="21">
        <f t="shared" si="95"/>
        <v>999999</v>
      </c>
      <c r="AD107" s="21" t="str">
        <f t="shared" si="96"/>
        <v/>
      </c>
      <c r="AE107" s="21" t="str">
        <f t="shared" si="97"/>
        <v/>
      </c>
      <c r="AF107" s="21" t="str">
        <f t="shared" si="98"/>
        <v/>
      </c>
      <c r="AG107" s="21">
        <f t="shared" si="99"/>
        <v>0</v>
      </c>
      <c r="AH107" s="21">
        <f>IF('Etape 1'!H103=St.Wert_Hacken,1,0)</f>
        <v>0</v>
      </c>
      <c r="AI107" s="21">
        <f t="shared" si="123"/>
        <v>0</v>
      </c>
      <c r="AJ107" s="21">
        <f t="shared" si="100"/>
        <v>1000999</v>
      </c>
      <c r="AK107" s="58">
        <f t="shared" si="101"/>
        <v>1100</v>
      </c>
      <c r="AL107" s="58">
        <f t="shared" si="102"/>
        <v>440</v>
      </c>
      <c r="AM107" s="21">
        <f t="shared" si="103"/>
        <v>0</v>
      </c>
      <c r="AN107" s="58">
        <f t="shared" si="104"/>
        <v>1</v>
      </c>
      <c r="AO107" s="58" t="str">
        <f t="shared" si="105"/>
        <v>114</v>
      </c>
      <c r="AP107" s="58" t="str">
        <f t="shared" si="106"/>
        <v>164</v>
      </c>
      <c r="AQ107" s="21" t="e">
        <f t="shared" si="107"/>
        <v>#NUM!</v>
      </c>
      <c r="AR107" s="21" t="e">
        <f t="shared" si="108"/>
        <v>#NUM!</v>
      </c>
      <c r="AS107" s="136" t="e">
        <f t="shared" si="124"/>
        <v>#NUM!</v>
      </c>
      <c r="AT107" s="59" t="e">
        <f t="shared" si="109"/>
        <v>#NUM!</v>
      </c>
      <c r="AU107" s="21" t="e">
        <f t="shared" si="125"/>
        <v>#NUM!</v>
      </c>
      <c r="AV107" s="58">
        <f t="shared" si="110"/>
        <v>1500</v>
      </c>
      <c r="AW107" s="58">
        <f t="shared" si="111"/>
        <v>600</v>
      </c>
      <c r="AX107" s="60">
        <f t="shared" si="112"/>
        <v>0.11</v>
      </c>
      <c r="AY107" s="212">
        <f t="shared" si="126"/>
        <v>0</v>
      </c>
      <c r="AZ107" s="59">
        <f t="shared" si="113"/>
        <v>0</v>
      </c>
      <c r="BA107" s="21" t="e">
        <f t="shared" si="127"/>
        <v>#DIV/0!</v>
      </c>
      <c r="BB107" s="58">
        <f t="shared" si="114"/>
        <v>2900</v>
      </c>
      <c r="BC107" s="58">
        <f t="shared" si="115"/>
        <v>1160</v>
      </c>
      <c r="BD107" s="60">
        <f t="shared" si="116"/>
        <v>0.15</v>
      </c>
      <c r="BE107" s="212" t="e">
        <f t="shared" si="128"/>
        <v>#NUM!</v>
      </c>
      <c r="BF107" s="59" t="e">
        <f t="shared" si="117"/>
        <v>#NUM!</v>
      </c>
      <c r="BG107" s="21" t="e">
        <f t="shared" si="129"/>
        <v>#NUM!</v>
      </c>
      <c r="BH107" s="55">
        <f t="shared" ca="1" si="118"/>
        <v>0</v>
      </c>
    </row>
    <row r="108" spans="1:60" x14ac:dyDescent="0.2">
      <c r="A108" s="61">
        <f ca="1">RANK(W108,W$12:W$311,0)+COUNTIF(W$12:W108,W108)-1</f>
        <v>204</v>
      </c>
      <c r="B108" s="55">
        <f>'Etape 1'!A104</f>
        <v>97</v>
      </c>
      <c r="C108" s="55">
        <f>'Etape 1'!B104</f>
        <v>0</v>
      </c>
      <c r="D108" s="55">
        <f>'Etape 1'!C104</f>
        <v>0</v>
      </c>
      <c r="E108" s="55">
        <f>'Etape 1'!D104</f>
        <v>0</v>
      </c>
      <c r="F108" s="55">
        <f>'Etape 1'!E104</f>
        <v>0</v>
      </c>
      <c r="G108" s="55">
        <f>'Etape 1'!F104</f>
        <v>0</v>
      </c>
      <c r="H108" s="55">
        <f>'Etape 1'!G104</f>
        <v>0</v>
      </c>
      <c r="I108" s="209">
        <v>1</v>
      </c>
      <c r="J108" s="58">
        <f t="shared" si="130"/>
        <v>0</v>
      </c>
      <c r="K108" s="21">
        <f t="shared" si="83"/>
        <v>0</v>
      </c>
      <c r="L108" s="21">
        <f t="shared" si="84"/>
        <v>0</v>
      </c>
      <c r="M108" s="21">
        <f t="shared" ca="1" si="85"/>
        <v>3</v>
      </c>
      <c r="N108" s="21">
        <f t="shared" ref="N108:N110" ca="1" si="132">M108+Wert_1.2.3.Test.Faktor.A*L108*K108</f>
        <v>3</v>
      </c>
      <c r="O108" s="21">
        <f t="shared" ref="O108:O110" ca="1" si="133">VLOOKUP(N108,Matrix_1.2.3.Test.Punkte.ID.Beurteilung,3,TRUE)</f>
        <v>0</v>
      </c>
      <c r="P108" s="262" t="str">
        <f>IF('Etape 1'!J104=999,"",IF('Etape 1'!J104=9999,txt_Schritt1.Angaben.fehlen,VLOOKUP(N108,Matrix_1.2.3.Test.Punkte.ID.Beurteilung,4,1)))</f>
        <v/>
      </c>
      <c r="Q108" s="21">
        <f t="shared" ca="1" si="131"/>
        <v>0</v>
      </c>
      <c r="R108" s="136">
        <f t="shared" si="119"/>
        <v>97</v>
      </c>
      <c r="S108" s="136">
        <f t="shared" ca="1" si="88"/>
        <v>162.32225913621264</v>
      </c>
      <c r="T108" s="136">
        <f t="shared" ca="1" si="120"/>
        <v>750.32225913621266</v>
      </c>
      <c r="U108" s="136">
        <f t="shared" ca="1" si="121"/>
        <v>1224000.3222591362</v>
      </c>
      <c r="V108" s="211">
        <f t="shared" ca="1" si="122"/>
        <v>235406.51430345562</v>
      </c>
      <c r="W108" s="136">
        <f t="shared" ca="1" si="89"/>
        <v>97</v>
      </c>
      <c r="X108" s="136">
        <f t="shared" ca="1" si="90"/>
        <v>162.999000999001</v>
      </c>
      <c r="Y108" s="21">
        <f>VLOOKUP(H108,Matrix_Motor.Jahr.EffKl,2,1)</f>
        <v>1</v>
      </c>
      <c r="Z108" s="21" t="str">
        <f t="shared" si="92"/>
        <v>&lt;IE0</v>
      </c>
      <c r="AA108" s="21">
        <f t="shared" si="93"/>
        <v>1</v>
      </c>
      <c r="AB108" s="21" t="str">
        <f t="shared" si="94"/>
        <v>a - "&lt; 1990 (Eff3)"</v>
      </c>
      <c r="AC108" s="21">
        <f t="shared" si="95"/>
        <v>999999</v>
      </c>
      <c r="AD108" s="21" t="str">
        <f t="shared" ref="AD108:AD110" si="134">IF(AC108=St.Wert_Platzhalter.Payback,"",VLOOKUP(AC108,Matrix_Wirtschaftlichkeit.Payback.ID.Txt,2,1))</f>
        <v/>
      </c>
      <c r="AE108" s="21" t="str">
        <f t="shared" si="97"/>
        <v/>
      </c>
      <c r="AF108" s="21" t="str">
        <f t="shared" si="98"/>
        <v/>
      </c>
      <c r="AG108" s="21">
        <f t="shared" si="99"/>
        <v>0</v>
      </c>
      <c r="AH108" s="21">
        <f>IF('Etape 1'!H104=St.Wert_Hacken,1,0)</f>
        <v>0</v>
      </c>
      <c r="AI108" s="21">
        <f t="shared" si="123"/>
        <v>0</v>
      </c>
      <c r="AJ108" s="21">
        <f t="shared" ref="AJ108:AJ110" si="135">IF(AI108=1,IF(AC108&gt;St.Wert_Payback.Max,St.Wert_Payback.Max,AC108),AC108+St.Wert_Payback.Max)</f>
        <v>1000999</v>
      </c>
      <c r="AK108" s="58">
        <f t="shared" si="101"/>
        <v>1100</v>
      </c>
      <c r="AL108" s="58">
        <f t="shared" ref="AL108:AL110" si="136">AK108*IF(Wert_Wirtschaftlichkeit.EnergieAnteil.Ja.Nein.Schritt1,VLOOKUP(AA108,Matrix_Anlage.AlterID.Einsparpotential.und.EnergieAnteil,6,0),1)</f>
        <v>440</v>
      </c>
      <c r="AM108" s="21">
        <f t="shared" si="103"/>
        <v>0</v>
      </c>
      <c r="AN108" s="58">
        <f t="shared" si="104"/>
        <v>1</v>
      </c>
      <c r="AO108" s="58" t="str">
        <f t="shared" ref="AO108:AO110" si="137">CONCATENATE(AN108,Y108,Wert_Motor.Pole.Anzahl.Schritt1)</f>
        <v>114</v>
      </c>
      <c r="AP108" s="58" t="str">
        <f t="shared" si="106"/>
        <v>164</v>
      </c>
      <c r="AQ108" s="21" t="e">
        <f t="shared" si="107"/>
        <v>#NUM!</v>
      </c>
      <c r="AR108" s="21" t="e">
        <f t="shared" si="108"/>
        <v>#NUM!</v>
      </c>
      <c r="AS108" s="136" t="e">
        <f t="shared" si="124"/>
        <v>#NUM!</v>
      </c>
      <c r="AT108" s="59" t="e">
        <f t="shared" ref="AT108:AT110" si="138">AS108*Preis_Strom.Schritt1/100</f>
        <v>#NUM!</v>
      </c>
      <c r="AU108" s="21" t="e">
        <f t="shared" si="125"/>
        <v>#NUM!</v>
      </c>
      <c r="AV108" s="58">
        <f t="shared" si="110"/>
        <v>1500</v>
      </c>
      <c r="AW108" s="58">
        <f t="shared" ref="AW108:AW110" si="139">AV108*IF(Wert_Wirtschaftlichkeit.EnergieAnteil.Ja.Nein.Schritt1,VLOOKUP(AA108,Matrix_Anlage.AlterID.Einsparpotential.und.EnergieAnteil,6,0),1)</f>
        <v>600</v>
      </c>
      <c r="AX108" s="60">
        <f t="shared" si="112"/>
        <v>0.11</v>
      </c>
      <c r="AY108" s="212">
        <f t="shared" si="126"/>
        <v>0</v>
      </c>
      <c r="AZ108" s="59">
        <f t="shared" ref="AZ108:AZ110" si="140">AY108*Preis_Strom.Schritt1/100</f>
        <v>0</v>
      </c>
      <c r="BA108" s="21" t="e">
        <f t="shared" si="127"/>
        <v>#DIV/0!</v>
      </c>
      <c r="BB108" s="58">
        <f t="shared" si="114"/>
        <v>2900</v>
      </c>
      <c r="BC108" s="58">
        <f t="shared" ref="BC108:BC110" si="141">BB108*IF(Wert_Wirtschaftlichkeit.EnergieAnteil.Ja.Nein.Schritt1,VLOOKUP(AA108,Matrix_Anlage.AlterID.Einsparpotential.und.EnergieAnteil,6,0),1)</f>
        <v>1160</v>
      </c>
      <c r="BD108" s="60">
        <f t="shared" si="116"/>
        <v>0.15</v>
      </c>
      <c r="BE108" s="212" t="e">
        <f t="shared" si="128"/>
        <v>#NUM!</v>
      </c>
      <c r="BF108" s="59" t="e">
        <f t="shared" ref="BF108:BF110" si="142">BE108*Preis_Strom.Schritt1/100</f>
        <v>#NUM!</v>
      </c>
      <c r="BG108" s="21" t="e">
        <f t="shared" si="129"/>
        <v>#NUM!</v>
      </c>
      <c r="BH108" s="55">
        <f t="shared" ca="1" si="118"/>
        <v>0</v>
      </c>
    </row>
    <row r="109" spans="1:60" x14ac:dyDescent="0.2">
      <c r="A109" s="61">
        <f ca="1">RANK(W109,W$12:W$311,0)+COUNTIF(W$12:W109,W109)-1</f>
        <v>203</v>
      </c>
      <c r="B109" s="55">
        <f>'Etape 1'!A105</f>
        <v>98</v>
      </c>
      <c r="C109" s="55">
        <f>'Etape 1'!B105</f>
        <v>0</v>
      </c>
      <c r="D109" s="55">
        <f>'Etape 1'!C105</f>
        <v>0</v>
      </c>
      <c r="E109" s="55">
        <f>'Etape 1'!D105</f>
        <v>0</v>
      </c>
      <c r="F109" s="55">
        <f>'Etape 1'!E105</f>
        <v>0</v>
      </c>
      <c r="G109" s="55">
        <f>'Etape 1'!F105</f>
        <v>0</v>
      </c>
      <c r="H109" s="55">
        <f>'Etape 1'!G105</f>
        <v>0</v>
      </c>
      <c r="I109" s="209">
        <v>1</v>
      </c>
      <c r="J109" s="58">
        <f t="shared" si="130"/>
        <v>0</v>
      </c>
      <c r="K109" s="21">
        <f t="shared" si="83"/>
        <v>0</v>
      </c>
      <c r="L109" s="21">
        <f t="shared" si="84"/>
        <v>0</v>
      </c>
      <c r="M109" s="21">
        <f t="shared" ca="1" si="85"/>
        <v>3</v>
      </c>
      <c r="N109" s="21">
        <f t="shared" ca="1" si="132"/>
        <v>3</v>
      </c>
      <c r="O109" s="21">
        <f t="shared" ca="1" si="133"/>
        <v>0</v>
      </c>
      <c r="P109" s="262" t="str">
        <f>IF('Etape 1'!J105=999,"",IF('Etape 1'!J105=9999,txt_Schritt1.Angaben.fehlen,VLOOKUP(N109,Matrix_1.2.3.Test.Punkte.ID.Beurteilung,4,1)))</f>
        <v/>
      </c>
      <c r="Q109" s="21">
        <f t="shared" ca="1" si="131"/>
        <v>0</v>
      </c>
      <c r="R109" s="136">
        <f t="shared" si="119"/>
        <v>98</v>
      </c>
      <c r="S109" s="136">
        <f t="shared" ca="1" si="88"/>
        <v>162.32558139534885</v>
      </c>
      <c r="T109" s="136">
        <f t="shared" ca="1" si="120"/>
        <v>750.32558139534888</v>
      </c>
      <c r="U109" s="136">
        <f t="shared" ca="1" si="121"/>
        <v>1224000.3255813953</v>
      </c>
      <c r="V109" s="211">
        <f t="shared" ca="1" si="122"/>
        <v>235406.51762571477</v>
      </c>
      <c r="W109" s="136">
        <f t="shared" ca="1" si="89"/>
        <v>98</v>
      </c>
      <c r="X109" s="136">
        <f t="shared" ca="1" si="90"/>
        <v>162.999000999001</v>
      </c>
      <c r="Y109" s="21">
        <f>VLOOKUP(H109,Matrix_Motor.Jahr.EffKl,2,1)</f>
        <v>1</v>
      </c>
      <c r="Z109" s="21" t="str">
        <f t="shared" si="92"/>
        <v>&lt;IE0</v>
      </c>
      <c r="AA109" s="21">
        <f t="shared" si="93"/>
        <v>1</v>
      </c>
      <c r="AB109" s="21" t="str">
        <f t="shared" si="94"/>
        <v>a - "&lt; 1990 (Eff3)"</v>
      </c>
      <c r="AC109" s="21">
        <f t="shared" si="95"/>
        <v>999999</v>
      </c>
      <c r="AD109" s="21" t="str">
        <f t="shared" si="134"/>
        <v/>
      </c>
      <c r="AE109" s="21" t="str">
        <f t="shared" si="97"/>
        <v/>
      </c>
      <c r="AF109" s="21" t="str">
        <f t="shared" si="98"/>
        <v/>
      </c>
      <c r="AG109" s="21">
        <f t="shared" si="99"/>
        <v>0</v>
      </c>
      <c r="AH109" s="21">
        <f>IF('Etape 1'!H105=St.Wert_Hacken,1,0)</f>
        <v>0</v>
      </c>
      <c r="AI109" s="21">
        <f t="shared" si="123"/>
        <v>0</v>
      </c>
      <c r="AJ109" s="21">
        <f t="shared" si="135"/>
        <v>1000999</v>
      </c>
      <c r="AK109" s="58">
        <f t="shared" si="101"/>
        <v>1100</v>
      </c>
      <c r="AL109" s="58">
        <f t="shared" si="136"/>
        <v>440</v>
      </c>
      <c r="AM109" s="21">
        <f t="shared" si="103"/>
        <v>0</v>
      </c>
      <c r="AN109" s="58">
        <f t="shared" si="104"/>
        <v>1</v>
      </c>
      <c r="AO109" s="58" t="str">
        <f t="shared" si="137"/>
        <v>114</v>
      </c>
      <c r="AP109" s="58" t="str">
        <f t="shared" si="106"/>
        <v>164</v>
      </c>
      <c r="AQ109" s="21" t="e">
        <f t="shared" si="107"/>
        <v>#NUM!</v>
      </c>
      <c r="AR109" s="21" t="e">
        <f t="shared" si="108"/>
        <v>#NUM!</v>
      </c>
      <c r="AS109" s="136" t="e">
        <f t="shared" si="124"/>
        <v>#NUM!</v>
      </c>
      <c r="AT109" s="59" t="e">
        <f t="shared" si="138"/>
        <v>#NUM!</v>
      </c>
      <c r="AU109" s="21" t="e">
        <f t="shared" si="125"/>
        <v>#NUM!</v>
      </c>
      <c r="AV109" s="58">
        <f t="shared" si="110"/>
        <v>1500</v>
      </c>
      <c r="AW109" s="58">
        <f t="shared" si="139"/>
        <v>600</v>
      </c>
      <c r="AX109" s="60">
        <f t="shared" si="112"/>
        <v>0.11</v>
      </c>
      <c r="AY109" s="212">
        <f t="shared" si="126"/>
        <v>0</v>
      </c>
      <c r="AZ109" s="59">
        <f t="shared" si="140"/>
        <v>0</v>
      </c>
      <c r="BA109" s="21" t="e">
        <f t="shared" si="127"/>
        <v>#DIV/0!</v>
      </c>
      <c r="BB109" s="58">
        <f t="shared" si="114"/>
        <v>2900</v>
      </c>
      <c r="BC109" s="58">
        <f t="shared" si="141"/>
        <v>1160</v>
      </c>
      <c r="BD109" s="60">
        <f t="shared" si="116"/>
        <v>0.15</v>
      </c>
      <c r="BE109" s="212" t="e">
        <f t="shared" si="128"/>
        <v>#NUM!</v>
      </c>
      <c r="BF109" s="59" t="e">
        <f t="shared" si="142"/>
        <v>#NUM!</v>
      </c>
      <c r="BG109" s="21" t="e">
        <f t="shared" si="129"/>
        <v>#NUM!</v>
      </c>
      <c r="BH109" s="55">
        <f t="shared" ca="1" si="118"/>
        <v>0</v>
      </c>
    </row>
    <row r="110" spans="1:60" x14ac:dyDescent="0.2">
      <c r="A110" s="61">
        <f ca="1">RANK(W110,W$12:W$311,0)+COUNTIF(W$12:W110,W110)-1</f>
        <v>202</v>
      </c>
      <c r="B110" s="55">
        <f>'Etape 1'!A106</f>
        <v>99</v>
      </c>
      <c r="C110" s="55">
        <f>'Etape 1'!B106</f>
        <v>0</v>
      </c>
      <c r="D110" s="55">
        <f>'Etape 1'!C106</f>
        <v>0</v>
      </c>
      <c r="E110" s="55">
        <f>'Etape 1'!D106</f>
        <v>0</v>
      </c>
      <c r="F110" s="55">
        <f>'Etape 1'!E106</f>
        <v>0</v>
      </c>
      <c r="G110" s="55">
        <f>'Etape 1'!F106</f>
        <v>0</v>
      </c>
      <c r="H110" s="55">
        <f>'Etape 1'!G106</f>
        <v>0</v>
      </c>
      <c r="I110" s="209">
        <v>1</v>
      </c>
      <c r="J110" s="58">
        <f t="shared" si="130"/>
        <v>0</v>
      </c>
      <c r="K110" s="21">
        <f t="shared" si="83"/>
        <v>0</v>
      </c>
      <c r="L110" s="21">
        <f t="shared" si="84"/>
        <v>0</v>
      </c>
      <c r="M110" s="21">
        <f t="shared" ca="1" si="85"/>
        <v>3</v>
      </c>
      <c r="N110" s="21">
        <f t="shared" ca="1" si="132"/>
        <v>3</v>
      </c>
      <c r="O110" s="21">
        <f t="shared" ca="1" si="133"/>
        <v>0</v>
      </c>
      <c r="P110" s="262" t="str">
        <f>IF('Etape 1'!J106=999,"",IF('Etape 1'!J106=9999,txt_Schritt1.Angaben.fehlen,VLOOKUP(N110,Matrix_1.2.3.Test.Punkte.ID.Beurteilung,4,1)))</f>
        <v/>
      </c>
      <c r="Q110" s="21">
        <f t="shared" ca="1" si="131"/>
        <v>0</v>
      </c>
      <c r="R110" s="136">
        <f t="shared" si="119"/>
        <v>99</v>
      </c>
      <c r="S110" s="136">
        <f t="shared" ca="1" si="88"/>
        <v>162.32890365448506</v>
      </c>
      <c r="T110" s="136">
        <f t="shared" ca="1" si="120"/>
        <v>750.32890365448509</v>
      </c>
      <c r="U110" s="136">
        <f t="shared" ca="1" si="121"/>
        <v>1224000.3289036546</v>
      </c>
      <c r="V110" s="211">
        <f t="shared" ca="1" si="122"/>
        <v>235406.52094797388</v>
      </c>
      <c r="W110" s="136">
        <f t="shared" ca="1" si="89"/>
        <v>99</v>
      </c>
      <c r="X110" s="136">
        <f t="shared" ca="1" si="90"/>
        <v>162.999000999001</v>
      </c>
      <c r="Y110" s="21">
        <f>VLOOKUP(H110,Matrix_Motor.Jahr.EffKl,2,1)</f>
        <v>1</v>
      </c>
      <c r="Z110" s="21" t="str">
        <f t="shared" si="92"/>
        <v>&lt;IE0</v>
      </c>
      <c r="AA110" s="21">
        <f t="shared" si="93"/>
        <v>1</v>
      </c>
      <c r="AB110" s="21" t="str">
        <f t="shared" si="94"/>
        <v>a - "&lt; 1990 (Eff3)"</v>
      </c>
      <c r="AC110" s="21">
        <f t="shared" si="95"/>
        <v>999999</v>
      </c>
      <c r="AD110" s="21" t="str">
        <f t="shared" si="134"/>
        <v/>
      </c>
      <c r="AE110" s="21" t="str">
        <f t="shared" si="97"/>
        <v/>
      </c>
      <c r="AF110" s="21" t="str">
        <f t="shared" si="98"/>
        <v/>
      </c>
      <c r="AG110" s="21">
        <f t="shared" si="99"/>
        <v>0</v>
      </c>
      <c r="AH110" s="21">
        <f>IF('Etape 1'!H106=St.Wert_Hacken,1,0)</f>
        <v>0</v>
      </c>
      <c r="AI110" s="21">
        <f t="shared" si="123"/>
        <v>0</v>
      </c>
      <c r="AJ110" s="21">
        <f t="shared" si="135"/>
        <v>1000999</v>
      </c>
      <c r="AK110" s="58">
        <f t="shared" si="101"/>
        <v>1100</v>
      </c>
      <c r="AL110" s="58">
        <f t="shared" si="136"/>
        <v>440</v>
      </c>
      <c r="AM110" s="21">
        <f t="shared" si="103"/>
        <v>0</v>
      </c>
      <c r="AN110" s="58">
        <f t="shared" si="104"/>
        <v>1</v>
      </c>
      <c r="AO110" s="58" t="str">
        <f t="shared" si="137"/>
        <v>114</v>
      </c>
      <c r="AP110" s="58" t="str">
        <f t="shared" si="106"/>
        <v>164</v>
      </c>
      <c r="AQ110" s="21" t="e">
        <f t="shared" si="107"/>
        <v>#NUM!</v>
      </c>
      <c r="AR110" s="21" t="e">
        <f t="shared" si="108"/>
        <v>#NUM!</v>
      </c>
      <c r="AS110" s="136" t="e">
        <f t="shared" si="124"/>
        <v>#NUM!</v>
      </c>
      <c r="AT110" s="59" t="e">
        <f t="shared" si="138"/>
        <v>#NUM!</v>
      </c>
      <c r="AU110" s="21" t="e">
        <f t="shared" si="125"/>
        <v>#NUM!</v>
      </c>
      <c r="AV110" s="58">
        <f t="shared" si="110"/>
        <v>1500</v>
      </c>
      <c r="AW110" s="58">
        <f t="shared" si="139"/>
        <v>600</v>
      </c>
      <c r="AX110" s="60">
        <f t="shared" si="112"/>
        <v>0.11</v>
      </c>
      <c r="AY110" s="212">
        <f t="shared" si="126"/>
        <v>0</v>
      </c>
      <c r="AZ110" s="59">
        <f t="shared" si="140"/>
        <v>0</v>
      </c>
      <c r="BA110" s="21" t="e">
        <f t="shared" si="127"/>
        <v>#DIV/0!</v>
      </c>
      <c r="BB110" s="58">
        <f t="shared" si="114"/>
        <v>2900</v>
      </c>
      <c r="BC110" s="58">
        <f t="shared" si="141"/>
        <v>1160</v>
      </c>
      <c r="BD110" s="60">
        <f t="shared" si="116"/>
        <v>0.15</v>
      </c>
      <c r="BE110" s="212" t="e">
        <f t="shared" si="128"/>
        <v>#NUM!</v>
      </c>
      <c r="BF110" s="59" t="e">
        <f t="shared" si="142"/>
        <v>#NUM!</v>
      </c>
      <c r="BG110" s="21" t="e">
        <f t="shared" si="129"/>
        <v>#NUM!</v>
      </c>
      <c r="BH110" s="55">
        <f t="shared" ca="1" si="118"/>
        <v>0</v>
      </c>
    </row>
    <row r="111" spans="1:60" x14ac:dyDescent="0.2">
      <c r="A111" s="61">
        <f ca="1">RANK(W111,W$12:W$311,0)+COUNTIF(W$12:W111,W111)-1</f>
        <v>201</v>
      </c>
      <c r="B111" s="55">
        <f>'Etape 1'!A107</f>
        <v>100</v>
      </c>
      <c r="C111" s="55">
        <f>'Etape 1'!B107</f>
        <v>0</v>
      </c>
      <c r="D111" s="55">
        <f>'Etape 1'!C107</f>
        <v>0</v>
      </c>
      <c r="E111" s="55">
        <f>'Etape 1'!D107</f>
        <v>0</v>
      </c>
      <c r="F111" s="55">
        <f>'Etape 1'!E107</f>
        <v>0</v>
      </c>
      <c r="G111" s="55">
        <f>'Etape 1'!F107</f>
        <v>0</v>
      </c>
      <c r="H111" s="55">
        <f>'Etape 1'!G107</f>
        <v>0</v>
      </c>
      <c r="I111" s="209">
        <v>1</v>
      </c>
      <c r="J111" s="58">
        <f t="shared" si="130"/>
        <v>0</v>
      </c>
      <c r="K111" s="21">
        <f t="shared" ref="K111:K174" si="143">VLOOKUP(F111,Matrix_1.2.3.Test.Leistung.Punkte,2,TRUE)</f>
        <v>0</v>
      </c>
      <c r="L111" s="21">
        <f t="shared" ref="L111:L174" si="144">VLOOKUP(G111,Matrix_1.2.3.Test.Betriebszeit.Punkte,2,TRUE)</f>
        <v>0</v>
      </c>
      <c r="M111" s="21">
        <f t="shared" ref="M111:M174" ca="1" si="145">IF(H111=0,3,VLOOKUP(YEAR(TODAY())-H111,Matrix_1.2.3.Test.Alter.Punkte,2,TRUE))</f>
        <v>3</v>
      </c>
      <c r="N111" s="21">
        <f t="shared" ref="N111:N174" ca="1" si="146">M111+Wert_1.2.3.Test.Faktor.A*L111*K111</f>
        <v>3</v>
      </c>
      <c r="O111" s="21">
        <f t="shared" ref="O111:O174" ca="1" si="147">VLOOKUP(N111,Matrix_1.2.3.Test.Punkte.ID.Beurteilung,3,TRUE)</f>
        <v>0</v>
      </c>
      <c r="P111" s="262" t="str">
        <f>IF('Etape 1'!J107=999,"",IF('Etape 1'!J107=9999,txt_Schritt1.Angaben.fehlen,VLOOKUP(N111,Matrix_1.2.3.Test.Punkte.ID.Beurteilung,4,1)))</f>
        <v/>
      </c>
      <c r="Q111" s="21">
        <f t="shared" ref="Q111:Q174" ca="1" si="148">IF(AH111=1,1,O111)</f>
        <v>0</v>
      </c>
      <c r="R111" s="136">
        <f t="shared" si="119"/>
        <v>100</v>
      </c>
      <c r="S111" s="136">
        <f t="shared" ca="1" si="88"/>
        <v>162.33222591362127</v>
      </c>
      <c r="T111" s="136">
        <f t="shared" ca="1" si="120"/>
        <v>750.3322259136213</v>
      </c>
      <c r="U111" s="136">
        <f t="shared" ca="1" si="121"/>
        <v>1224000.3322259136</v>
      </c>
      <c r="V111" s="211">
        <f t="shared" ca="1" si="122"/>
        <v>235406.52427023303</v>
      </c>
      <c r="W111" s="136">
        <f t="shared" ca="1" si="89"/>
        <v>100</v>
      </c>
      <c r="X111" s="136">
        <f t="shared" ref="X111:X174" ca="1" si="149">IF(Q111=0,3,Q111)*St.Wert_1.2.3.Test.PkteMax-N111+IF(AC111&gt;St.Wert_Payback.Max,St.Wert_Payback.Max,AC111)/(St.Wert_Payback.Max+1)</f>
        <v>162.999000999001</v>
      </c>
      <c r="Y111" s="21">
        <f t="shared" ref="Y111:Y174" si="150">VLOOKUP(H111,Matrix_Motor.Jahr.EffKl,2,1)</f>
        <v>1</v>
      </c>
      <c r="Z111" s="21" t="str">
        <f t="shared" ref="Z111:Z174" si="151">VLOOKUP(H111,Matrix_Motor.Jahr.EffKl,3,1)</f>
        <v>&lt;IE0</v>
      </c>
      <c r="AA111" s="21">
        <f t="shared" ref="AA111:AA174" si="152">VLOOKUP(H111,Matrix_Pumpe.Jahr.EffKl,2,1)</f>
        <v>1</v>
      </c>
      <c r="AB111" s="21" t="str">
        <f t="shared" ref="AB111:AB174" si="153">VLOOKUP(H111,Matrix_Pumpe.Jahr.EffKl,3,1)</f>
        <v>a - "&lt; 1990 (Eff3)"</v>
      </c>
      <c r="AC111" s="21">
        <f t="shared" ref="AC111:AC174" si="154">IF(ISNUMBER(MIN(AU111,BA111,BG111)),MIN(AU111,BA111,BG111),St.Wert_Platzhalter.Payback)</f>
        <v>999999</v>
      </c>
      <c r="AD111" s="21" t="str">
        <f t="shared" ref="AD111:AD174" si="155">IF(AC111=St.Wert_Platzhalter.Payback,"",VLOOKUP(AC111,Matrix_Wirtschaftlichkeit.Payback.ID.Txt,2,1))</f>
        <v/>
      </c>
      <c r="AE111" s="21" t="str">
        <f t="shared" ref="AE111:AE174" si="156">IF(AC111=St.Wert_Platzhalter.Payback,"",VLOOKUP(AC111,Matrix_Wirtschaftlichkeit.Payback.ID.Txt,3,1))</f>
        <v/>
      </c>
      <c r="AF111" s="21" t="str">
        <f t="shared" ref="AF111:AF174" si="157">IF(AC111=St.Wert_Platzhalter.Payback,"",VLOOKUP(AC111,Matrix_Wirtschaftlichkeit.Payback.ID.Txt,4,1))</f>
        <v/>
      </c>
      <c r="AG111" s="21">
        <f t="shared" ref="AG111:AG174" si="158">VLOOKUP(AC111,Matrix_Wirtschaftlichkeit.Payback.ID.Txt,6,1)</f>
        <v>0</v>
      </c>
      <c r="AH111" s="21">
        <f>IF('Etape 1'!H107=St.Wert_Hacken,1,0)</f>
        <v>0</v>
      </c>
      <c r="AI111" s="21">
        <f t="shared" ref="AI111:AI174" si="159">IF(AH111=1,1,AG111)</f>
        <v>0</v>
      </c>
      <c r="AJ111" s="21">
        <f t="shared" ref="AJ111:AJ174" si="160">IF(AI111=1,IF(AC111&gt;St.Wert_Payback.Max,St.Wert_Payback.Max,AC111),AC111+St.Wert_Payback.Max)</f>
        <v>1000999</v>
      </c>
      <c r="AK111" s="58">
        <f t="shared" ref="AK111:AK174" si="161">Preis_Motor.a*F111+Preis_Motor.b+Preis_Motor.Planung</f>
        <v>1100</v>
      </c>
      <c r="AL111" s="58">
        <f t="shared" ref="AL111:AL174" si="162">AK111*IF(Wert_Wirtschaftlichkeit.EnergieAnteil.Ja.Nein.Schritt1,VLOOKUP(AA111,Matrix_Anlage.AlterID.Einsparpotential.und.EnergieAnteil,6,0),1)</f>
        <v>440</v>
      </c>
      <c r="AM111" s="21">
        <f t="shared" ref="AM111:AM174" si="163">IF(F111&lt;Wert_Motor.max.Leistung.fuer.Berechnung.Wirkungsgrad,F111,Wert_Motor.max.Leistung.fuer.Berechnung.Wirkungsgrad)</f>
        <v>0</v>
      </c>
      <c r="AN111" s="58">
        <f t="shared" ref="AN111:AN174" si="164">VLOOKUP(F111,Matrix_Motor.LeistungsKl.ID,2,1)</f>
        <v>1</v>
      </c>
      <c r="AO111" s="58" t="str">
        <f t="shared" ref="AO111:AO174" si="165">CONCATENATE(AN111,Y111,Wert_Motor.Pole.Anzahl.Schritt1)</f>
        <v>114</v>
      </c>
      <c r="AP111" s="58" t="str">
        <f t="shared" ref="AP111:AP174" si="166">CONCATENATE(AN111,Wert_Motor.IEID.neu.Schritt1,Wert_Motor.Pole.Anzahl.Schritt1)</f>
        <v>164</v>
      </c>
      <c r="AQ111" s="21" t="e">
        <f t="shared" ref="AQ111:AQ174" si="167">(VLOOKUP(AO111,Matrix_Motor.KombiKl.EffParameter,3,0)*(LOG(AM111))^3+VLOOKUP(AO111,Matrix_Motor.KombiKl.EffParameter,4,0)*(LOG(AM111))^2+VLOOKUP(AO111,Matrix_Motor.KombiKl.EffParameter,5,0)*(LOG(AM111))+VLOOKUP(AO111,Matrix_Motor.KombiKl.EffParameter,6,0))/100</f>
        <v>#NUM!</v>
      </c>
      <c r="AR111" s="21" t="e">
        <f t="shared" ref="AR111:AR174" si="168">(VLOOKUP(AP111,Matrix_Motor.KombiKl.EffParameter,3,0)*(LOG(AM111))^3+VLOOKUP(AP111,Matrix_Motor.KombiKl.EffParameter,4,0)*(LOG(AM111))^2+VLOOKUP(AP111,Matrix_Motor.KombiKl.EffParameter,5,0)*(LOG(AM111))+VLOOKUP(AP111,Matrix_Motor.KombiKl.EffParameter,6,0))/100</f>
        <v>#NUM!</v>
      </c>
      <c r="AS111" s="136" t="e">
        <f t="shared" si="124"/>
        <v>#NUM!</v>
      </c>
      <c r="AT111" s="59" t="e">
        <f t="shared" ref="AT111:AT174" si="169">AS111*Preis_Strom.Schritt1/100</f>
        <v>#NUM!</v>
      </c>
      <c r="AU111" s="21" t="e">
        <f t="shared" ref="AU111:AU174" si="170">AL111/AT111</f>
        <v>#NUM!</v>
      </c>
      <c r="AV111" s="58">
        <f t="shared" ref="AV111:AV174" si="171">Preis_FU.a*F111+Preis_FU.b+Preis_FU.Planung</f>
        <v>1500</v>
      </c>
      <c r="AW111" s="58">
        <f t="shared" ref="AW111:AW174" si="172">AV111*IF(Wert_Wirtschaftlichkeit.EnergieAnteil.Ja.Nein.Schritt1,VLOOKUP(AA111,Matrix_Anlage.AlterID.Einsparpotential.und.EnergieAnteil,6,0),1)</f>
        <v>600</v>
      </c>
      <c r="AX111" s="60">
        <f t="shared" ref="AX111:AX174" si="173">VLOOKUP(AA111,Matrix_Anlage.AlterID.Einsparpotential.und.EnergieAnteil,4,0)</f>
        <v>0.11</v>
      </c>
      <c r="AY111" s="212">
        <f t="shared" si="126"/>
        <v>0</v>
      </c>
      <c r="AZ111" s="59">
        <f t="shared" ref="AZ111:AZ174" si="174">AY111*Preis_Strom.Schritt1/100</f>
        <v>0</v>
      </c>
      <c r="BA111" s="21" t="e">
        <f t="shared" ref="BA111:BA174" si="175">AW111/AZ111</f>
        <v>#DIV/0!</v>
      </c>
      <c r="BB111" s="58">
        <f t="shared" ref="BB111:BB174" si="176">Preis_Redim.a*F111+Preis_Redim.b+Preis_Redim.Planung</f>
        <v>2900</v>
      </c>
      <c r="BC111" s="58">
        <f t="shared" ref="BC111:BC174" si="177">BB111*IF(Wert_Wirtschaftlichkeit.EnergieAnteil.Ja.Nein.Schritt1,VLOOKUP(AA111,Matrix_Anlage.AlterID.Einsparpotential.und.EnergieAnteil,6,0),1)</f>
        <v>1160</v>
      </c>
      <c r="BD111" s="60">
        <f t="shared" ref="BD111:BD174" si="178">VLOOKUP(AA111,Matrix_Anlage.AlterID.Einsparpotential.und.EnergieAnteil,5,0)</f>
        <v>0.15</v>
      </c>
      <c r="BE111" s="212" t="e">
        <f t="shared" si="128"/>
        <v>#NUM!</v>
      </c>
      <c r="BF111" s="59" t="e">
        <f t="shared" ref="BF111:BF174" si="179">BE111*Preis_Strom.Schritt1/100</f>
        <v>#NUM!</v>
      </c>
      <c r="BG111" s="21" t="e">
        <f t="shared" ref="BG111:BG174" si="180">BC111/BF111</f>
        <v>#NUM!</v>
      </c>
      <c r="BH111" s="55">
        <f t="shared" ca="1" si="118"/>
        <v>0</v>
      </c>
    </row>
    <row r="112" spans="1:60" x14ac:dyDescent="0.2">
      <c r="A112" s="61">
        <f ca="1">RANK(W112,W$12:W$311,0)+COUNTIF(W$12:W112,W112)-1</f>
        <v>200</v>
      </c>
      <c r="B112" s="55">
        <f>'Etape 1'!A108</f>
        <v>101</v>
      </c>
      <c r="C112" s="55">
        <f>'Etape 1'!B108</f>
        <v>0</v>
      </c>
      <c r="D112" s="55">
        <f>'Etape 1'!C108</f>
        <v>0</v>
      </c>
      <c r="E112" s="55">
        <f>'Etape 1'!D108</f>
        <v>0</v>
      </c>
      <c r="F112" s="55">
        <f>'Etape 1'!E108</f>
        <v>0</v>
      </c>
      <c r="G112" s="55">
        <f>'Etape 1'!F108</f>
        <v>0</v>
      </c>
      <c r="H112" s="55">
        <f>'Etape 1'!G108</f>
        <v>0</v>
      </c>
      <c r="I112" s="209">
        <v>1</v>
      </c>
      <c r="J112" s="58">
        <f t="shared" si="130"/>
        <v>0</v>
      </c>
      <c r="K112" s="21">
        <f t="shared" si="143"/>
        <v>0</v>
      </c>
      <c r="L112" s="21">
        <f t="shared" si="144"/>
        <v>0</v>
      </c>
      <c r="M112" s="21">
        <f t="shared" ca="1" si="145"/>
        <v>3</v>
      </c>
      <c r="N112" s="21">
        <f t="shared" ca="1" si="146"/>
        <v>3</v>
      </c>
      <c r="O112" s="21">
        <f t="shared" ca="1" si="147"/>
        <v>0</v>
      </c>
      <c r="P112" s="262" t="str">
        <f>IF('Etape 1'!J108=999,"",IF('Etape 1'!J108=9999,txt_Schritt1.Angaben.fehlen,VLOOKUP(N112,Matrix_1.2.3.Test.Punkte.ID.Beurteilung,4,1)))</f>
        <v/>
      </c>
      <c r="Q112" s="21">
        <f t="shared" ca="1" si="148"/>
        <v>0</v>
      </c>
      <c r="R112" s="136">
        <f t="shared" si="119"/>
        <v>101</v>
      </c>
      <c r="S112" s="136">
        <f t="shared" ca="1" si="88"/>
        <v>162.33554817275748</v>
      </c>
      <c r="T112" s="136">
        <f t="shared" ca="1" si="120"/>
        <v>750.33554817275751</v>
      </c>
      <c r="U112" s="136">
        <f t="shared" ca="1" si="121"/>
        <v>1224000.3355481727</v>
      </c>
      <c r="V112" s="211">
        <f t="shared" ca="1" si="122"/>
        <v>235406.52759249217</v>
      </c>
      <c r="W112" s="136">
        <f t="shared" ca="1" si="89"/>
        <v>101</v>
      </c>
      <c r="X112" s="136">
        <f t="shared" ca="1" si="149"/>
        <v>162.999000999001</v>
      </c>
      <c r="Y112" s="21">
        <f t="shared" si="150"/>
        <v>1</v>
      </c>
      <c r="Z112" s="21" t="str">
        <f t="shared" si="151"/>
        <v>&lt;IE0</v>
      </c>
      <c r="AA112" s="21">
        <f t="shared" si="152"/>
        <v>1</v>
      </c>
      <c r="AB112" s="21" t="str">
        <f t="shared" si="153"/>
        <v>a - "&lt; 1990 (Eff3)"</v>
      </c>
      <c r="AC112" s="21">
        <f t="shared" si="154"/>
        <v>999999</v>
      </c>
      <c r="AD112" s="21" t="str">
        <f t="shared" si="155"/>
        <v/>
      </c>
      <c r="AE112" s="21" t="str">
        <f t="shared" si="156"/>
        <v/>
      </c>
      <c r="AF112" s="21" t="str">
        <f t="shared" si="157"/>
        <v/>
      </c>
      <c r="AG112" s="21">
        <f t="shared" si="158"/>
        <v>0</v>
      </c>
      <c r="AH112" s="21">
        <f>IF('Etape 1'!H108=St.Wert_Hacken,1,0)</f>
        <v>0</v>
      </c>
      <c r="AI112" s="21">
        <f t="shared" si="159"/>
        <v>0</v>
      </c>
      <c r="AJ112" s="21">
        <f t="shared" si="160"/>
        <v>1000999</v>
      </c>
      <c r="AK112" s="58">
        <f t="shared" si="161"/>
        <v>1100</v>
      </c>
      <c r="AL112" s="58">
        <f t="shared" si="162"/>
        <v>440</v>
      </c>
      <c r="AM112" s="21">
        <f t="shared" si="163"/>
        <v>0</v>
      </c>
      <c r="AN112" s="58">
        <f t="shared" si="164"/>
        <v>1</v>
      </c>
      <c r="AO112" s="58" t="str">
        <f t="shared" si="165"/>
        <v>114</v>
      </c>
      <c r="AP112" s="58" t="str">
        <f t="shared" si="166"/>
        <v>164</v>
      </c>
      <c r="AQ112" s="21" t="e">
        <f t="shared" si="167"/>
        <v>#NUM!</v>
      </c>
      <c r="AR112" s="21" t="e">
        <f t="shared" si="168"/>
        <v>#NUM!</v>
      </c>
      <c r="AS112" s="136" t="e">
        <f t="shared" si="124"/>
        <v>#NUM!</v>
      </c>
      <c r="AT112" s="59" t="e">
        <f t="shared" si="169"/>
        <v>#NUM!</v>
      </c>
      <c r="AU112" s="21" t="e">
        <f t="shared" si="170"/>
        <v>#NUM!</v>
      </c>
      <c r="AV112" s="58">
        <f t="shared" si="171"/>
        <v>1500</v>
      </c>
      <c r="AW112" s="58">
        <f t="shared" si="172"/>
        <v>600</v>
      </c>
      <c r="AX112" s="60">
        <f t="shared" si="173"/>
        <v>0.11</v>
      </c>
      <c r="AY112" s="212">
        <f t="shared" si="126"/>
        <v>0</v>
      </c>
      <c r="AZ112" s="59">
        <f t="shared" si="174"/>
        <v>0</v>
      </c>
      <c r="BA112" s="21" t="e">
        <f t="shared" si="175"/>
        <v>#DIV/0!</v>
      </c>
      <c r="BB112" s="58">
        <f t="shared" si="176"/>
        <v>2900</v>
      </c>
      <c r="BC112" s="58">
        <f t="shared" si="177"/>
        <v>1160</v>
      </c>
      <c r="BD112" s="60">
        <f t="shared" si="178"/>
        <v>0.15</v>
      </c>
      <c r="BE112" s="212" t="e">
        <f t="shared" si="128"/>
        <v>#NUM!</v>
      </c>
      <c r="BF112" s="59" t="e">
        <f t="shared" si="179"/>
        <v>#NUM!</v>
      </c>
      <c r="BG112" s="21" t="e">
        <f t="shared" si="180"/>
        <v>#NUM!</v>
      </c>
      <c r="BH112" s="55">
        <f t="shared" ca="1" si="118"/>
        <v>0</v>
      </c>
    </row>
    <row r="113" spans="1:60" x14ac:dyDescent="0.2">
      <c r="A113" s="61">
        <f ca="1">RANK(W113,W$12:W$311,0)+COUNTIF(W$12:W113,W113)-1</f>
        <v>199</v>
      </c>
      <c r="B113" s="55">
        <f>'Etape 1'!A109</f>
        <v>102</v>
      </c>
      <c r="C113" s="55">
        <f>'Etape 1'!B109</f>
        <v>0</v>
      </c>
      <c r="D113" s="55">
        <f>'Etape 1'!C109</f>
        <v>0</v>
      </c>
      <c r="E113" s="55">
        <f>'Etape 1'!D109</f>
        <v>0</v>
      </c>
      <c r="F113" s="55">
        <f>'Etape 1'!E109</f>
        <v>0</v>
      </c>
      <c r="G113" s="55">
        <f>'Etape 1'!F109</f>
        <v>0</v>
      </c>
      <c r="H113" s="55">
        <f>'Etape 1'!G109</f>
        <v>0</v>
      </c>
      <c r="I113" s="209">
        <v>1</v>
      </c>
      <c r="J113" s="58">
        <f t="shared" si="130"/>
        <v>0</v>
      </c>
      <c r="K113" s="21">
        <f t="shared" si="143"/>
        <v>0</v>
      </c>
      <c r="L113" s="21">
        <f t="shared" si="144"/>
        <v>0</v>
      </c>
      <c r="M113" s="21">
        <f t="shared" ca="1" si="145"/>
        <v>3</v>
      </c>
      <c r="N113" s="21">
        <f t="shared" ca="1" si="146"/>
        <v>3</v>
      </c>
      <c r="O113" s="21">
        <f t="shared" ca="1" si="147"/>
        <v>0</v>
      </c>
      <c r="P113" s="262" t="str">
        <f>IF('Etape 1'!J109=999,"",IF('Etape 1'!J109=9999,txt_Schritt1.Angaben.fehlen,VLOOKUP(N113,Matrix_1.2.3.Test.Punkte.ID.Beurteilung,4,1)))</f>
        <v/>
      </c>
      <c r="Q113" s="21">
        <f t="shared" ca="1" si="148"/>
        <v>0</v>
      </c>
      <c r="R113" s="136">
        <f t="shared" si="119"/>
        <v>102</v>
      </c>
      <c r="S113" s="136">
        <f t="shared" ca="1" si="88"/>
        <v>162.3388704318937</v>
      </c>
      <c r="T113" s="136">
        <f t="shared" ca="1" si="120"/>
        <v>750.33887043189372</v>
      </c>
      <c r="U113" s="136">
        <f t="shared" ca="1" si="121"/>
        <v>1224000.338870432</v>
      </c>
      <c r="V113" s="211">
        <f t="shared" ca="1" si="122"/>
        <v>235406.53091475132</v>
      </c>
      <c r="W113" s="136">
        <f t="shared" ca="1" si="89"/>
        <v>102</v>
      </c>
      <c r="X113" s="136">
        <f t="shared" ca="1" si="149"/>
        <v>162.999000999001</v>
      </c>
      <c r="Y113" s="21">
        <f t="shared" si="150"/>
        <v>1</v>
      </c>
      <c r="Z113" s="21" t="str">
        <f t="shared" si="151"/>
        <v>&lt;IE0</v>
      </c>
      <c r="AA113" s="21">
        <f t="shared" si="152"/>
        <v>1</v>
      </c>
      <c r="AB113" s="21" t="str">
        <f t="shared" si="153"/>
        <v>a - "&lt; 1990 (Eff3)"</v>
      </c>
      <c r="AC113" s="21">
        <f t="shared" si="154"/>
        <v>999999</v>
      </c>
      <c r="AD113" s="21" t="str">
        <f t="shared" si="155"/>
        <v/>
      </c>
      <c r="AE113" s="21" t="str">
        <f t="shared" si="156"/>
        <v/>
      </c>
      <c r="AF113" s="21" t="str">
        <f t="shared" si="157"/>
        <v/>
      </c>
      <c r="AG113" s="21">
        <f t="shared" si="158"/>
        <v>0</v>
      </c>
      <c r="AH113" s="21">
        <f>IF('Etape 1'!H109=St.Wert_Hacken,1,0)</f>
        <v>0</v>
      </c>
      <c r="AI113" s="21">
        <f t="shared" si="159"/>
        <v>0</v>
      </c>
      <c r="AJ113" s="21">
        <f t="shared" si="160"/>
        <v>1000999</v>
      </c>
      <c r="AK113" s="58">
        <f t="shared" si="161"/>
        <v>1100</v>
      </c>
      <c r="AL113" s="58">
        <f t="shared" si="162"/>
        <v>440</v>
      </c>
      <c r="AM113" s="21">
        <f t="shared" si="163"/>
        <v>0</v>
      </c>
      <c r="AN113" s="58">
        <f t="shared" si="164"/>
        <v>1</v>
      </c>
      <c r="AO113" s="58" t="str">
        <f t="shared" si="165"/>
        <v>114</v>
      </c>
      <c r="AP113" s="58" t="str">
        <f t="shared" si="166"/>
        <v>164</v>
      </c>
      <c r="AQ113" s="21" t="e">
        <f t="shared" si="167"/>
        <v>#NUM!</v>
      </c>
      <c r="AR113" s="21" t="e">
        <f t="shared" si="168"/>
        <v>#NUM!</v>
      </c>
      <c r="AS113" s="136" t="e">
        <f t="shared" si="124"/>
        <v>#NUM!</v>
      </c>
      <c r="AT113" s="59" t="e">
        <f t="shared" si="169"/>
        <v>#NUM!</v>
      </c>
      <c r="AU113" s="21" t="e">
        <f t="shared" si="170"/>
        <v>#NUM!</v>
      </c>
      <c r="AV113" s="58">
        <f t="shared" si="171"/>
        <v>1500</v>
      </c>
      <c r="AW113" s="58">
        <f t="shared" si="172"/>
        <v>600</v>
      </c>
      <c r="AX113" s="60">
        <f t="shared" si="173"/>
        <v>0.11</v>
      </c>
      <c r="AY113" s="212">
        <f t="shared" si="126"/>
        <v>0</v>
      </c>
      <c r="AZ113" s="59">
        <f t="shared" si="174"/>
        <v>0</v>
      </c>
      <c r="BA113" s="21" t="e">
        <f t="shared" si="175"/>
        <v>#DIV/0!</v>
      </c>
      <c r="BB113" s="58">
        <f t="shared" si="176"/>
        <v>2900</v>
      </c>
      <c r="BC113" s="58">
        <f t="shared" si="177"/>
        <v>1160</v>
      </c>
      <c r="BD113" s="60">
        <f t="shared" si="178"/>
        <v>0.15</v>
      </c>
      <c r="BE113" s="212" t="e">
        <f t="shared" si="128"/>
        <v>#NUM!</v>
      </c>
      <c r="BF113" s="59" t="e">
        <f t="shared" si="179"/>
        <v>#NUM!</v>
      </c>
      <c r="BG113" s="21" t="e">
        <f t="shared" si="180"/>
        <v>#NUM!</v>
      </c>
      <c r="BH113" s="55">
        <f t="shared" ca="1" si="118"/>
        <v>0</v>
      </c>
    </row>
    <row r="114" spans="1:60" x14ac:dyDescent="0.2">
      <c r="A114" s="61">
        <f ca="1">RANK(W114,W$12:W$311,0)+COUNTIF(W$12:W114,W114)-1</f>
        <v>198</v>
      </c>
      <c r="B114" s="55">
        <f>'Etape 1'!A110</f>
        <v>103</v>
      </c>
      <c r="C114" s="55">
        <f>'Etape 1'!B110</f>
        <v>0</v>
      </c>
      <c r="D114" s="55">
        <f>'Etape 1'!C110</f>
        <v>0</v>
      </c>
      <c r="E114" s="55">
        <f>'Etape 1'!D110</f>
        <v>0</v>
      </c>
      <c r="F114" s="55">
        <f>'Etape 1'!E110</f>
        <v>0</v>
      </c>
      <c r="G114" s="55">
        <f>'Etape 1'!F110</f>
        <v>0</v>
      </c>
      <c r="H114" s="55">
        <f>'Etape 1'!G110</f>
        <v>0</v>
      </c>
      <c r="I114" s="209">
        <v>1</v>
      </c>
      <c r="J114" s="58">
        <f t="shared" si="130"/>
        <v>0</v>
      </c>
      <c r="K114" s="21">
        <f t="shared" si="143"/>
        <v>0</v>
      </c>
      <c r="L114" s="21">
        <f t="shared" si="144"/>
        <v>0</v>
      </c>
      <c r="M114" s="21">
        <f t="shared" ca="1" si="145"/>
        <v>3</v>
      </c>
      <c r="N114" s="21">
        <f t="shared" ca="1" si="146"/>
        <v>3</v>
      </c>
      <c r="O114" s="21">
        <f t="shared" ca="1" si="147"/>
        <v>0</v>
      </c>
      <c r="P114" s="262" t="str">
        <f>IF('Etape 1'!J110=999,"",IF('Etape 1'!J110=9999,txt_Schritt1.Angaben.fehlen,VLOOKUP(N114,Matrix_1.2.3.Test.Punkte.ID.Beurteilung,4,1)))</f>
        <v/>
      </c>
      <c r="Q114" s="21">
        <f t="shared" ca="1" si="148"/>
        <v>0</v>
      </c>
      <c r="R114" s="136">
        <f t="shared" si="119"/>
        <v>103</v>
      </c>
      <c r="S114" s="136">
        <f t="shared" ca="1" si="88"/>
        <v>162.34219269102991</v>
      </c>
      <c r="T114" s="136">
        <f t="shared" ca="1" si="120"/>
        <v>750.34219269102994</v>
      </c>
      <c r="U114" s="136">
        <f t="shared" ca="1" si="121"/>
        <v>1224000.3421926911</v>
      </c>
      <c r="V114" s="211">
        <f t="shared" ca="1" si="122"/>
        <v>235406.53423701043</v>
      </c>
      <c r="W114" s="136">
        <f t="shared" ca="1" si="89"/>
        <v>103</v>
      </c>
      <c r="X114" s="136">
        <f t="shared" ca="1" si="149"/>
        <v>162.999000999001</v>
      </c>
      <c r="Y114" s="21">
        <f t="shared" si="150"/>
        <v>1</v>
      </c>
      <c r="Z114" s="21" t="str">
        <f t="shared" si="151"/>
        <v>&lt;IE0</v>
      </c>
      <c r="AA114" s="21">
        <f t="shared" si="152"/>
        <v>1</v>
      </c>
      <c r="AB114" s="21" t="str">
        <f t="shared" si="153"/>
        <v>a - "&lt; 1990 (Eff3)"</v>
      </c>
      <c r="AC114" s="21">
        <f t="shared" si="154"/>
        <v>999999</v>
      </c>
      <c r="AD114" s="21" t="str">
        <f t="shared" si="155"/>
        <v/>
      </c>
      <c r="AE114" s="21" t="str">
        <f t="shared" si="156"/>
        <v/>
      </c>
      <c r="AF114" s="21" t="str">
        <f t="shared" si="157"/>
        <v/>
      </c>
      <c r="AG114" s="21">
        <f t="shared" si="158"/>
        <v>0</v>
      </c>
      <c r="AH114" s="21">
        <f>IF('Etape 1'!H110=St.Wert_Hacken,1,0)</f>
        <v>0</v>
      </c>
      <c r="AI114" s="21">
        <f t="shared" si="159"/>
        <v>0</v>
      </c>
      <c r="AJ114" s="21">
        <f t="shared" si="160"/>
        <v>1000999</v>
      </c>
      <c r="AK114" s="58">
        <f t="shared" si="161"/>
        <v>1100</v>
      </c>
      <c r="AL114" s="58">
        <f t="shared" si="162"/>
        <v>440</v>
      </c>
      <c r="AM114" s="21">
        <f t="shared" si="163"/>
        <v>0</v>
      </c>
      <c r="AN114" s="58">
        <f t="shared" si="164"/>
        <v>1</v>
      </c>
      <c r="AO114" s="58" t="str">
        <f t="shared" si="165"/>
        <v>114</v>
      </c>
      <c r="AP114" s="58" t="str">
        <f t="shared" si="166"/>
        <v>164</v>
      </c>
      <c r="AQ114" s="21" t="e">
        <f t="shared" si="167"/>
        <v>#NUM!</v>
      </c>
      <c r="AR114" s="21" t="e">
        <f t="shared" si="168"/>
        <v>#NUM!</v>
      </c>
      <c r="AS114" s="136" t="e">
        <f t="shared" si="124"/>
        <v>#NUM!</v>
      </c>
      <c r="AT114" s="59" t="e">
        <f t="shared" si="169"/>
        <v>#NUM!</v>
      </c>
      <c r="AU114" s="21" t="e">
        <f t="shared" si="170"/>
        <v>#NUM!</v>
      </c>
      <c r="AV114" s="58">
        <f t="shared" si="171"/>
        <v>1500</v>
      </c>
      <c r="AW114" s="58">
        <f t="shared" si="172"/>
        <v>600</v>
      </c>
      <c r="AX114" s="60">
        <f t="shared" si="173"/>
        <v>0.11</v>
      </c>
      <c r="AY114" s="212">
        <f t="shared" si="126"/>
        <v>0</v>
      </c>
      <c r="AZ114" s="59">
        <f t="shared" si="174"/>
        <v>0</v>
      </c>
      <c r="BA114" s="21" t="e">
        <f t="shared" si="175"/>
        <v>#DIV/0!</v>
      </c>
      <c r="BB114" s="58">
        <f t="shared" si="176"/>
        <v>2900</v>
      </c>
      <c r="BC114" s="58">
        <f t="shared" si="177"/>
        <v>1160</v>
      </c>
      <c r="BD114" s="60">
        <f t="shared" si="178"/>
        <v>0.15</v>
      </c>
      <c r="BE114" s="212" t="e">
        <f t="shared" si="128"/>
        <v>#NUM!</v>
      </c>
      <c r="BF114" s="59" t="e">
        <f t="shared" si="179"/>
        <v>#NUM!</v>
      </c>
      <c r="BG114" s="21" t="e">
        <f t="shared" si="180"/>
        <v>#NUM!</v>
      </c>
      <c r="BH114" s="55">
        <f t="shared" ca="1" si="118"/>
        <v>0</v>
      </c>
    </row>
    <row r="115" spans="1:60" x14ac:dyDescent="0.2">
      <c r="A115" s="61">
        <f ca="1">RANK(W115,W$12:W$311,0)+COUNTIF(W$12:W115,W115)-1</f>
        <v>197</v>
      </c>
      <c r="B115" s="55">
        <f>'Etape 1'!A111</f>
        <v>104</v>
      </c>
      <c r="C115" s="55">
        <f>'Etape 1'!B111</f>
        <v>0</v>
      </c>
      <c r="D115" s="55">
        <f>'Etape 1'!C111</f>
        <v>0</v>
      </c>
      <c r="E115" s="55">
        <f>'Etape 1'!D111</f>
        <v>0</v>
      </c>
      <c r="F115" s="55">
        <f>'Etape 1'!E111</f>
        <v>0</v>
      </c>
      <c r="G115" s="55">
        <f>'Etape 1'!F111</f>
        <v>0</v>
      </c>
      <c r="H115" s="55">
        <f>'Etape 1'!G111</f>
        <v>0</v>
      </c>
      <c r="I115" s="209">
        <v>1</v>
      </c>
      <c r="J115" s="58">
        <f t="shared" si="130"/>
        <v>0</v>
      </c>
      <c r="K115" s="21">
        <f t="shared" si="143"/>
        <v>0</v>
      </c>
      <c r="L115" s="21">
        <f t="shared" si="144"/>
        <v>0</v>
      </c>
      <c r="M115" s="21">
        <f t="shared" ca="1" si="145"/>
        <v>3</v>
      </c>
      <c r="N115" s="21">
        <f t="shared" ca="1" si="146"/>
        <v>3</v>
      </c>
      <c r="O115" s="21">
        <f t="shared" ca="1" si="147"/>
        <v>0</v>
      </c>
      <c r="P115" s="262" t="str">
        <f>IF('Etape 1'!J111=999,"",IF('Etape 1'!J111=9999,txt_Schritt1.Angaben.fehlen,VLOOKUP(N115,Matrix_1.2.3.Test.Punkte.ID.Beurteilung,4,1)))</f>
        <v/>
      </c>
      <c r="Q115" s="21">
        <f t="shared" ca="1" si="148"/>
        <v>0</v>
      </c>
      <c r="R115" s="136">
        <f t="shared" si="119"/>
        <v>104</v>
      </c>
      <c r="S115" s="136">
        <f t="shared" ca="1" si="88"/>
        <v>162.34551495016612</v>
      </c>
      <c r="T115" s="136">
        <f t="shared" ca="1" si="120"/>
        <v>750.34551495016615</v>
      </c>
      <c r="U115" s="136">
        <f t="shared" ca="1" si="121"/>
        <v>1224000.3455149501</v>
      </c>
      <c r="V115" s="211">
        <f t="shared" ca="1" si="122"/>
        <v>235406.53755926958</v>
      </c>
      <c r="W115" s="136">
        <f t="shared" ca="1" si="89"/>
        <v>104</v>
      </c>
      <c r="X115" s="136">
        <f t="shared" ca="1" si="149"/>
        <v>162.999000999001</v>
      </c>
      <c r="Y115" s="21">
        <f t="shared" si="150"/>
        <v>1</v>
      </c>
      <c r="Z115" s="21" t="str">
        <f t="shared" si="151"/>
        <v>&lt;IE0</v>
      </c>
      <c r="AA115" s="21">
        <f t="shared" si="152"/>
        <v>1</v>
      </c>
      <c r="AB115" s="21" t="str">
        <f t="shared" si="153"/>
        <v>a - "&lt; 1990 (Eff3)"</v>
      </c>
      <c r="AC115" s="21">
        <f t="shared" si="154"/>
        <v>999999</v>
      </c>
      <c r="AD115" s="21" t="str">
        <f t="shared" si="155"/>
        <v/>
      </c>
      <c r="AE115" s="21" t="str">
        <f t="shared" si="156"/>
        <v/>
      </c>
      <c r="AF115" s="21" t="str">
        <f t="shared" si="157"/>
        <v/>
      </c>
      <c r="AG115" s="21">
        <f t="shared" si="158"/>
        <v>0</v>
      </c>
      <c r="AH115" s="21">
        <f>IF('Etape 1'!H111=St.Wert_Hacken,1,0)</f>
        <v>0</v>
      </c>
      <c r="AI115" s="21">
        <f t="shared" si="159"/>
        <v>0</v>
      </c>
      <c r="AJ115" s="21">
        <f t="shared" si="160"/>
        <v>1000999</v>
      </c>
      <c r="AK115" s="58">
        <f t="shared" si="161"/>
        <v>1100</v>
      </c>
      <c r="AL115" s="58">
        <f t="shared" si="162"/>
        <v>440</v>
      </c>
      <c r="AM115" s="21">
        <f t="shared" si="163"/>
        <v>0</v>
      </c>
      <c r="AN115" s="58">
        <f t="shared" si="164"/>
        <v>1</v>
      </c>
      <c r="AO115" s="58" t="str">
        <f t="shared" si="165"/>
        <v>114</v>
      </c>
      <c r="AP115" s="58" t="str">
        <f t="shared" si="166"/>
        <v>164</v>
      </c>
      <c r="AQ115" s="21" t="e">
        <f t="shared" si="167"/>
        <v>#NUM!</v>
      </c>
      <c r="AR115" s="21" t="e">
        <f t="shared" si="168"/>
        <v>#NUM!</v>
      </c>
      <c r="AS115" s="136" t="e">
        <f t="shared" si="124"/>
        <v>#NUM!</v>
      </c>
      <c r="AT115" s="59" t="e">
        <f t="shared" si="169"/>
        <v>#NUM!</v>
      </c>
      <c r="AU115" s="21" t="e">
        <f t="shared" si="170"/>
        <v>#NUM!</v>
      </c>
      <c r="AV115" s="58">
        <f t="shared" si="171"/>
        <v>1500</v>
      </c>
      <c r="AW115" s="58">
        <f t="shared" si="172"/>
        <v>600</v>
      </c>
      <c r="AX115" s="60">
        <f t="shared" si="173"/>
        <v>0.11</v>
      </c>
      <c r="AY115" s="212">
        <f t="shared" si="126"/>
        <v>0</v>
      </c>
      <c r="AZ115" s="59">
        <f t="shared" si="174"/>
        <v>0</v>
      </c>
      <c r="BA115" s="21" t="e">
        <f t="shared" si="175"/>
        <v>#DIV/0!</v>
      </c>
      <c r="BB115" s="58">
        <f t="shared" si="176"/>
        <v>2900</v>
      </c>
      <c r="BC115" s="58">
        <f t="shared" si="177"/>
        <v>1160</v>
      </c>
      <c r="BD115" s="60">
        <f t="shared" si="178"/>
        <v>0.15</v>
      </c>
      <c r="BE115" s="212" t="e">
        <f t="shared" si="128"/>
        <v>#NUM!</v>
      </c>
      <c r="BF115" s="59" t="e">
        <f t="shared" si="179"/>
        <v>#NUM!</v>
      </c>
      <c r="BG115" s="21" t="e">
        <f t="shared" si="180"/>
        <v>#NUM!</v>
      </c>
      <c r="BH115" s="55">
        <f t="shared" ca="1" si="118"/>
        <v>0</v>
      </c>
    </row>
    <row r="116" spans="1:60" x14ac:dyDescent="0.2">
      <c r="A116" s="61">
        <f ca="1">RANK(W116,W$12:W$311,0)+COUNTIF(W$12:W116,W116)-1</f>
        <v>196</v>
      </c>
      <c r="B116" s="55">
        <f>'Etape 1'!A112</f>
        <v>105</v>
      </c>
      <c r="C116" s="55">
        <f>'Etape 1'!B112</f>
        <v>0</v>
      </c>
      <c r="D116" s="55">
        <f>'Etape 1'!C112</f>
        <v>0</v>
      </c>
      <c r="E116" s="55">
        <f>'Etape 1'!D112</f>
        <v>0</v>
      </c>
      <c r="F116" s="55">
        <f>'Etape 1'!E112</f>
        <v>0</v>
      </c>
      <c r="G116" s="55">
        <f>'Etape 1'!F112</f>
        <v>0</v>
      </c>
      <c r="H116" s="55">
        <f>'Etape 1'!G112</f>
        <v>0</v>
      </c>
      <c r="I116" s="209">
        <v>1</v>
      </c>
      <c r="J116" s="58">
        <f t="shared" si="130"/>
        <v>0</v>
      </c>
      <c r="K116" s="21">
        <f t="shared" si="143"/>
        <v>0</v>
      </c>
      <c r="L116" s="21">
        <f t="shared" si="144"/>
        <v>0</v>
      </c>
      <c r="M116" s="21">
        <f t="shared" ca="1" si="145"/>
        <v>3</v>
      </c>
      <c r="N116" s="21">
        <f t="shared" ca="1" si="146"/>
        <v>3</v>
      </c>
      <c r="O116" s="21">
        <f t="shared" ca="1" si="147"/>
        <v>0</v>
      </c>
      <c r="P116" s="262" t="str">
        <f>IF('Etape 1'!J112=999,"",IF('Etape 1'!J112=9999,txt_Schritt1.Angaben.fehlen,VLOOKUP(N116,Matrix_1.2.3.Test.Punkte.ID.Beurteilung,4,1)))</f>
        <v/>
      </c>
      <c r="Q116" s="21">
        <f t="shared" ca="1" si="148"/>
        <v>0</v>
      </c>
      <c r="R116" s="136">
        <f t="shared" si="119"/>
        <v>105</v>
      </c>
      <c r="S116" s="136">
        <f t="shared" ca="1" si="88"/>
        <v>162.34883720930233</v>
      </c>
      <c r="T116" s="136">
        <f t="shared" ca="1" si="120"/>
        <v>750.34883720930236</v>
      </c>
      <c r="U116" s="136">
        <f t="shared" ca="1" si="121"/>
        <v>1224000.3488372094</v>
      </c>
      <c r="V116" s="211">
        <f t="shared" ca="1" si="122"/>
        <v>235406.54088152872</v>
      </c>
      <c r="W116" s="136">
        <f t="shared" ca="1" si="89"/>
        <v>105</v>
      </c>
      <c r="X116" s="136">
        <f t="shared" ca="1" si="149"/>
        <v>162.999000999001</v>
      </c>
      <c r="Y116" s="21">
        <f t="shared" si="150"/>
        <v>1</v>
      </c>
      <c r="Z116" s="21" t="str">
        <f t="shared" si="151"/>
        <v>&lt;IE0</v>
      </c>
      <c r="AA116" s="21">
        <f t="shared" si="152"/>
        <v>1</v>
      </c>
      <c r="AB116" s="21" t="str">
        <f t="shared" si="153"/>
        <v>a - "&lt; 1990 (Eff3)"</v>
      </c>
      <c r="AC116" s="21">
        <f t="shared" si="154"/>
        <v>999999</v>
      </c>
      <c r="AD116" s="21" t="str">
        <f t="shared" si="155"/>
        <v/>
      </c>
      <c r="AE116" s="21" t="str">
        <f t="shared" si="156"/>
        <v/>
      </c>
      <c r="AF116" s="21" t="str">
        <f t="shared" si="157"/>
        <v/>
      </c>
      <c r="AG116" s="21">
        <f t="shared" si="158"/>
        <v>0</v>
      </c>
      <c r="AH116" s="21">
        <f>IF('Etape 1'!H112=St.Wert_Hacken,1,0)</f>
        <v>0</v>
      </c>
      <c r="AI116" s="21">
        <f t="shared" si="159"/>
        <v>0</v>
      </c>
      <c r="AJ116" s="21">
        <f t="shared" si="160"/>
        <v>1000999</v>
      </c>
      <c r="AK116" s="58">
        <f t="shared" si="161"/>
        <v>1100</v>
      </c>
      <c r="AL116" s="58">
        <f t="shared" si="162"/>
        <v>440</v>
      </c>
      <c r="AM116" s="21">
        <f t="shared" si="163"/>
        <v>0</v>
      </c>
      <c r="AN116" s="58">
        <f t="shared" si="164"/>
        <v>1</v>
      </c>
      <c r="AO116" s="58" t="str">
        <f t="shared" si="165"/>
        <v>114</v>
      </c>
      <c r="AP116" s="58" t="str">
        <f t="shared" si="166"/>
        <v>164</v>
      </c>
      <c r="AQ116" s="21" t="e">
        <f t="shared" si="167"/>
        <v>#NUM!</v>
      </c>
      <c r="AR116" s="21" t="e">
        <f t="shared" si="168"/>
        <v>#NUM!</v>
      </c>
      <c r="AS116" s="136" t="e">
        <f t="shared" si="124"/>
        <v>#NUM!</v>
      </c>
      <c r="AT116" s="59" t="e">
        <f t="shared" si="169"/>
        <v>#NUM!</v>
      </c>
      <c r="AU116" s="21" t="e">
        <f t="shared" si="170"/>
        <v>#NUM!</v>
      </c>
      <c r="AV116" s="58">
        <f t="shared" si="171"/>
        <v>1500</v>
      </c>
      <c r="AW116" s="58">
        <f t="shared" si="172"/>
        <v>600</v>
      </c>
      <c r="AX116" s="60">
        <f t="shared" si="173"/>
        <v>0.11</v>
      </c>
      <c r="AY116" s="212">
        <f t="shared" si="126"/>
        <v>0</v>
      </c>
      <c r="AZ116" s="59">
        <f t="shared" si="174"/>
        <v>0</v>
      </c>
      <c r="BA116" s="21" t="e">
        <f t="shared" si="175"/>
        <v>#DIV/0!</v>
      </c>
      <c r="BB116" s="58">
        <f t="shared" si="176"/>
        <v>2900</v>
      </c>
      <c r="BC116" s="58">
        <f t="shared" si="177"/>
        <v>1160</v>
      </c>
      <c r="BD116" s="60">
        <f t="shared" si="178"/>
        <v>0.15</v>
      </c>
      <c r="BE116" s="212" t="e">
        <f t="shared" si="128"/>
        <v>#NUM!</v>
      </c>
      <c r="BF116" s="59" t="e">
        <f t="shared" si="179"/>
        <v>#NUM!</v>
      </c>
      <c r="BG116" s="21" t="e">
        <f t="shared" si="180"/>
        <v>#NUM!</v>
      </c>
      <c r="BH116" s="55">
        <f t="shared" ca="1" si="118"/>
        <v>0</v>
      </c>
    </row>
    <row r="117" spans="1:60" x14ac:dyDescent="0.2">
      <c r="A117" s="61">
        <f ca="1">RANK(W117,W$12:W$311,0)+COUNTIF(W$12:W117,W117)-1</f>
        <v>195</v>
      </c>
      <c r="B117" s="55">
        <f>'Etape 1'!A113</f>
        <v>106</v>
      </c>
      <c r="C117" s="55">
        <f>'Etape 1'!B113</f>
        <v>0</v>
      </c>
      <c r="D117" s="55">
        <f>'Etape 1'!C113</f>
        <v>0</v>
      </c>
      <c r="E117" s="55">
        <f>'Etape 1'!D113</f>
        <v>0</v>
      </c>
      <c r="F117" s="55">
        <f>'Etape 1'!E113</f>
        <v>0</v>
      </c>
      <c r="G117" s="55">
        <f>'Etape 1'!F113</f>
        <v>0</v>
      </c>
      <c r="H117" s="55">
        <f>'Etape 1'!G113</f>
        <v>0</v>
      </c>
      <c r="I117" s="209">
        <v>1</v>
      </c>
      <c r="J117" s="58">
        <f t="shared" si="130"/>
        <v>0</v>
      </c>
      <c r="K117" s="21">
        <f t="shared" si="143"/>
        <v>0</v>
      </c>
      <c r="L117" s="21">
        <f t="shared" si="144"/>
        <v>0</v>
      </c>
      <c r="M117" s="21">
        <f t="shared" ca="1" si="145"/>
        <v>3</v>
      </c>
      <c r="N117" s="21">
        <f t="shared" ca="1" si="146"/>
        <v>3</v>
      </c>
      <c r="O117" s="21">
        <f t="shared" ca="1" si="147"/>
        <v>0</v>
      </c>
      <c r="P117" s="262" t="str">
        <f>IF('Etape 1'!J113=999,"",IF('Etape 1'!J113=9999,txt_Schritt1.Angaben.fehlen,VLOOKUP(N117,Matrix_1.2.3.Test.Punkte.ID.Beurteilung,4,1)))</f>
        <v/>
      </c>
      <c r="Q117" s="21">
        <f t="shared" ca="1" si="148"/>
        <v>0</v>
      </c>
      <c r="R117" s="136">
        <f t="shared" si="119"/>
        <v>106</v>
      </c>
      <c r="S117" s="136">
        <f t="shared" ca="1" si="88"/>
        <v>162.35215946843854</v>
      </c>
      <c r="T117" s="136">
        <f t="shared" ca="1" si="120"/>
        <v>750.35215946843857</v>
      </c>
      <c r="U117" s="136">
        <f t="shared" ca="1" si="121"/>
        <v>1224000.3521594685</v>
      </c>
      <c r="V117" s="211">
        <f t="shared" ca="1" si="122"/>
        <v>235406.54420378784</v>
      </c>
      <c r="W117" s="136">
        <f t="shared" ca="1" si="89"/>
        <v>106</v>
      </c>
      <c r="X117" s="136">
        <f t="shared" ca="1" si="149"/>
        <v>162.999000999001</v>
      </c>
      <c r="Y117" s="21">
        <f t="shared" si="150"/>
        <v>1</v>
      </c>
      <c r="Z117" s="21" t="str">
        <f t="shared" si="151"/>
        <v>&lt;IE0</v>
      </c>
      <c r="AA117" s="21">
        <f t="shared" si="152"/>
        <v>1</v>
      </c>
      <c r="AB117" s="21" t="str">
        <f t="shared" si="153"/>
        <v>a - "&lt; 1990 (Eff3)"</v>
      </c>
      <c r="AC117" s="21">
        <f t="shared" si="154"/>
        <v>999999</v>
      </c>
      <c r="AD117" s="21" t="str">
        <f t="shared" si="155"/>
        <v/>
      </c>
      <c r="AE117" s="21" t="str">
        <f t="shared" si="156"/>
        <v/>
      </c>
      <c r="AF117" s="21" t="str">
        <f t="shared" si="157"/>
        <v/>
      </c>
      <c r="AG117" s="21">
        <f t="shared" si="158"/>
        <v>0</v>
      </c>
      <c r="AH117" s="21">
        <f>IF('Etape 1'!H113=St.Wert_Hacken,1,0)</f>
        <v>0</v>
      </c>
      <c r="AI117" s="21">
        <f t="shared" si="159"/>
        <v>0</v>
      </c>
      <c r="AJ117" s="21">
        <f t="shared" si="160"/>
        <v>1000999</v>
      </c>
      <c r="AK117" s="58">
        <f t="shared" si="161"/>
        <v>1100</v>
      </c>
      <c r="AL117" s="58">
        <f t="shared" si="162"/>
        <v>440</v>
      </c>
      <c r="AM117" s="21">
        <f t="shared" si="163"/>
        <v>0</v>
      </c>
      <c r="AN117" s="58">
        <f t="shared" si="164"/>
        <v>1</v>
      </c>
      <c r="AO117" s="58" t="str">
        <f t="shared" si="165"/>
        <v>114</v>
      </c>
      <c r="AP117" s="58" t="str">
        <f t="shared" si="166"/>
        <v>164</v>
      </c>
      <c r="AQ117" s="21" t="e">
        <f t="shared" si="167"/>
        <v>#NUM!</v>
      </c>
      <c r="AR117" s="21" t="e">
        <f t="shared" si="168"/>
        <v>#NUM!</v>
      </c>
      <c r="AS117" s="136" t="e">
        <f t="shared" si="124"/>
        <v>#NUM!</v>
      </c>
      <c r="AT117" s="59" t="e">
        <f t="shared" si="169"/>
        <v>#NUM!</v>
      </c>
      <c r="AU117" s="21" t="e">
        <f t="shared" si="170"/>
        <v>#NUM!</v>
      </c>
      <c r="AV117" s="58">
        <f t="shared" si="171"/>
        <v>1500</v>
      </c>
      <c r="AW117" s="58">
        <f t="shared" si="172"/>
        <v>600</v>
      </c>
      <c r="AX117" s="60">
        <f t="shared" si="173"/>
        <v>0.11</v>
      </c>
      <c r="AY117" s="212">
        <f t="shared" si="126"/>
        <v>0</v>
      </c>
      <c r="AZ117" s="59">
        <f t="shared" si="174"/>
        <v>0</v>
      </c>
      <c r="BA117" s="21" t="e">
        <f t="shared" si="175"/>
        <v>#DIV/0!</v>
      </c>
      <c r="BB117" s="58">
        <f t="shared" si="176"/>
        <v>2900</v>
      </c>
      <c r="BC117" s="58">
        <f t="shared" si="177"/>
        <v>1160</v>
      </c>
      <c r="BD117" s="60">
        <f t="shared" si="178"/>
        <v>0.15</v>
      </c>
      <c r="BE117" s="212" t="e">
        <f t="shared" si="128"/>
        <v>#NUM!</v>
      </c>
      <c r="BF117" s="59" t="e">
        <f t="shared" si="179"/>
        <v>#NUM!</v>
      </c>
      <c r="BG117" s="21" t="e">
        <f t="shared" si="180"/>
        <v>#NUM!</v>
      </c>
      <c r="BH117" s="55">
        <f t="shared" ca="1" si="118"/>
        <v>0</v>
      </c>
    </row>
    <row r="118" spans="1:60" x14ac:dyDescent="0.2">
      <c r="A118" s="61">
        <f ca="1">RANK(W118,W$12:W$311,0)+COUNTIF(W$12:W118,W118)-1</f>
        <v>194</v>
      </c>
      <c r="B118" s="55">
        <f>'Etape 1'!A114</f>
        <v>107</v>
      </c>
      <c r="C118" s="55">
        <f>'Etape 1'!B114</f>
        <v>0</v>
      </c>
      <c r="D118" s="55">
        <f>'Etape 1'!C114</f>
        <v>0</v>
      </c>
      <c r="E118" s="55">
        <f>'Etape 1'!D114</f>
        <v>0</v>
      </c>
      <c r="F118" s="55">
        <f>'Etape 1'!E114</f>
        <v>0</v>
      </c>
      <c r="G118" s="55">
        <f>'Etape 1'!F114</f>
        <v>0</v>
      </c>
      <c r="H118" s="55">
        <f>'Etape 1'!G114</f>
        <v>0</v>
      </c>
      <c r="I118" s="209">
        <v>1</v>
      </c>
      <c r="J118" s="58">
        <f t="shared" si="130"/>
        <v>0</v>
      </c>
      <c r="K118" s="21">
        <f t="shared" si="143"/>
        <v>0</v>
      </c>
      <c r="L118" s="21">
        <f t="shared" si="144"/>
        <v>0</v>
      </c>
      <c r="M118" s="21">
        <f t="shared" ca="1" si="145"/>
        <v>3</v>
      </c>
      <c r="N118" s="21">
        <f t="shared" ca="1" si="146"/>
        <v>3</v>
      </c>
      <c r="O118" s="21">
        <f t="shared" ca="1" si="147"/>
        <v>0</v>
      </c>
      <c r="P118" s="262" t="str">
        <f>IF('Etape 1'!J114=999,"",IF('Etape 1'!J114=9999,txt_Schritt1.Angaben.fehlen,VLOOKUP(N118,Matrix_1.2.3.Test.Punkte.ID.Beurteilung,4,1)))</f>
        <v/>
      </c>
      <c r="Q118" s="21">
        <f t="shared" ca="1" si="148"/>
        <v>0</v>
      </c>
      <c r="R118" s="136">
        <f t="shared" si="119"/>
        <v>107</v>
      </c>
      <c r="S118" s="136">
        <f t="shared" ca="1" si="88"/>
        <v>162.35548172757476</v>
      </c>
      <c r="T118" s="136">
        <f t="shared" ca="1" si="120"/>
        <v>750.35548172757478</v>
      </c>
      <c r="U118" s="136">
        <f t="shared" ca="1" si="121"/>
        <v>1224000.3554817275</v>
      </c>
      <c r="V118" s="211">
        <f t="shared" ca="1" si="122"/>
        <v>235406.54752604698</v>
      </c>
      <c r="W118" s="136">
        <f t="shared" ca="1" si="89"/>
        <v>107</v>
      </c>
      <c r="X118" s="136">
        <f t="shared" ca="1" si="149"/>
        <v>162.999000999001</v>
      </c>
      <c r="Y118" s="21">
        <f t="shared" si="150"/>
        <v>1</v>
      </c>
      <c r="Z118" s="21" t="str">
        <f t="shared" si="151"/>
        <v>&lt;IE0</v>
      </c>
      <c r="AA118" s="21">
        <f t="shared" si="152"/>
        <v>1</v>
      </c>
      <c r="AB118" s="21" t="str">
        <f t="shared" si="153"/>
        <v>a - "&lt; 1990 (Eff3)"</v>
      </c>
      <c r="AC118" s="21">
        <f t="shared" si="154"/>
        <v>999999</v>
      </c>
      <c r="AD118" s="21" t="str">
        <f t="shared" si="155"/>
        <v/>
      </c>
      <c r="AE118" s="21" t="str">
        <f t="shared" si="156"/>
        <v/>
      </c>
      <c r="AF118" s="21" t="str">
        <f t="shared" si="157"/>
        <v/>
      </c>
      <c r="AG118" s="21">
        <f t="shared" si="158"/>
        <v>0</v>
      </c>
      <c r="AH118" s="21">
        <f>IF('Etape 1'!H114=St.Wert_Hacken,1,0)</f>
        <v>0</v>
      </c>
      <c r="AI118" s="21">
        <f t="shared" si="159"/>
        <v>0</v>
      </c>
      <c r="AJ118" s="21">
        <f t="shared" si="160"/>
        <v>1000999</v>
      </c>
      <c r="AK118" s="58">
        <f t="shared" si="161"/>
        <v>1100</v>
      </c>
      <c r="AL118" s="58">
        <f t="shared" si="162"/>
        <v>440</v>
      </c>
      <c r="AM118" s="21">
        <f t="shared" si="163"/>
        <v>0</v>
      </c>
      <c r="AN118" s="58">
        <f t="shared" si="164"/>
        <v>1</v>
      </c>
      <c r="AO118" s="58" t="str">
        <f t="shared" si="165"/>
        <v>114</v>
      </c>
      <c r="AP118" s="58" t="str">
        <f t="shared" si="166"/>
        <v>164</v>
      </c>
      <c r="AQ118" s="21" t="e">
        <f t="shared" si="167"/>
        <v>#NUM!</v>
      </c>
      <c r="AR118" s="21" t="e">
        <f t="shared" si="168"/>
        <v>#NUM!</v>
      </c>
      <c r="AS118" s="136" t="e">
        <f t="shared" si="124"/>
        <v>#NUM!</v>
      </c>
      <c r="AT118" s="59" t="e">
        <f t="shared" si="169"/>
        <v>#NUM!</v>
      </c>
      <c r="AU118" s="21" t="e">
        <f t="shared" si="170"/>
        <v>#NUM!</v>
      </c>
      <c r="AV118" s="58">
        <f t="shared" si="171"/>
        <v>1500</v>
      </c>
      <c r="AW118" s="58">
        <f t="shared" si="172"/>
        <v>600</v>
      </c>
      <c r="AX118" s="60">
        <f t="shared" si="173"/>
        <v>0.11</v>
      </c>
      <c r="AY118" s="212">
        <f t="shared" si="126"/>
        <v>0</v>
      </c>
      <c r="AZ118" s="59">
        <f t="shared" si="174"/>
        <v>0</v>
      </c>
      <c r="BA118" s="21" t="e">
        <f t="shared" si="175"/>
        <v>#DIV/0!</v>
      </c>
      <c r="BB118" s="58">
        <f t="shared" si="176"/>
        <v>2900</v>
      </c>
      <c r="BC118" s="58">
        <f t="shared" si="177"/>
        <v>1160</v>
      </c>
      <c r="BD118" s="60">
        <f t="shared" si="178"/>
        <v>0.15</v>
      </c>
      <c r="BE118" s="212" t="e">
        <f t="shared" si="128"/>
        <v>#NUM!</v>
      </c>
      <c r="BF118" s="59" t="e">
        <f t="shared" si="179"/>
        <v>#NUM!</v>
      </c>
      <c r="BG118" s="21" t="e">
        <f t="shared" si="180"/>
        <v>#NUM!</v>
      </c>
      <c r="BH118" s="55">
        <f t="shared" ca="1" si="118"/>
        <v>0</v>
      </c>
    </row>
    <row r="119" spans="1:60" x14ac:dyDescent="0.2">
      <c r="A119" s="61">
        <f ca="1">RANK(W119,W$12:W$311,0)+COUNTIF(W$12:W119,W119)-1</f>
        <v>193</v>
      </c>
      <c r="B119" s="55">
        <f>'Etape 1'!A115</f>
        <v>108</v>
      </c>
      <c r="C119" s="55">
        <f>'Etape 1'!B115</f>
        <v>0</v>
      </c>
      <c r="D119" s="55">
        <f>'Etape 1'!C115</f>
        <v>0</v>
      </c>
      <c r="E119" s="55">
        <f>'Etape 1'!D115</f>
        <v>0</v>
      </c>
      <c r="F119" s="55">
        <f>'Etape 1'!E115</f>
        <v>0</v>
      </c>
      <c r="G119" s="55">
        <f>'Etape 1'!F115</f>
        <v>0</v>
      </c>
      <c r="H119" s="55">
        <f>'Etape 1'!G115</f>
        <v>0</v>
      </c>
      <c r="I119" s="209">
        <v>1</v>
      </c>
      <c r="J119" s="58">
        <f t="shared" si="130"/>
        <v>0</v>
      </c>
      <c r="K119" s="21">
        <f t="shared" si="143"/>
        <v>0</v>
      </c>
      <c r="L119" s="21">
        <f t="shared" si="144"/>
        <v>0</v>
      </c>
      <c r="M119" s="21">
        <f t="shared" ca="1" si="145"/>
        <v>3</v>
      </c>
      <c r="N119" s="21">
        <f t="shared" ca="1" si="146"/>
        <v>3</v>
      </c>
      <c r="O119" s="21">
        <f t="shared" ca="1" si="147"/>
        <v>0</v>
      </c>
      <c r="P119" s="262" t="str">
        <f>IF('Etape 1'!J115=999,"",IF('Etape 1'!J115=9999,txt_Schritt1.Angaben.fehlen,VLOOKUP(N119,Matrix_1.2.3.Test.Punkte.ID.Beurteilung,4,1)))</f>
        <v/>
      </c>
      <c r="Q119" s="21">
        <f t="shared" ca="1" si="148"/>
        <v>0</v>
      </c>
      <c r="R119" s="136">
        <f t="shared" si="119"/>
        <v>108</v>
      </c>
      <c r="S119" s="136">
        <f t="shared" ca="1" si="88"/>
        <v>162.35880398671097</v>
      </c>
      <c r="T119" s="136">
        <f t="shared" ca="1" si="120"/>
        <v>750.358803986711</v>
      </c>
      <c r="U119" s="136">
        <f t="shared" ca="1" si="121"/>
        <v>1224000.3588039868</v>
      </c>
      <c r="V119" s="211">
        <f t="shared" ca="1" si="122"/>
        <v>235406.55084830613</v>
      </c>
      <c r="W119" s="136">
        <f t="shared" ca="1" si="89"/>
        <v>108</v>
      </c>
      <c r="X119" s="136">
        <f t="shared" ca="1" si="149"/>
        <v>162.999000999001</v>
      </c>
      <c r="Y119" s="21">
        <f t="shared" si="150"/>
        <v>1</v>
      </c>
      <c r="Z119" s="21" t="str">
        <f t="shared" si="151"/>
        <v>&lt;IE0</v>
      </c>
      <c r="AA119" s="21">
        <f t="shared" si="152"/>
        <v>1</v>
      </c>
      <c r="AB119" s="21" t="str">
        <f t="shared" si="153"/>
        <v>a - "&lt; 1990 (Eff3)"</v>
      </c>
      <c r="AC119" s="21">
        <f t="shared" si="154"/>
        <v>999999</v>
      </c>
      <c r="AD119" s="21" t="str">
        <f t="shared" si="155"/>
        <v/>
      </c>
      <c r="AE119" s="21" t="str">
        <f t="shared" si="156"/>
        <v/>
      </c>
      <c r="AF119" s="21" t="str">
        <f t="shared" si="157"/>
        <v/>
      </c>
      <c r="AG119" s="21">
        <f t="shared" si="158"/>
        <v>0</v>
      </c>
      <c r="AH119" s="21">
        <f>IF('Etape 1'!H115=St.Wert_Hacken,1,0)</f>
        <v>0</v>
      </c>
      <c r="AI119" s="21">
        <f t="shared" si="159"/>
        <v>0</v>
      </c>
      <c r="AJ119" s="21">
        <f t="shared" si="160"/>
        <v>1000999</v>
      </c>
      <c r="AK119" s="58">
        <f t="shared" si="161"/>
        <v>1100</v>
      </c>
      <c r="AL119" s="58">
        <f t="shared" si="162"/>
        <v>440</v>
      </c>
      <c r="AM119" s="21">
        <f t="shared" si="163"/>
        <v>0</v>
      </c>
      <c r="AN119" s="58">
        <f t="shared" si="164"/>
        <v>1</v>
      </c>
      <c r="AO119" s="58" t="str">
        <f t="shared" si="165"/>
        <v>114</v>
      </c>
      <c r="AP119" s="58" t="str">
        <f t="shared" si="166"/>
        <v>164</v>
      </c>
      <c r="AQ119" s="21" t="e">
        <f t="shared" si="167"/>
        <v>#NUM!</v>
      </c>
      <c r="AR119" s="21" t="e">
        <f t="shared" si="168"/>
        <v>#NUM!</v>
      </c>
      <c r="AS119" s="136" t="e">
        <f t="shared" si="124"/>
        <v>#NUM!</v>
      </c>
      <c r="AT119" s="59" t="e">
        <f t="shared" si="169"/>
        <v>#NUM!</v>
      </c>
      <c r="AU119" s="21" t="e">
        <f t="shared" si="170"/>
        <v>#NUM!</v>
      </c>
      <c r="AV119" s="58">
        <f t="shared" si="171"/>
        <v>1500</v>
      </c>
      <c r="AW119" s="58">
        <f t="shared" si="172"/>
        <v>600</v>
      </c>
      <c r="AX119" s="60">
        <f t="shared" si="173"/>
        <v>0.11</v>
      </c>
      <c r="AY119" s="212">
        <f t="shared" si="126"/>
        <v>0</v>
      </c>
      <c r="AZ119" s="59">
        <f t="shared" si="174"/>
        <v>0</v>
      </c>
      <c r="BA119" s="21" t="e">
        <f t="shared" si="175"/>
        <v>#DIV/0!</v>
      </c>
      <c r="BB119" s="58">
        <f t="shared" si="176"/>
        <v>2900</v>
      </c>
      <c r="BC119" s="58">
        <f t="shared" si="177"/>
        <v>1160</v>
      </c>
      <c r="BD119" s="60">
        <f t="shared" si="178"/>
        <v>0.15</v>
      </c>
      <c r="BE119" s="212" t="e">
        <f t="shared" si="128"/>
        <v>#NUM!</v>
      </c>
      <c r="BF119" s="59" t="e">
        <f t="shared" si="179"/>
        <v>#NUM!</v>
      </c>
      <c r="BG119" s="21" t="e">
        <f t="shared" si="180"/>
        <v>#NUM!</v>
      </c>
      <c r="BH119" s="55">
        <f t="shared" ca="1" si="118"/>
        <v>0</v>
      </c>
    </row>
    <row r="120" spans="1:60" x14ac:dyDescent="0.2">
      <c r="A120" s="61">
        <f ca="1">RANK(W120,W$12:W$311,0)+COUNTIF(W$12:W120,W120)-1</f>
        <v>192</v>
      </c>
      <c r="B120" s="55">
        <f>'Etape 1'!A116</f>
        <v>109</v>
      </c>
      <c r="C120" s="55">
        <f>'Etape 1'!B116</f>
        <v>0</v>
      </c>
      <c r="D120" s="55">
        <f>'Etape 1'!C116</f>
        <v>0</v>
      </c>
      <c r="E120" s="55">
        <f>'Etape 1'!D116</f>
        <v>0</v>
      </c>
      <c r="F120" s="55">
        <f>'Etape 1'!E116</f>
        <v>0</v>
      </c>
      <c r="G120" s="55">
        <f>'Etape 1'!F116</f>
        <v>0</v>
      </c>
      <c r="H120" s="55">
        <f>'Etape 1'!G116</f>
        <v>0</v>
      </c>
      <c r="I120" s="209">
        <v>1</v>
      </c>
      <c r="J120" s="58">
        <f t="shared" si="130"/>
        <v>0</v>
      </c>
      <c r="K120" s="21">
        <f t="shared" si="143"/>
        <v>0</v>
      </c>
      <c r="L120" s="21">
        <f t="shared" si="144"/>
        <v>0</v>
      </c>
      <c r="M120" s="21">
        <f t="shared" ca="1" si="145"/>
        <v>3</v>
      </c>
      <c r="N120" s="21">
        <f t="shared" ca="1" si="146"/>
        <v>3</v>
      </c>
      <c r="O120" s="21">
        <f t="shared" ca="1" si="147"/>
        <v>0</v>
      </c>
      <c r="P120" s="262" t="str">
        <f>IF('Etape 1'!J116=999,"",IF('Etape 1'!J116=9999,txt_Schritt1.Angaben.fehlen,VLOOKUP(N120,Matrix_1.2.3.Test.Punkte.ID.Beurteilung,4,1)))</f>
        <v/>
      </c>
      <c r="Q120" s="21">
        <f t="shared" ca="1" si="148"/>
        <v>0</v>
      </c>
      <c r="R120" s="136">
        <f t="shared" si="119"/>
        <v>109</v>
      </c>
      <c r="S120" s="136">
        <f t="shared" ca="1" si="88"/>
        <v>162.36212624584718</v>
      </c>
      <c r="T120" s="136">
        <f t="shared" ca="1" si="120"/>
        <v>750.36212624584721</v>
      </c>
      <c r="U120" s="136">
        <f t="shared" ca="1" si="121"/>
        <v>1224000.3621262459</v>
      </c>
      <c r="V120" s="211">
        <f t="shared" ca="1" si="122"/>
        <v>235406.55417056524</v>
      </c>
      <c r="W120" s="136">
        <f t="shared" ca="1" si="89"/>
        <v>109</v>
      </c>
      <c r="X120" s="136">
        <f t="shared" ca="1" si="149"/>
        <v>162.999000999001</v>
      </c>
      <c r="Y120" s="21">
        <f t="shared" si="150"/>
        <v>1</v>
      </c>
      <c r="Z120" s="21" t="str">
        <f t="shared" si="151"/>
        <v>&lt;IE0</v>
      </c>
      <c r="AA120" s="21">
        <f t="shared" si="152"/>
        <v>1</v>
      </c>
      <c r="AB120" s="21" t="str">
        <f t="shared" si="153"/>
        <v>a - "&lt; 1990 (Eff3)"</v>
      </c>
      <c r="AC120" s="21">
        <f t="shared" si="154"/>
        <v>999999</v>
      </c>
      <c r="AD120" s="21" t="str">
        <f t="shared" si="155"/>
        <v/>
      </c>
      <c r="AE120" s="21" t="str">
        <f t="shared" si="156"/>
        <v/>
      </c>
      <c r="AF120" s="21" t="str">
        <f t="shared" si="157"/>
        <v/>
      </c>
      <c r="AG120" s="21">
        <f t="shared" si="158"/>
        <v>0</v>
      </c>
      <c r="AH120" s="21">
        <f>IF('Etape 1'!H116=St.Wert_Hacken,1,0)</f>
        <v>0</v>
      </c>
      <c r="AI120" s="21">
        <f t="shared" si="159"/>
        <v>0</v>
      </c>
      <c r="AJ120" s="21">
        <f t="shared" si="160"/>
        <v>1000999</v>
      </c>
      <c r="AK120" s="58">
        <f t="shared" si="161"/>
        <v>1100</v>
      </c>
      <c r="AL120" s="58">
        <f t="shared" si="162"/>
        <v>440</v>
      </c>
      <c r="AM120" s="21">
        <f t="shared" si="163"/>
        <v>0</v>
      </c>
      <c r="AN120" s="58">
        <f t="shared" si="164"/>
        <v>1</v>
      </c>
      <c r="AO120" s="58" t="str">
        <f t="shared" si="165"/>
        <v>114</v>
      </c>
      <c r="AP120" s="58" t="str">
        <f t="shared" si="166"/>
        <v>164</v>
      </c>
      <c r="AQ120" s="21" t="e">
        <f t="shared" si="167"/>
        <v>#NUM!</v>
      </c>
      <c r="AR120" s="21" t="e">
        <f t="shared" si="168"/>
        <v>#NUM!</v>
      </c>
      <c r="AS120" s="136" t="e">
        <f t="shared" si="124"/>
        <v>#NUM!</v>
      </c>
      <c r="AT120" s="59" t="e">
        <f t="shared" si="169"/>
        <v>#NUM!</v>
      </c>
      <c r="AU120" s="21" t="e">
        <f t="shared" si="170"/>
        <v>#NUM!</v>
      </c>
      <c r="AV120" s="58">
        <f t="shared" si="171"/>
        <v>1500</v>
      </c>
      <c r="AW120" s="58">
        <f t="shared" si="172"/>
        <v>600</v>
      </c>
      <c r="AX120" s="60">
        <f t="shared" si="173"/>
        <v>0.11</v>
      </c>
      <c r="AY120" s="212">
        <f t="shared" si="126"/>
        <v>0</v>
      </c>
      <c r="AZ120" s="59">
        <f t="shared" si="174"/>
        <v>0</v>
      </c>
      <c r="BA120" s="21" t="e">
        <f t="shared" si="175"/>
        <v>#DIV/0!</v>
      </c>
      <c r="BB120" s="58">
        <f t="shared" si="176"/>
        <v>2900</v>
      </c>
      <c r="BC120" s="58">
        <f t="shared" si="177"/>
        <v>1160</v>
      </c>
      <c r="BD120" s="60">
        <f t="shared" si="178"/>
        <v>0.15</v>
      </c>
      <c r="BE120" s="212" t="e">
        <f t="shared" si="128"/>
        <v>#NUM!</v>
      </c>
      <c r="BF120" s="59" t="e">
        <f t="shared" si="179"/>
        <v>#NUM!</v>
      </c>
      <c r="BG120" s="21" t="e">
        <f t="shared" si="180"/>
        <v>#NUM!</v>
      </c>
      <c r="BH120" s="55">
        <f t="shared" ca="1" si="118"/>
        <v>0</v>
      </c>
    </row>
    <row r="121" spans="1:60" x14ac:dyDescent="0.2">
      <c r="A121" s="61">
        <f ca="1">RANK(W121,W$12:W$311,0)+COUNTIF(W$12:W121,W121)-1</f>
        <v>191</v>
      </c>
      <c r="B121" s="55">
        <f>'Etape 1'!A117</f>
        <v>110</v>
      </c>
      <c r="C121" s="55">
        <f>'Etape 1'!B117</f>
        <v>0</v>
      </c>
      <c r="D121" s="55">
        <f>'Etape 1'!C117</f>
        <v>0</v>
      </c>
      <c r="E121" s="55">
        <f>'Etape 1'!D117</f>
        <v>0</v>
      </c>
      <c r="F121" s="55">
        <f>'Etape 1'!E117</f>
        <v>0</v>
      </c>
      <c r="G121" s="55">
        <f>'Etape 1'!F117</f>
        <v>0</v>
      </c>
      <c r="H121" s="55">
        <f>'Etape 1'!G117</f>
        <v>0</v>
      </c>
      <c r="I121" s="209">
        <v>1</v>
      </c>
      <c r="J121" s="58">
        <f t="shared" si="130"/>
        <v>0</v>
      </c>
      <c r="K121" s="21">
        <f t="shared" si="143"/>
        <v>0</v>
      </c>
      <c r="L121" s="21">
        <f t="shared" si="144"/>
        <v>0</v>
      </c>
      <c r="M121" s="21">
        <f t="shared" ca="1" si="145"/>
        <v>3</v>
      </c>
      <c r="N121" s="21">
        <f t="shared" ca="1" si="146"/>
        <v>3</v>
      </c>
      <c r="O121" s="21">
        <f t="shared" ca="1" si="147"/>
        <v>0</v>
      </c>
      <c r="P121" s="262" t="str">
        <f>IF('Etape 1'!J117=999,"",IF('Etape 1'!J117=9999,txt_Schritt1.Angaben.fehlen,VLOOKUP(N121,Matrix_1.2.3.Test.Punkte.ID.Beurteilung,4,1)))</f>
        <v/>
      </c>
      <c r="Q121" s="21">
        <f t="shared" ca="1" si="148"/>
        <v>0</v>
      </c>
      <c r="R121" s="136">
        <f t="shared" si="119"/>
        <v>110</v>
      </c>
      <c r="S121" s="136">
        <f t="shared" ca="1" si="88"/>
        <v>162.36544850498339</v>
      </c>
      <c r="T121" s="136">
        <f t="shared" ca="1" si="120"/>
        <v>750.36544850498342</v>
      </c>
      <c r="U121" s="136">
        <f t="shared" ca="1" si="121"/>
        <v>1224000.3654485049</v>
      </c>
      <c r="V121" s="211">
        <f t="shared" ca="1" si="122"/>
        <v>235406.55749282439</v>
      </c>
      <c r="W121" s="136">
        <f t="shared" ca="1" si="89"/>
        <v>110</v>
      </c>
      <c r="X121" s="136">
        <f t="shared" ca="1" si="149"/>
        <v>162.999000999001</v>
      </c>
      <c r="Y121" s="21">
        <f t="shared" si="150"/>
        <v>1</v>
      </c>
      <c r="Z121" s="21" t="str">
        <f t="shared" si="151"/>
        <v>&lt;IE0</v>
      </c>
      <c r="AA121" s="21">
        <f t="shared" si="152"/>
        <v>1</v>
      </c>
      <c r="AB121" s="21" t="str">
        <f t="shared" si="153"/>
        <v>a - "&lt; 1990 (Eff3)"</v>
      </c>
      <c r="AC121" s="21">
        <f t="shared" si="154"/>
        <v>999999</v>
      </c>
      <c r="AD121" s="21" t="str">
        <f t="shared" si="155"/>
        <v/>
      </c>
      <c r="AE121" s="21" t="str">
        <f t="shared" si="156"/>
        <v/>
      </c>
      <c r="AF121" s="21" t="str">
        <f t="shared" si="157"/>
        <v/>
      </c>
      <c r="AG121" s="21">
        <f t="shared" si="158"/>
        <v>0</v>
      </c>
      <c r="AH121" s="21">
        <f>IF('Etape 1'!H117=St.Wert_Hacken,1,0)</f>
        <v>0</v>
      </c>
      <c r="AI121" s="21">
        <f t="shared" si="159"/>
        <v>0</v>
      </c>
      <c r="AJ121" s="21">
        <f t="shared" si="160"/>
        <v>1000999</v>
      </c>
      <c r="AK121" s="58">
        <f t="shared" si="161"/>
        <v>1100</v>
      </c>
      <c r="AL121" s="58">
        <f t="shared" si="162"/>
        <v>440</v>
      </c>
      <c r="AM121" s="21">
        <f t="shared" si="163"/>
        <v>0</v>
      </c>
      <c r="AN121" s="58">
        <f t="shared" si="164"/>
        <v>1</v>
      </c>
      <c r="AO121" s="58" t="str">
        <f t="shared" si="165"/>
        <v>114</v>
      </c>
      <c r="AP121" s="58" t="str">
        <f t="shared" si="166"/>
        <v>164</v>
      </c>
      <c r="AQ121" s="21" t="e">
        <f t="shared" si="167"/>
        <v>#NUM!</v>
      </c>
      <c r="AR121" s="21" t="e">
        <f t="shared" si="168"/>
        <v>#NUM!</v>
      </c>
      <c r="AS121" s="136" t="e">
        <f t="shared" si="124"/>
        <v>#NUM!</v>
      </c>
      <c r="AT121" s="59" t="e">
        <f t="shared" si="169"/>
        <v>#NUM!</v>
      </c>
      <c r="AU121" s="21" t="e">
        <f t="shared" si="170"/>
        <v>#NUM!</v>
      </c>
      <c r="AV121" s="58">
        <f t="shared" si="171"/>
        <v>1500</v>
      </c>
      <c r="AW121" s="58">
        <f t="shared" si="172"/>
        <v>600</v>
      </c>
      <c r="AX121" s="60">
        <f t="shared" si="173"/>
        <v>0.11</v>
      </c>
      <c r="AY121" s="212">
        <f t="shared" si="126"/>
        <v>0</v>
      </c>
      <c r="AZ121" s="59">
        <f t="shared" si="174"/>
        <v>0</v>
      </c>
      <c r="BA121" s="21" t="e">
        <f t="shared" si="175"/>
        <v>#DIV/0!</v>
      </c>
      <c r="BB121" s="58">
        <f t="shared" si="176"/>
        <v>2900</v>
      </c>
      <c r="BC121" s="58">
        <f t="shared" si="177"/>
        <v>1160</v>
      </c>
      <c r="BD121" s="60">
        <f t="shared" si="178"/>
        <v>0.15</v>
      </c>
      <c r="BE121" s="212" t="e">
        <f t="shared" si="128"/>
        <v>#NUM!</v>
      </c>
      <c r="BF121" s="59" t="e">
        <f t="shared" si="179"/>
        <v>#NUM!</v>
      </c>
      <c r="BG121" s="21" t="e">
        <f t="shared" si="180"/>
        <v>#NUM!</v>
      </c>
      <c r="BH121" s="55">
        <f t="shared" ca="1" si="118"/>
        <v>0</v>
      </c>
    </row>
    <row r="122" spans="1:60" x14ac:dyDescent="0.2">
      <c r="A122" s="61">
        <f ca="1">RANK(W122,W$12:W$311,0)+COUNTIF(W$12:W122,W122)-1</f>
        <v>190</v>
      </c>
      <c r="B122" s="55">
        <f>'Etape 1'!A118</f>
        <v>111</v>
      </c>
      <c r="C122" s="55">
        <f>'Etape 1'!B118</f>
        <v>0</v>
      </c>
      <c r="D122" s="55">
        <f>'Etape 1'!C118</f>
        <v>0</v>
      </c>
      <c r="E122" s="55">
        <f>'Etape 1'!D118</f>
        <v>0</v>
      </c>
      <c r="F122" s="55">
        <f>'Etape 1'!E118</f>
        <v>0</v>
      </c>
      <c r="G122" s="55">
        <f>'Etape 1'!F118</f>
        <v>0</v>
      </c>
      <c r="H122" s="55">
        <f>'Etape 1'!G118</f>
        <v>0</v>
      </c>
      <c r="I122" s="209">
        <v>1</v>
      </c>
      <c r="J122" s="58">
        <f t="shared" si="130"/>
        <v>0</v>
      </c>
      <c r="K122" s="21">
        <f t="shared" si="143"/>
        <v>0</v>
      </c>
      <c r="L122" s="21">
        <f t="shared" si="144"/>
        <v>0</v>
      </c>
      <c r="M122" s="21">
        <f t="shared" ca="1" si="145"/>
        <v>3</v>
      </c>
      <c r="N122" s="21">
        <f t="shared" ca="1" si="146"/>
        <v>3</v>
      </c>
      <c r="O122" s="21">
        <f t="shared" ca="1" si="147"/>
        <v>0</v>
      </c>
      <c r="P122" s="262" t="str">
        <f>IF('Etape 1'!J118=999,"",IF('Etape 1'!J118=9999,txt_Schritt1.Angaben.fehlen,VLOOKUP(N122,Matrix_1.2.3.Test.Punkte.ID.Beurteilung,4,1)))</f>
        <v/>
      </c>
      <c r="Q122" s="21">
        <f t="shared" ca="1" si="148"/>
        <v>0</v>
      </c>
      <c r="R122" s="136">
        <f t="shared" si="119"/>
        <v>111</v>
      </c>
      <c r="S122" s="136">
        <f t="shared" ca="1" si="88"/>
        <v>162.3687707641196</v>
      </c>
      <c r="T122" s="136">
        <f t="shared" ca="1" si="120"/>
        <v>750.36877076411963</v>
      </c>
      <c r="U122" s="136">
        <f t="shared" ca="1" si="121"/>
        <v>1224000.3687707642</v>
      </c>
      <c r="V122" s="211">
        <f t="shared" ca="1" si="122"/>
        <v>235406.56081508353</v>
      </c>
      <c r="W122" s="136">
        <f t="shared" ca="1" si="89"/>
        <v>111</v>
      </c>
      <c r="X122" s="136">
        <f t="shared" ca="1" si="149"/>
        <v>162.999000999001</v>
      </c>
      <c r="Y122" s="21">
        <f t="shared" si="150"/>
        <v>1</v>
      </c>
      <c r="Z122" s="21" t="str">
        <f t="shared" si="151"/>
        <v>&lt;IE0</v>
      </c>
      <c r="AA122" s="21">
        <f t="shared" si="152"/>
        <v>1</v>
      </c>
      <c r="AB122" s="21" t="str">
        <f t="shared" si="153"/>
        <v>a - "&lt; 1990 (Eff3)"</v>
      </c>
      <c r="AC122" s="21">
        <f t="shared" si="154"/>
        <v>999999</v>
      </c>
      <c r="AD122" s="21" t="str">
        <f t="shared" si="155"/>
        <v/>
      </c>
      <c r="AE122" s="21" t="str">
        <f t="shared" si="156"/>
        <v/>
      </c>
      <c r="AF122" s="21" t="str">
        <f t="shared" si="157"/>
        <v/>
      </c>
      <c r="AG122" s="21">
        <f t="shared" si="158"/>
        <v>0</v>
      </c>
      <c r="AH122" s="21">
        <f>IF('Etape 1'!H118=St.Wert_Hacken,1,0)</f>
        <v>0</v>
      </c>
      <c r="AI122" s="21">
        <f t="shared" si="159"/>
        <v>0</v>
      </c>
      <c r="AJ122" s="21">
        <f t="shared" si="160"/>
        <v>1000999</v>
      </c>
      <c r="AK122" s="58">
        <f t="shared" si="161"/>
        <v>1100</v>
      </c>
      <c r="AL122" s="58">
        <f t="shared" si="162"/>
        <v>440</v>
      </c>
      <c r="AM122" s="21">
        <f t="shared" si="163"/>
        <v>0</v>
      </c>
      <c r="AN122" s="58">
        <f t="shared" si="164"/>
        <v>1</v>
      </c>
      <c r="AO122" s="58" t="str">
        <f t="shared" si="165"/>
        <v>114</v>
      </c>
      <c r="AP122" s="58" t="str">
        <f t="shared" si="166"/>
        <v>164</v>
      </c>
      <c r="AQ122" s="21" t="e">
        <f t="shared" si="167"/>
        <v>#NUM!</v>
      </c>
      <c r="AR122" s="21" t="e">
        <f t="shared" si="168"/>
        <v>#NUM!</v>
      </c>
      <c r="AS122" s="136" t="e">
        <f t="shared" si="124"/>
        <v>#NUM!</v>
      </c>
      <c r="AT122" s="59" t="e">
        <f t="shared" si="169"/>
        <v>#NUM!</v>
      </c>
      <c r="AU122" s="21" t="e">
        <f t="shared" si="170"/>
        <v>#NUM!</v>
      </c>
      <c r="AV122" s="58">
        <f t="shared" si="171"/>
        <v>1500</v>
      </c>
      <c r="AW122" s="58">
        <f t="shared" si="172"/>
        <v>600</v>
      </c>
      <c r="AX122" s="60">
        <f t="shared" si="173"/>
        <v>0.11</v>
      </c>
      <c r="AY122" s="212">
        <f t="shared" si="126"/>
        <v>0</v>
      </c>
      <c r="AZ122" s="59">
        <f t="shared" si="174"/>
        <v>0</v>
      </c>
      <c r="BA122" s="21" t="e">
        <f t="shared" si="175"/>
        <v>#DIV/0!</v>
      </c>
      <c r="BB122" s="58">
        <f t="shared" si="176"/>
        <v>2900</v>
      </c>
      <c r="BC122" s="58">
        <f t="shared" si="177"/>
        <v>1160</v>
      </c>
      <c r="BD122" s="60">
        <f t="shared" si="178"/>
        <v>0.15</v>
      </c>
      <c r="BE122" s="212" t="e">
        <f t="shared" si="128"/>
        <v>#NUM!</v>
      </c>
      <c r="BF122" s="59" t="e">
        <f t="shared" si="179"/>
        <v>#NUM!</v>
      </c>
      <c r="BG122" s="21" t="e">
        <f t="shared" si="180"/>
        <v>#NUM!</v>
      </c>
      <c r="BH122" s="55">
        <f t="shared" ca="1" si="118"/>
        <v>0</v>
      </c>
    </row>
    <row r="123" spans="1:60" x14ac:dyDescent="0.2">
      <c r="A123" s="61">
        <f ca="1">RANK(W123,W$12:W$311,0)+COUNTIF(W$12:W123,W123)-1</f>
        <v>189</v>
      </c>
      <c r="B123" s="55">
        <f>'Etape 1'!A119</f>
        <v>112</v>
      </c>
      <c r="C123" s="55">
        <f>'Etape 1'!B119</f>
        <v>0</v>
      </c>
      <c r="D123" s="55">
        <f>'Etape 1'!C119</f>
        <v>0</v>
      </c>
      <c r="E123" s="55">
        <f>'Etape 1'!D119</f>
        <v>0</v>
      </c>
      <c r="F123" s="55">
        <f>'Etape 1'!E119</f>
        <v>0</v>
      </c>
      <c r="G123" s="55">
        <f>'Etape 1'!F119</f>
        <v>0</v>
      </c>
      <c r="H123" s="55">
        <f>'Etape 1'!G119</f>
        <v>0</v>
      </c>
      <c r="I123" s="209">
        <v>1</v>
      </c>
      <c r="J123" s="58">
        <f t="shared" si="130"/>
        <v>0</v>
      </c>
      <c r="K123" s="21">
        <f t="shared" si="143"/>
        <v>0</v>
      </c>
      <c r="L123" s="21">
        <f t="shared" si="144"/>
        <v>0</v>
      </c>
      <c r="M123" s="21">
        <f t="shared" ca="1" si="145"/>
        <v>3</v>
      </c>
      <c r="N123" s="21">
        <f t="shared" ca="1" si="146"/>
        <v>3</v>
      </c>
      <c r="O123" s="21">
        <f t="shared" ca="1" si="147"/>
        <v>0</v>
      </c>
      <c r="P123" s="262" t="str">
        <f>IF('Etape 1'!J119=999,"",IF('Etape 1'!J119=9999,txt_Schritt1.Angaben.fehlen,VLOOKUP(N123,Matrix_1.2.3.Test.Punkte.ID.Beurteilung,4,1)))</f>
        <v/>
      </c>
      <c r="Q123" s="21">
        <f t="shared" ca="1" si="148"/>
        <v>0</v>
      </c>
      <c r="R123" s="136">
        <f t="shared" si="119"/>
        <v>112</v>
      </c>
      <c r="S123" s="136">
        <f t="shared" ca="1" si="88"/>
        <v>162.37209302325581</v>
      </c>
      <c r="T123" s="136">
        <f t="shared" ca="1" si="120"/>
        <v>750.37209302325584</v>
      </c>
      <c r="U123" s="136">
        <f t="shared" ca="1" si="121"/>
        <v>1224000.3720930233</v>
      </c>
      <c r="V123" s="211">
        <f t="shared" ca="1" si="122"/>
        <v>235406.56413734268</v>
      </c>
      <c r="W123" s="136">
        <f t="shared" ca="1" si="89"/>
        <v>112</v>
      </c>
      <c r="X123" s="136">
        <f t="shared" ca="1" si="149"/>
        <v>162.999000999001</v>
      </c>
      <c r="Y123" s="21">
        <f t="shared" si="150"/>
        <v>1</v>
      </c>
      <c r="Z123" s="21" t="str">
        <f t="shared" si="151"/>
        <v>&lt;IE0</v>
      </c>
      <c r="AA123" s="21">
        <f t="shared" si="152"/>
        <v>1</v>
      </c>
      <c r="AB123" s="21" t="str">
        <f t="shared" si="153"/>
        <v>a - "&lt; 1990 (Eff3)"</v>
      </c>
      <c r="AC123" s="21">
        <f t="shared" si="154"/>
        <v>999999</v>
      </c>
      <c r="AD123" s="21" t="str">
        <f t="shared" si="155"/>
        <v/>
      </c>
      <c r="AE123" s="21" t="str">
        <f t="shared" si="156"/>
        <v/>
      </c>
      <c r="AF123" s="21" t="str">
        <f t="shared" si="157"/>
        <v/>
      </c>
      <c r="AG123" s="21">
        <f t="shared" si="158"/>
        <v>0</v>
      </c>
      <c r="AH123" s="21">
        <f>IF('Etape 1'!H119=St.Wert_Hacken,1,0)</f>
        <v>0</v>
      </c>
      <c r="AI123" s="21">
        <f t="shared" si="159"/>
        <v>0</v>
      </c>
      <c r="AJ123" s="21">
        <f t="shared" si="160"/>
        <v>1000999</v>
      </c>
      <c r="AK123" s="58">
        <f t="shared" si="161"/>
        <v>1100</v>
      </c>
      <c r="AL123" s="58">
        <f t="shared" si="162"/>
        <v>440</v>
      </c>
      <c r="AM123" s="21">
        <f t="shared" si="163"/>
        <v>0</v>
      </c>
      <c r="AN123" s="58">
        <f t="shared" si="164"/>
        <v>1</v>
      </c>
      <c r="AO123" s="58" t="str">
        <f t="shared" si="165"/>
        <v>114</v>
      </c>
      <c r="AP123" s="58" t="str">
        <f t="shared" si="166"/>
        <v>164</v>
      </c>
      <c r="AQ123" s="21" t="e">
        <f t="shared" si="167"/>
        <v>#NUM!</v>
      </c>
      <c r="AR123" s="21" t="e">
        <f t="shared" si="168"/>
        <v>#NUM!</v>
      </c>
      <c r="AS123" s="136" t="e">
        <f t="shared" si="124"/>
        <v>#NUM!</v>
      </c>
      <c r="AT123" s="59" t="e">
        <f t="shared" si="169"/>
        <v>#NUM!</v>
      </c>
      <c r="AU123" s="21" t="e">
        <f t="shared" si="170"/>
        <v>#NUM!</v>
      </c>
      <c r="AV123" s="58">
        <f t="shared" si="171"/>
        <v>1500</v>
      </c>
      <c r="AW123" s="58">
        <f t="shared" si="172"/>
        <v>600</v>
      </c>
      <c r="AX123" s="60">
        <f t="shared" si="173"/>
        <v>0.11</v>
      </c>
      <c r="AY123" s="212">
        <f t="shared" si="126"/>
        <v>0</v>
      </c>
      <c r="AZ123" s="59">
        <f t="shared" si="174"/>
        <v>0</v>
      </c>
      <c r="BA123" s="21" t="e">
        <f t="shared" si="175"/>
        <v>#DIV/0!</v>
      </c>
      <c r="BB123" s="58">
        <f t="shared" si="176"/>
        <v>2900</v>
      </c>
      <c r="BC123" s="58">
        <f t="shared" si="177"/>
        <v>1160</v>
      </c>
      <c r="BD123" s="60">
        <f t="shared" si="178"/>
        <v>0.15</v>
      </c>
      <c r="BE123" s="212" t="e">
        <f t="shared" si="128"/>
        <v>#NUM!</v>
      </c>
      <c r="BF123" s="59" t="e">
        <f t="shared" si="179"/>
        <v>#NUM!</v>
      </c>
      <c r="BG123" s="21" t="e">
        <f t="shared" si="180"/>
        <v>#NUM!</v>
      </c>
      <c r="BH123" s="55">
        <f t="shared" ca="1" si="118"/>
        <v>0</v>
      </c>
    </row>
    <row r="124" spans="1:60" x14ac:dyDescent="0.2">
      <c r="A124" s="61">
        <f ca="1">RANK(W124,W$12:W$311,0)+COUNTIF(W$12:W124,W124)-1</f>
        <v>188</v>
      </c>
      <c r="B124" s="55">
        <f>'Etape 1'!A120</f>
        <v>113</v>
      </c>
      <c r="C124" s="55">
        <f>'Etape 1'!B120</f>
        <v>0</v>
      </c>
      <c r="D124" s="55">
        <f>'Etape 1'!C120</f>
        <v>0</v>
      </c>
      <c r="E124" s="55">
        <f>'Etape 1'!D120</f>
        <v>0</v>
      </c>
      <c r="F124" s="55">
        <f>'Etape 1'!E120</f>
        <v>0</v>
      </c>
      <c r="G124" s="55">
        <f>'Etape 1'!F120</f>
        <v>0</v>
      </c>
      <c r="H124" s="55">
        <f>'Etape 1'!G120</f>
        <v>0</v>
      </c>
      <c r="I124" s="209">
        <v>1</v>
      </c>
      <c r="J124" s="58">
        <f t="shared" si="130"/>
        <v>0</v>
      </c>
      <c r="K124" s="21">
        <f t="shared" si="143"/>
        <v>0</v>
      </c>
      <c r="L124" s="21">
        <f t="shared" si="144"/>
        <v>0</v>
      </c>
      <c r="M124" s="21">
        <f t="shared" ca="1" si="145"/>
        <v>3</v>
      </c>
      <c r="N124" s="21">
        <f t="shared" ca="1" si="146"/>
        <v>3</v>
      </c>
      <c r="O124" s="21">
        <f t="shared" ca="1" si="147"/>
        <v>0</v>
      </c>
      <c r="P124" s="262" t="str">
        <f>IF('Etape 1'!J120=999,"",IF('Etape 1'!J120=9999,txt_Schritt1.Angaben.fehlen,VLOOKUP(N124,Matrix_1.2.3.Test.Punkte.ID.Beurteilung,4,1)))</f>
        <v/>
      </c>
      <c r="Q124" s="21">
        <f t="shared" ca="1" si="148"/>
        <v>0</v>
      </c>
      <c r="R124" s="136">
        <f t="shared" si="119"/>
        <v>113</v>
      </c>
      <c r="S124" s="136">
        <f t="shared" ca="1" si="88"/>
        <v>162.37541528239203</v>
      </c>
      <c r="T124" s="136">
        <f t="shared" ca="1" si="120"/>
        <v>750.37541528239205</v>
      </c>
      <c r="U124" s="136">
        <f t="shared" ca="1" si="121"/>
        <v>1224000.3754152823</v>
      </c>
      <c r="V124" s="211">
        <f t="shared" ca="1" si="122"/>
        <v>235406.56745960179</v>
      </c>
      <c r="W124" s="136">
        <f t="shared" ca="1" si="89"/>
        <v>113</v>
      </c>
      <c r="X124" s="136">
        <f t="shared" ca="1" si="149"/>
        <v>162.999000999001</v>
      </c>
      <c r="Y124" s="21">
        <f t="shared" si="150"/>
        <v>1</v>
      </c>
      <c r="Z124" s="21" t="str">
        <f t="shared" si="151"/>
        <v>&lt;IE0</v>
      </c>
      <c r="AA124" s="21">
        <f t="shared" si="152"/>
        <v>1</v>
      </c>
      <c r="AB124" s="21" t="str">
        <f t="shared" si="153"/>
        <v>a - "&lt; 1990 (Eff3)"</v>
      </c>
      <c r="AC124" s="21">
        <f t="shared" si="154"/>
        <v>999999</v>
      </c>
      <c r="AD124" s="21" t="str">
        <f t="shared" si="155"/>
        <v/>
      </c>
      <c r="AE124" s="21" t="str">
        <f t="shared" si="156"/>
        <v/>
      </c>
      <c r="AF124" s="21" t="str">
        <f t="shared" si="157"/>
        <v/>
      </c>
      <c r="AG124" s="21">
        <f t="shared" si="158"/>
        <v>0</v>
      </c>
      <c r="AH124" s="21">
        <f>IF('Etape 1'!H120=St.Wert_Hacken,1,0)</f>
        <v>0</v>
      </c>
      <c r="AI124" s="21">
        <f t="shared" si="159"/>
        <v>0</v>
      </c>
      <c r="AJ124" s="21">
        <f t="shared" si="160"/>
        <v>1000999</v>
      </c>
      <c r="AK124" s="58">
        <f t="shared" si="161"/>
        <v>1100</v>
      </c>
      <c r="AL124" s="58">
        <f t="shared" si="162"/>
        <v>440</v>
      </c>
      <c r="AM124" s="21">
        <f t="shared" si="163"/>
        <v>0</v>
      </c>
      <c r="AN124" s="58">
        <f t="shared" si="164"/>
        <v>1</v>
      </c>
      <c r="AO124" s="58" t="str">
        <f t="shared" si="165"/>
        <v>114</v>
      </c>
      <c r="AP124" s="58" t="str">
        <f t="shared" si="166"/>
        <v>164</v>
      </c>
      <c r="AQ124" s="21" t="e">
        <f t="shared" si="167"/>
        <v>#NUM!</v>
      </c>
      <c r="AR124" s="21" t="e">
        <f t="shared" si="168"/>
        <v>#NUM!</v>
      </c>
      <c r="AS124" s="136" t="e">
        <f t="shared" si="124"/>
        <v>#NUM!</v>
      </c>
      <c r="AT124" s="59" t="e">
        <f t="shared" si="169"/>
        <v>#NUM!</v>
      </c>
      <c r="AU124" s="21" t="e">
        <f t="shared" si="170"/>
        <v>#NUM!</v>
      </c>
      <c r="AV124" s="58">
        <f t="shared" si="171"/>
        <v>1500</v>
      </c>
      <c r="AW124" s="58">
        <f t="shared" si="172"/>
        <v>600</v>
      </c>
      <c r="AX124" s="60">
        <f t="shared" si="173"/>
        <v>0.11</v>
      </c>
      <c r="AY124" s="212">
        <f t="shared" si="126"/>
        <v>0</v>
      </c>
      <c r="AZ124" s="59">
        <f t="shared" si="174"/>
        <v>0</v>
      </c>
      <c r="BA124" s="21" t="e">
        <f t="shared" si="175"/>
        <v>#DIV/0!</v>
      </c>
      <c r="BB124" s="58">
        <f t="shared" si="176"/>
        <v>2900</v>
      </c>
      <c r="BC124" s="58">
        <f t="shared" si="177"/>
        <v>1160</v>
      </c>
      <c r="BD124" s="60">
        <f t="shared" si="178"/>
        <v>0.15</v>
      </c>
      <c r="BE124" s="212" t="e">
        <f t="shared" si="128"/>
        <v>#NUM!</v>
      </c>
      <c r="BF124" s="59" t="e">
        <f t="shared" si="179"/>
        <v>#NUM!</v>
      </c>
      <c r="BG124" s="21" t="e">
        <f t="shared" si="180"/>
        <v>#NUM!</v>
      </c>
      <c r="BH124" s="55">
        <f t="shared" ca="1" si="118"/>
        <v>0</v>
      </c>
    </row>
    <row r="125" spans="1:60" x14ac:dyDescent="0.2">
      <c r="A125" s="61">
        <f ca="1">RANK(W125,W$12:W$311,0)+COUNTIF(W$12:W125,W125)-1</f>
        <v>187</v>
      </c>
      <c r="B125" s="55">
        <f>'Etape 1'!A121</f>
        <v>114</v>
      </c>
      <c r="C125" s="55">
        <f>'Etape 1'!B121</f>
        <v>0</v>
      </c>
      <c r="D125" s="55">
        <f>'Etape 1'!C121</f>
        <v>0</v>
      </c>
      <c r="E125" s="55">
        <f>'Etape 1'!D121</f>
        <v>0</v>
      </c>
      <c r="F125" s="55">
        <f>'Etape 1'!E121</f>
        <v>0</v>
      </c>
      <c r="G125" s="55">
        <f>'Etape 1'!F121</f>
        <v>0</v>
      </c>
      <c r="H125" s="55">
        <f>'Etape 1'!G121</f>
        <v>0</v>
      </c>
      <c r="I125" s="209">
        <v>1</v>
      </c>
      <c r="J125" s="58">
        <f t="shared" si="130"/>
        <v>0</v>
      </c>
      <c r="K125" s="21">
        <f t="shared" si="143"/>
        <v>0</v>
      </c>
      <c r="L125" s="21">
        <f t="shared" si="144"/>
        <v>0</v>
      </c>
      <c r="M125" s="21">
        <f t="shared" ca="1" si="145"/>
        <v>3</v>
      </c>
      <c r="N125" s="21">
        <f t="shared" ca="1" si="146"/>
        <v>3</v>
      </c>
      <c r="O125" s="21">
        <f t="shared" ca="1" si="147"/>
        <v>0</v>
      </c>
      <c r="P125" s="262" t="str">
        <f>IF('Etape 1'!J121=999,"",IF('Etape 1'!J121=9999,txt_Schritt1.Angaben.fehlen,VLOOKUP(N125,Matrix_1.2.3.Test.Punkte.ID.Beurteilung,4,1)))</f>
        <v/>
      </c>
      <c r="Q125" s="21">
        <f t="shared" ca="1" si="148"/>
        <v>0</v>
      </c>
      <c r="R125" s="136">
        <f t="shared" si="119"/>
        <v>114</v>
      </c>
      <c r="S125" s="136">
        <f t="shared" ca="1" si="88"/>
        <v>162.37873754152824</v>
      </c>
      <c r="T125" s="136">
        <f t="shared" ca="1" si="120"/>
        <v>750.37873754152827</v>
      </c>
      <c r="U125" s="136">
        <f t="shared" ca="1" si="121"/>
        <v>1224000.3787375416</v>
      </c>
      <c r="V125" s="211">
        <f t="shared" ca="1" si="122"/>
        <v>235406.57078186094</v>
      </c>
      <c r="W125" s="136">
        <f t="shared" ca="1" si="89"/>
        <v>114</v>
      </c>
      <c r="X125" s="136">
        <f t="shared" ca="1" si="149"/>
        <v>162.999000999001</v>
      </c>
      <c r="Y125" s="21">
        <f t="shared" si="150"/>
        <v>1</v>
      </c>
      <c r="Z125" s="21" t="str">
        <f t="shared" si="151"/>
        <v>&lt;IE0</v>
      </c>
      <c r="AA125" s="21">
        <f t="shared" si="152"/>
        <v>1</v>
      </c>
      <c r="AB125" s="21" t="str">
        <f t="shared" si="153"/>
        <v>a - "&lt; 1990 (Eff3)"</v>
      </c>
      <c r="AC125" s="21">
        <f t="shared" si="154"/>
        <v>999999</v>
      </c>
      <c r="AD125" s="21" t="str">
        <f t="shared" si="155"/>
        <v/>
      </c>
      <c r="AE125" s="21" t="str">
        <f t="shared" si="156"/>
        <v/>
      </c>
      <c r="AF125" s="21" t="str">
        <f t="shared" si="157"/>
        <v/>
      </c>
      <c r="AG125" s="21">
        <f t="shared" si="158"/>
        <v>0</v>
      </c>
      <c r="AH125" s="21">
        <f>IF('Etape 1'!H121=St.Wert_Hacken,1,0)</f>
        <v>0</v>
      </c>
      <c r="AI125" s="21">
        <f t="shared" si="159"/>
        <v>0</v>
      </c>
      <c r="AJ125" s="21">
        <f t="shared" si="160"/>
        <v>1000999</v>
      </c>
      <c r="AK125" s="58">
        <f t="shared" si="161"/>
        <v>1100</v>
      </c>
      <c r="AL125" s="58">
        <f t="shared" si="162"/>
        <v>440</v>
      </c>
      <c r="AM125" s="21">
        <f t="shared" si="163"/>
        <v>0</v>
      </c>
      <c r="AN125" s="58">
        <f t="shared" si="164"/>
        <v>1</v>
      </c>
      <c r="AO125" s="58" t="str">
        <f t="shared" si="165"/>
        <v>114</v>
      </c>
      <c r="AP125" s="58" t="str">
        <f t="shared" si="166"/>
        <v>164</v>
      </c>
      <c r="AQ125" s="21" t="e">
        <f t="shared" si="167"/>
        <v>#NUM!</v>
      </c>
      <c r="AR125" s="21" t="e">
        <f t="shared" si="168"/>
        <v>#NUM!</v>
      </c>
      <c r="AS125" s="136" t="e">
        <f t="shared" si="124"/>
        <v>#NUM!</v>
      </c>
      <c r="AT125" s="59" t="e">
        <f t="shared" si="169"/>
        <v>#NUM!</v>
      </c>
      <c r="AU125" s="21" t="e">
        <f t="shared" si="170"/>
        <v>#NUM!</v>
      </c>
      <c r="AV125" s="58">
        <f t="shared" si="171"/>
        <v>1500</v>
      </c>
      <c r="AW125" s="58">
        <f t="shared" si="172"/>
        <v>600</v>
      </c>
      <c r="AX125" s="60">
        <f t="shared" si="173"/>
        <v>0.11</v>
      </c>
      <c r="AY125" s="212">
        <f t="shared" si="126"/>
        <v>0</v>
      </c>
      <c r="AZ125" s="59">
        <f t="shared" si="174"/>
        <v>0</v>
      </c>
      <c r="BA125" s="21" t="e">
        <f t="shared" si="175"/>
        <v>#DIV/0!</v>
      </c>
      <c r="BB125" s="58">
        <f t="shared" si="176"/>
        <v>2900</v>
      </c>
      <c r="BC125" s="58">
        <f t="shared" si="177"/>
        <v>1160</v>
      </c>
      <c r="BD125" s="60">
        <f t="shared" si="178"/>
        <v>0.15</v>
      </c>
      <c r="BE125" s="212" t="e">
        <f t="shared" si="128"/>
        <v>#NUM!</v>
      </c>
      <c r="BF125" s="59" t="e">
        <f t="shared" si="179"/>
        <v>#NUM!</v>
      </c>
      <c r="BG125" s="21" t="e">
        <f t="shared" si="180"/>
        <v>#NUM!</v>
      </c>
      <c r="BH125" s="55">
        <f t="shared" ca="1" si="118"/>
        <v>0</v>
      </c>
    </row>
    <row r="126" spans="1:60" x14ac:dyDescent="0.2">
      <c r="A126" s="61">
        <f ca="1">RANK(W126,W$12:W$311,0)+COUNTIF(W$12:W126,W126)-1</f>
        <v>186</v>
      </c>
      <c r="B126" s="55">
        <f>'Etape 1'!A122</f>
        <v>115</v>
      </c>
      <c r="C126" s="55">
        <f>'Etape 1'!B122</f>
        <v>0</v>
      </c>
      <c r="D126" s="55">
        <f>'Etape 1'!C122</f>
        <v>0</v>
      </c>
      <c r="E126" s="55">
        <f>'Etape 1'!D122</f>
        <v>0</v>
      </c>
      <c r="F126" s="55">
        <f>'Etape 1'!E122</f>
        <v>0</v>
      </c>
      <c r="G126" s="55">
        <f>'Etape 1'!F122</f>
        <v>0</v>
      </c>
      <c r="H126" s="55">
        <f>'Etape 1'!G122</f>
        <v>0</v>
      </c>
      <c r="I126" s="209">
        <v>1</v>
      </c>
      <c r="J126" s="58">
        <f t="shared" si="130"/>
        <v>0</v>
      </c>
      <c r="K126" s="21">
        <f t="shared" si="143"/>
        <v>0</v>
      </c>
      <c r="L126" s="21">
        <f t="shared" si="144"/>
        <v>0</v>
      </c>
      <c r="M126" s="21">
        <f t="shared" ca="1" si="145"/>
        <v>3</v>
      </c>
      <c r="N126" s="21">
        <f t="shared" ca="1" si="146"/>
        <v>3</v>
      </c>
      <c r="O126" s="21">
        <f t="shared" ca="1" si="147"/>
        <v>0</v>
      </c>
      <c r="P126" s="262" t="str">
        <f>IF('Etape 1'!J122=999,"",IF('Etape 1'!J122=9999,txt_Schritt1.Angaben.fehlen,VLOOKUP(N126,Matrix_1.2.3.Test.Punkte.ID.Beurteilung,4,1)))</f>
        <v/>
      </c>
      <c r="Q126" s="21">
        <f t="shared" ca="1" si="148"/>
        <v>0</v>
      </c>
      <c r="R126" s="136">
        <f t="shared" si="119"/>
        <v>115</v>
      </c>
      <c r="S126" s="136">
        <f t="shared" ca="1" si="88"/>
        <v>162.38205980066445</v>
      </c>
      <c r="T126" s="136">
        <f t="shared" ca="1" si="120"/>
        <v>750.38205980066448</v>
      </c>
      <c r="U126" s="136">
        <f t="shared" ca="1" si="121"/>
        <v>1224000.3820598007</v>
      </c>
      <c r="V126" s="211">
        <f t="shared" ca="1" si="122"/>
        <v>235406.57410412008</v>
      </c>
      <c r="W126" s="136">
        <f t="shared" ca="1" si="89"/>
        <v>115</v>
      </c>
      <c r="X126" s="136">
        <f t="shared" ca="1" si="149"/>
        <v>162.999000999001</v>
      </c>
      <c r="Y126" s="21">
        <f t="shared" si="150"/>
        <v>1</v>
      </c>
      <c r="Z126" s="21" t="str">
        <f t="shared" si="151"/>
        <v>&lt;IE0</v>
      </c>
      <c r="AA126" s="21">
        <f t="shared" si="152"/>
        <v>1</v>
      </c>
      <c r="AB126" s="21" t="str">
        <f t="shared" si="153"/>
        <v>a - "&lt; 1990 (Eff3)"</v>
      </c>
      <c r="AC126" s="21">
        <f t="shared" si="154"/>
        <v>999999</v>
      </c>
      <c r="AD126" s="21" t="str">
        <f t="shared" si="155"/>
        <v/>
      </c>
      <c r="AE126" s="21" t="str">
        <f t="shared" si="156"/>
        <v/>
      </c>
      <c r="AF126" s="21" t="str">
        <f t="shared" si="157"/>
        <v/>
      </c>
      <c r="AG126" s="21">
        <f t="shared" si="158"/>
        <v>0</v>
      </c>
      <c r="AH126" s="21">
        <f>IF('Etape 1'!H122=St.Wert_Hacken,1,0)</f>
        <v>0</v>
      </c>
      <c r="AI126" s="21">
        <f t="shared" si="159"/>
        <v>0</v>
      </c>
      <c r="AJ126" s="21">
        <f t="shared" si="160"/>
        <v>1000999</v>
      </c>
      <c r="AK126" s="58">
        <f t="shared" si="161"/>
        <v>1100</v>
      </c>
      <c r="AL126" s="58">
        <f t="shared" si="162"/>
        <v>440</v>
      </c>
      <c r="AM126" s="21">
        <f t="shared" si="163"/>
        <v>0</v>
      </c>
      <c r="AN126" s="58">
        <f t="shared" si="164"/>
        <v>1</v>
      </c>
      <c r="AO126" s="58" t="str">
        <f t="shared" si="165"/>
        <v>114</v>
      </c>
      <c r="AP126" s="58" t="str">
        <f t="shared" si="166"/>
        <v>164</v>
      </c>
      <c r="AQ126" s="21" t="e">
        <f t="shared" si="167"/>
        <v>#NUM!</v>
      </c>
      <c r="AR126" s="21" t="e">
        <f t="shared" si="168"/>
        <v>#NUM!</v>
      </c>
      <c r="AS126" s="136" t="e">
        <f t="shared" si="124"/>
        <v>#NUM!</v>
      </c>
      <c r="AT126" s="59" t="e">
        <f t="shared" si="169"/>
        <v>#NUM!</v>
      </c>
      <c r="AU126" s="21" t="e">
        <f t="shared" si="170"/>
        <v>#NUM!</v>
      </c>
      <c r="AV126" s="58">
        <f t="shared" si="171"/>
        <v>1500</v>
      </c>
      <c r="AW126" s="58">
        <f t="shared" si="172"/>
        <v>600</v>
      </c>
      <c r="AX126" s="60">
        <f t="shared" si="173"/>
        <v>0.11</v>
      </c>
      <c r="AY126" s="212">
        <f t="shared" si="126"/>
        <v>0</v>
      </c>
      <c r="AZ126" s="59">
        <f t="shared" si="174"/>
        <v>0</v>
      </c>
      <c r="BA126" s="21" t="e">
        <f t="shared" si="175"/>
        <v>#DIV/0!</v>
      </c>
      <c r="BB126" s="58">
        <f t="shared" si="176"/>
        <v>2900</v>
      </c>
      <c r="BC126" s="58">
        <f t="shared" si="177"/>
        <v>1160</v>
      </c>
      <c r="BD126" s="60">
        <f t="shared" si="178"/>
        <v>0.15</v>
      </c>
      <c r="BE126" s="212" t="e">
        <f t="shared" si="128"/>
        <v>#NUM!</v>
      </c>
      <c r="BF126" s="59" t="e">
        <f t="shared" si="179"/>
        <v>#NUM!</v>
      </c>
      <c r="BG126" s="21" t="e">
        <f t="shared" si="180"/>
        <v>#NUM!</v>
      </c>
      <c r="BH126" s="55">
        <f t="shared" ca="1" si="118"/>
        <v>0</v>
      </c>
    </row>
    <row r="127" spans="1:60" x14ac:dyDescent="0.2">
      <c r="A127" s="61">
        <f ca="1">RANK(W127,W$12:W$311,0)+COUNTIF(W$12:W127,W127)-1</f>
        <v>185</v>
      </c>
      <c r="B127" s="55">
        <f>'Etape 1'!A123</f>
        <v>116</v>
      </c>
      <c r="C127" s="55">
        <f>'Etape 1'!B123</f>
        <v>0</v>
      </c>
      <c r="D127" s="55">
        <f>'Etape 1'!C123</f>
        <v>0</v>
      </c>
      <c r="E127" s="55">
        <f>'Etape 1'!D123</f>
        <v>0</v>
      </c>
      <c r="F127" s="55">
        <f>'Etape 1'!E123</f>
        <v>0</v>
      </c>
      <c r="G127" s="55">
        <f>'Etape 1'!F123</f>
        <v>0</v>
      </c>
      <c r="H127" s="55">
        <f>'Etape 1'!G123</f>
        <v>0</v>
      </c>
      <c r="I127" s="209">
        <v>1</v>
      </c>
      <c r="J127" s="58">
        <f t="shared" si="130"/>
        <v>0</v>
      </c>
      <c r="K127" s="21">
        <f t="shared" si="143"/>
        <v>0</v>
      </c>
      <c r="L127" s="21">
        <f t="shared" si="144"/>
        <v>0</v>
      </c>
      <c r="M127" s="21">
        <f t="shared" ca="1" si="145"/>
        <v>3</v>
      </c>
      <c r="N127" s="21">
        <f t="shared" ca="1" si="146"/>
        <v>3</v>
      </c>
      <c r="O127" s="21">
        <f t="shared" ca="1" si="147"/>
        <v>0</v>
      </c>
      <c r="P127" s="262" t="str">
        <f>IF('Etape 1'!J123=999,"",IF('Etape 1'!J123=9999,txt_Schritt1.Angaben.fehlen,VLOOKUP(N127,Matrix_1.2.3.Test.Punkte.ID.Beurteilung,4,1)))</f>
        <v/>
      </c>
      <c r="Q127" s="21">
        <f t="shared" ca="1" si="148"/>
        <v>0</v>
      </c>
      <c r="R127" s="136">
        <f t="shared" si="119"/>
        <v>116</v>
      </c>
      <c r="S127" s="136">
        <f t="shared" ca="1" si="88"/>
        <v>162.38538205980066</v>
      </c>
      <c r="T127" s="136">
        <f t="shared" ca="1" si="120"/>
        <v>750.38538205980069</v>
      </c>
      <c r="U127" s="136">
        <f t="shared" ca="1" si="121"/>
        <v>1224000.3853820597</v>
      </c>
      <c r="V127" s="211">
        <f t="shared" ca="1" si="122"/>
        <v>235406.5774263792</v>
      </c>
      <c r="W127" s="136">
        <f t="shared" ca="1" si="89"/>
        <v>116</v>
      </c>
      <c r="X127" s="136">
        <f t="shared" ca="1" si="149"/>
        <v>162.999000999001</v>
      </c>
      <c r="Y127" s="21">
        <f t="shared" si="150"/>
        <v>1</v>
      </c>
      <c r="Z127" s="21" t="str">
        <f t="shared" si="151"/>
        <v>&lt;IE0</v>
      </c>
      <c r="AA127" s="21">
        <f t="shared" si="152"/>
        <v>1</v>
      </c>
      <c r="AB127" s="21" t="str">
        <f t="shared" si="153"/>
        <v>a - "&lt; 1990 (Eff3)"</v>
      </c>
      <c r="AC127" s="21">
        <f t="shared" si="154"/>
        <v>999999</v>
      </c>
      <c r="AD127" s="21" t="str">
        <f t="shared" si="155"/>
        <v/>
      </c>
      <c r="AE127" s="21" t="str">
        <f t="shared" si="156"/>
        <v/>
      </c>
      <c r="AF127" s="21" t="str">
        <f t="shared" si="157"/>
        <v/>
      </c>
      <c r="AG127" s="21">
        <f t="shared" si="158"/>
        <v>0</v>
      </c>
      <c r="AH127" s="21">
        <f>IF('Etape 1'!H123=St.Wert_Hacken,1,0)</f>
        <v>0</v>
      </c>
      <c r="AI127" s="21">
        <f t="shared" si="159"/>
        <v>0</v>
      </c>
      <c r="AJ127" s="21">
        <f t="shared" si="160"/>
        <v>1000999</v>
      </c>
      <c r="AK127" s="58">
        <f t="shared" si="161"/>
        <v>1100</v>
      </c>
      <c r="AL127" s="58">
        <f t="shared" si="162"/>
        <v>440</v>
      </c>
      <c r="AM127" s="21">
        <f t="shared" si="163"/>
        <v>0</v>
      </c>
      <c r="AN127" s="58">
        <f t="shared" si="164"/>
        <v>1</v>
      </c>
      <c r="AO127" s="58" t="str">
        <f t="shared" si="165"/>
        <v>114</v>
      </c>
      <c r="AP127" s="58" t="str">
        <f t="shared" si="166"/>
        <v>164</v>
      </c>
      <c r="AQ127" s="21" t="e">
        <f t="shared" si="167"/>
        <v>#NUM!</v>
      </c>
      <c r="AR127" s="21" t="e">
        <f t="shared" si="168"/>
        <v>#NUM!</v>
      </c>
      <c r="AS127" s="136" t="e">
        <f t="shared" si="124"/>
        <v>#NUM!</v>
      </c>
      <c r="AT127" s="59" t="e">
        <f t="shared" si="169"/>
        <v>#NUM!</v>
      </c>
      <c r="AU127" s="21" t="e">
        <f t="shared" si="170"/>
        <v>#NUM!</v>
      </c>
      <c r="AV127" s="58">
        <f t="shared" si="171"/>
        <v>1500</v>
      </c>
      <c r="AW127" s="58">
        <f t="shared" si="172"/>
        <v>600</v>
      </c>
      <c r="AX127" s="60">
        <f t="shared" si="173"/>
        <v>0.11</v>
      </c>
      <c r="AY127" s="212">
        <f t="shared" si="126"/>
        <v>0</v>
      </c>
      <c r="AZ127" s="59">
        <f t="shared" si="174"/>
        <v>0</v>
      </c>
      <c r="BA127" s="21" t="e">
        <f t="shared" si="175"/>
        <v>#DIV/0!</v>
      </c>
      <c r="BB127" s="58">
        <f t="shared" si="176"/>
        <v>2900</v>
      </c>
      <c r="BC127" s="58">
        <f t="shared" si="177"/>
        <v>1160</v>
      </c>
      <c r="BD127" s="60">
        <f t="shared" si="178"/>
        <v>0.15</v>
      </c>
      <c r="BE127" s="212" t="e">
        <f t="shared" si="128"/>
        <v>#NUM!</v>
      </c>
      <c r="BF127" s="59" t="e">
        <f t="shared" si="179"/>
        <v>#NUM!</v>
      </c>
      <c r="BG127" s="21" t="e">
        <f t="shared" si="180"/>
        <v>#NUM!</v>
      </c>
      <c r="BH127" s="55">
        <f t="shared" ca="1" si="118"/>
        <v>0</v>
      </c>
    </row>
    <row r="128" spans="1:60" x14ac:dyDescent="0.2">
      <c r="A128" s="61">
        <f ca="1">RANK(W128,W$12:W$311,0)+COUNTIF(W$12:W128,W128)-1</f>
        <v>184</v>
      </c>
      <c r="B128" s="55">
        <f>'Etape 1'!A124</f>
        <v>117</v>
      </c>
      <c r="C128" s="55">
        <f>'Etape 1'!B124</f>
        <v>0</v>
      </c>
      <c r="D128" s="55">
        <f>'Etape 1'!C124</f>
        <v>0</v>
      </c>
      <c r="E128" s="55">
        <f>'Etape 1'!D124</f>
        <v>0</v>
      </c>
      <c r="F128" s="55">
        <f>'Etape 1'!E124</f>
        <v>0</v>
      </c>
      <c r="G128" s="55">
        <f>'Etape 1'!F124</f>
        <v>0</v>
      </c>
      <c r="H128" s="55">
        <f>'Etape 1'!G124</f>
        <v>0</v>
      </c>
      <c r="I128" s="209">
        <v>1</v>
      </c>
      <c r="J128" s="58">
        <f t="shared" si="130"/>
        <v>0</v>
      </c>
      <c r="K128" s="21">
        <f t="shared" si="143"/>
        <v>0</v>
      </c>
      <c r="L128" s="21">
        <f t="shared" si="144"/>
        <v>0</v>
      </c>
      <c r="M128" s="21">
        <f t="shared" ca="1" si="145"/>
        <v>3</v>
      </c>
      <c r="N128" s="21">
        <f t="shared" ca="1" si="146"/>
        <v>3</v>
      </c>
      <c r="O128" s="21">
        <f t="shared" ca="1" si="147"/>
        <v>0</v>
      </c>
      <c r="P128" s="262" t="str">
        <f>IF('Etape 1'!J124=999,"",IF('Etape 1'!J124=9999,txt_Schritt1.Angaben.fehlen,VLOOKUP(N128,Matrix_1.2.3.Test.Punkte.ID.Beurteilung,4,1)))</f>
        <v/>
      </c>
      <c r="Q128" s="21">
        <f t="shared" ca="1" si="148"/>
        <v>0</v>
      </c>
      <c r="R128" s="136">
        <f t="shared" si="119"/>
        <v>117</v>
      </c>
      <c r="S128" s="136">
        <f t="shared" ca="1" si="88"/>
        <v>162.38870431893687</v>
      </c>
      <c r="T128" s="136">
        <f t="shared" ca="1" si="120"/>
        <v>750.3887043189369</v>
      </c>
      <c r="U128" s="136">
        <f t="shared" ca="1" si="121"/>
        <v>1224000.388704319</v>
      </c>
      <c r="V128" s="211">
        <f t="shared" ca="1" si="122"/>
        <v>235406.58074863834</v>
      </c>
      <c r="W128" s="136">
        <f t="shared" ca="1" si="89"/>
        <v>117</v>
      </c>
      <c r="X128" s="136">
        <f t="shared" ca="1" si="149"/>
        <v>162.999000999001</v>
      </c>
      <c r="Y128" s="21">
        <f t="shared" si="150"/>
        <v>1</v>
      </c>
      <c r="Z128" s="21" t="str">
        <f t="shared" si="151"/>
        <v>&lt;IE0</v>
      </c>
      <c r="AA128" s="21">
        <f t="shared" si="152"/>
        <v>1</v>
      </c>
      <c r="AB128" s="21" t="str">
        <f t="shared" si="153"/>
        <v>a - "&lt; 1990 (Eff3)"</v>
      </c>
      <c r="AC128" s="21">
        <f t="shared" si="154"/>
        <v>999999</v>
      </c>
      <c r="AD128" s="21" t="str">
        <f t="shared" si="155"/>
        <v/>
      </c>
      <c r="AE128" s="21" t="str">
        <f t="shared" si="156"/>
        <v/>
      </c>
      <c r="AF128" s="21" t="str">
        <f t="shared" si="157"/>
        <v/>
      </c>
      <c r="AG128" s="21">
        <f t="shared" si="158"/>
        <v>0</v>
      </c>
      <c r="AH128" s="21">
        <f>IF('Etape 1'!H124=St.Wert_Hacken,1,0)</f>
        <v>0</v>
      </c>
      <c r="AI128" s="21">
        <f t="shared" si="159"/>
        <v>0</v>
      </c>
      <c r="AJ128" s="21">
        <f t="shared" si="160"/>
        <v>1000999</v>
      </c>
      <c r="AK128" s="58">
        <f t="shared" si="161"/>
        <v>1100</v>
      </c>
      <c r="AL128" s="58">
        <f t="shared" si="162"/>
        <v>440</v>
      </c>
      <c r="AM128" s="21">
        <f t="shared" si="163"/>
        <v>0</v>
      </c>
      <c r="AN128" s="58">
        <f t="shared" si="164"/>
        <v>1</v>
      </c>
      <c r="AO128" s="58" t="str">
        <f t="shared" si="165"/>
        <v>114</v>
      </c>
      <c r="AP128" s="58" t="str">
        <f t="shared" si="166"/>
        <v>164</v>
      </c>
      <c r="AQ128" s="21" t="e">
        <f t="shared" si="167"/>
        <v>#NUM!</v>
      </c>
      <c r="AR128" s="21" t="e">
        <f t="shared" si="168"/>
        <v>#NUM!</v>
      </c>
      <c r="AS128" s="136" t="e">
        <f t="shared" si="124"/>
        <v>#NUM!</v>
      </c>
      <c r="AT128" s="59" t="e">
        <f t="shared" si="169"/>
        <v>#NUM!</v>
      </c>
      <c r="AU128" s="21" t="e">
        <f t="shared" si="170"/>
        <v>#NUM!</v>
      </c>
      <c r="AV128" s="58">
        <f t="shared" si="171"/>
        <v>1500</v>
      </c>
      <c r="AW128" s="58">
        <f t="shared" si="172"/>
        <v>600</v>
      </c>
      <c r="AX128" s="60">
        <f t="shared" si="173"/>
        <v>0.11</v>
      </c>
      <c r="AY128" s="212">
        <f t="shared" si="126"/>
        <v>0</v>
      </c>
      <c r="AZ128" s="59">
        <f t="shared" si="174"/>
        <v>0</v>
      </c>
      <c r="BA128" s="21" t="e">
        <f t="shared" si="175"/>
        <v>#DIV/0!</v>
      </c>
      <c r="BB128" s="58">
        <f t="shared" si="176"/>
        <v>2900</v>
      </c>
      <c r="BC128" s="58">
        <f t="shared" si="177"/>
        <v>1160</v>
      </c>
      <c r="BD128" s="60">
        <f t="shared" si="178"/>
        <v>0.15</v>
      </c>
      <c r="BE128" s="212" t="e">
        <f t="shared" si="128"/>
        <v>#NUM!</v>
      </c>
      <c r="BF128" s="59" t="e">
        <f t="shared" si="179"/>
        <v>#NUM!</v>
      </c>
      <c r="BG128" s="21" t="e">
        <f t="shared" si="180"/>
        <v>#NUM!</v>
      </c>
      <c r="BH128" s="55">
        <f t="shared" ca="1" si="118"/>
        <v>0</v>
      </c>
    </row>
    <row r="129" spans="1:60" x14ac:dyDescent="0.2">
      <c r="A129" s="61">
        <f ca="1">RANK(W129,W$12:W$311,0)+COUNTIF(W$12:W129,W129)-1</f>
        <v>183</v>
      </c>
      <c r="B129" s="55">
        <f>'Etape 1'!A125</f>
        <v>118</v>
      </c>
      <c r="C129" s="55">
        <f>'Etape 1'!B125</f>
        <v>0</v>
      </c>
      <c r="D129" s="55">
        <f>'Etape 1'!C125</f>
        <v>0</v>
      </c>
      <c r="E129" s="55">
        <f>'Etape 1'!D125</f>
        <v>0</v>
      </c>
      <c r="F129" s="55">
        <f>'Etape 1'!E125</f>
        <v>0</v>
      </c>
      <c r="G129" s="55">
        <f>'Etape 1'!F125</f>
        <v>0</v>
      </c>
      <c r="H129" s="55">
        <f>'Etape 1'!G125</f>
        <v>0</v>
      </c>
      <c r="I129" s="209">
        <v>1</v>
      </c>
      <c r="J129" s="58">
        <f t="shared" si="130"/>
        <v>0</v>
      </c>
      <c r="K129" s="21">
        <f t="shared" si="143"/>
        <v>0</v>
      </c>
      <c r="L129" s="21">
        <f t="shared" si="144"/>
        <v>0</v>
      </c>
      <c r="M129" s="21">
        <f t="shared" ca="1" si="145"/>
        <v>3</v>
      </c>
      <c r="N129" s="21">
        <f t="shared" ca="1" si="146"/>
        <v>3</v>
      </c>
      <c r="O129" s="21">
        <f t="shared" ca="1" si="147"/>
        <v>0</v>
      </c>
      <c r="P129" s="262" t="str">
        <f>IF('Etape 1'!J125=999,"",IF('Etape 1'!J125=9999,txt_Schritt1.Angaben.fehlen,VLOOKUP(N129,Matrix_1.2.3.Test.Punkte.ID.Beurteilung,4,1)))</f>
        <v/>
      </c>
      <c r="Q129" s="21">
        <f t="shared" ca="1" si="148"/>
        <v>0</v>
      </c>
      <c r="R129" s="136">
        <f t="shared" si="119"/>
        <v>118</v>
      </c>
      <c r="S129" s="136">
        <f t="shared" ca="1" si="88"/>
        <v>162.39202657807309</v>
      </c>
      <c r="T129" s="136">
        <f t="shared" ca="1" si="120"/>
        <v>750.39202657807311</v>
      </c>
      <c r="U129" s="136">
        <f t="shared" ca="1" si="121"/>
        <v>1224000.3920265781</v>
      </c>
      <c r="V129" s="211">
        <f t="shared" ca="1" si="122"/>
        <v>235406.58407089749</v>
      </c>
      <c r="W129" s="136">
        <f t="shared" ca="1" si="89"/>
        <v>118</v>
      </c>
      <c r="X129" s="136">
        <f t="shared" ca="1" si="149"/>
        <v>162.999000999001</v>
      </c>
      <c r="Y129" s="21">
        <f t="shared" si="150"/>
        <v>1</v>
      </c>
      <c r="Z129" s="21" t="str">
        <f t="shared" si="151"/>
        <v>&lt;IE0</v>
      </c>
      <c r="AA129" s="21">
        <f t="shared" si="152"/>
        <v>1</v>
      </c>
      <c r="AB129" s="21" t="str">
        <f t="shared" si="153"/>
        <v>a - "&lt; 1990 (Eff3)"</v>
      </c>
      <c r="AC129" s="21">
        <f t="shared" si="154"/>
        <v>999999</v>
      </c>
      <c r="AD129" s="21" t="str">
        <f t="shared" si="155"/>
        <v/>
      </c>
      <c r="AE129" s="21" t="str">
        <f t="shared" si="156"/>
        <v/>
      </c>
      <c r="AF129" s="21" t="str">
        <f t="shared" si="157"/>
        <v/>
      </c>
      <c r="AG129" s="21">
        <f t="shared" si="158"/>
        <v>0</v>
      </c>
      <c r="AH129" s="21">
        <f>IF('Etape 1'!H125=St.Wert_Hacken,1,0)</f>
        <v>0</v>
      </c>
      <c r="AI129" s="21">
        <f t="shared" si="159"/>
        <v>0</v>
      </c>
      <c r="AJ129" s="21">
        <f t="shared" si="160"/>
        <v>1000999</v>
      </c>
      <c r="AK129" s="58">
        <f t="shared" si="161"/>
        <v>1100</v>
      </c>
      <c r="AL129" s="58">
        <f t="shared" si="162"/>
        <v>440</v>
      </c>
      <c r="AM129" s="21">
        <f t="shared" si="163"/>
        <v>0</v>
      </c>
      <c r="AN129" s="58">
        <f t="shared" si="164"/>
        <v>1</v>
      </c>
      <c r="AO129" s="58" t="str">
        <f t="shared" si="165"/>
        <v>114</v>
      </c>
      <c r="AP129" s="58" t="str">
        <f t="shared" si="166"/>
        <v>164</v>
      </c>
      <c r="AQ129" s="21" t="e">
        <f t="shared" si="167"/>
        <v>#NUM!</v>
      </c>
      <c r="AR129" s="21" t="e">
        <f t="shared" si="168"/>
        <v>#NUM!</v>
      </c>
      <c r="AS129" s="136" t="e">
        <f t="shared" si="124"/>
        <v>#NUM!</v>
      </c>
      <c r="AT129" s="59" t="e">
        <f t="shared" si="169"/>
        <v>#NUM!</v>
      </c>
      <c r="AU129" s="21" t="e">
        <f t="shared" si="170"/>
        <v>#NUM!</v>
      </c>
      <c r="AV129" s="58">
        <f t="shared" si="171"/>
        <v>1500</v>
      </c>
      <c r="AW129" s="58">
        <f t="shared" si="172"/>
        <v>600</v>
      </c>
      <c r="AX129" s="60">
        <f t="shared" si="173"/>
        <v>0.11</v>
      </c>
      <c r="AY129" s="212">
        <f t="shared" si="126"/>
        <v>0</v>
      </c>
      <c r="AZ129" s="59">
        <f t="shared" si="174"/>
        <v>0</v>
      </c>
      <c r="BA129" s="21" t="e">
        <f t="shared" si="175"/>
        <v>#DIV/0!</v>
      </c>
      <c r="BB129" s="58">
        <f t="shared" si="176"/>
        <v>2900</v>
      </c>
      <c r="BC129" s="58">
        <f t="shared" si="177"/>
        <v>1160</v>
      </c>
      <c r="BD129" s="60">
        <f t="shared" si="178"/>
        <v>0.15</v>
      </c>
      <c r="BE129" s="212" t="e">
        <f t="shared" si="128"/>
        <v>#NUM!</v>
      </c>
      <c r="BF129" s="59" t="e">
        <f t="shared" si="179"/>
        <v>#NUM!</v>
      </c>
      <c r="BG129" s="21" t="e">
        <f t="shared" si="180"/>
        <v>#NUM!</v>
      </c>
      <c r="BH129" s="55">
        <f t="shared" ca="1" si="118"/>
        <v>0</v>
      </c>
    </row>
    <row r="130" spans="1:60" x14ac:dyDescent="0.2">
      <c r="A130" s="61">
        <f ca="1">RANK(W130,W$12:W$311,0)+COUNTIF(W$12:W130,W130)-1</f>
        <v>182</v>
      </c>
      <c r="B130" s="55">
        <f>'Etape 1'!A126</f>
        <v>119</v>
      </c>
      <c r="C130" s="55">
        <f>'Etape 1'!B126</f>
        <v>0</v>
      </c>
      <c r="D130" s="55">
        <f>'Etape 1'!C126</f>
        <v>0</v>
      </c>
      <c r="E130" s="55">
        <f>'Etape 1'!D126</f>
        <v>0</v>
      </c>
      <c r="F130" s="55">
        <f>'Etape 1'!E126</f>
        <v>0</v>
      </c>
      <c r="G130" s="55">
        <f>'Etape 1'!F126</f>
        <v>0</v>
      </c>
      <c r="H130" s="55">
        <f>'Etape 1'!G126</f>
        <v>0</v>
      </c>
      <c r="I130" s="209">
        <v>1</v>
      </c>
      <c r="J130" s="58">
        <f t="shared" si="130"/>
        <v>0</v>
      </c>
      <c r="K130" s="21">
        <f t="shared" si="143"/>
        <v>0</v>
      </c>
      <c r="L130" s="21">
        <f t="shared" si="144"/>
        <v>0</v>
      </c>
      <c r="M130" s="21">
        <f t="shared" ca="1" si="145"/>
        <v>3</v>
      </c>
      <c r="N130" s="21">
        <f t="shared" ca="1" si="146"/>
        <v>3</v>
      </c>
      <c r="O130" s="21">
        <f t="shared" ca="1" si="147"/>
        <v>0</v>
      </c>
      <c r="P130" s="262" t="str">
        <f>IF('Etape 1'!J126=999,"",IF('Etape 1'!J126=9999,txt_Schritt1.Angaben.fehlen,VLOOKUP(N130,Matrix_1.2.3.Test.Punkte.ID.Beurteilung,4,1)))</f>
        <v/>
      </c>
      <c r="Q130" s="21">
        <f t="shared" ca="1" si="148"/>
        <v>0</v>
      </c>
      <c r="R130" s="136">
        <f t="shared" si="119"/>
        <v>119</v>
      </c>
      <c r="S130" s="136">
        <f t="shared" ca="1" si="88"/>
        <v>162.3953488372093</v>
      </c>
      <c r="T130" s="136">
        <f t="shared" ca="1" si="120"/>
        <v>750.39534883720933</v>
      </c>
      <c r="U130" s="136">
        <f t="shared" ca="1" si="121"/>
        <v>1224000.3953488371</v>
      </c>
      <c r="V130" s="211">
        <f t="shared" ca="1" si="122"/>
        <v>235406.58739315663</v>
      </c>
      <c r="W130" s="136">
        <f t="shared" ca="1" si="89"/>
        <v>119</v>
      </c>
      <c r="X130" s="136">
        <f t="shared" ca="1" si="149"/>
        <v>162.999000999001</v>
      </c>
      <c r="Y130" s="21">
        <f t="shared" si="150"/>
        <v>1</v>
      </c>
      <c r="Z130" s="21" t="str">
        <f t="shared" si="151"/>
        <v>&lt;IE0</v>
      </c>
      <c r="AA130" s="21">
        <f t="shared" si="152"/>
        <v>1</v>
      </c>
      <c r="AB130" s="21" t="str">
        <f t="shared" si="153"/>
        <v>a - "&lt; 1990 (Eff3)"</v>
      </c>
      <c r="AC130" s="21">
        <f t="shared" si="154"/>
        <v>999999</v>
      </c>
      <c r="AD130" s="21" t="str">
        <f t="shared" si="155"/>
        <v/>
      </c>
      <c r="AE130" s="21" t="str">
        <f t="shared" si="156"/>
        <v/>
      </c>
      <c r="AF130" s="21" t="str">
        <f t="shared" si="157"/>
        <v/>
      </c>
      <c r="AG130" s="21">
        <f t="shared" si="158"/>
        <v>0</v>
      </c>
      <c r="AH130" s="21">
        <f>IF('Etape 1'!H126=St.Wert_Hacken,1,0)</f>
        <v>0</v>
      </c>
      <c r="AI130" s="21">
        <f t="shared" si="159"/>
        <v>0</v>
      </c>
      <c r="AJ130" s="21">
        <f t="shared" si="160"/>
        <v>1000999</v>
      </c>
      <c r="AK130" s="58">
        <f t="shared" si="161"/>
        <v>1100</v>
      </c>
      <c r="AL130" s="58">
        <f t="shared" si="162"/>
        <v>440</v>
      </c>
      <c r="AM130" s="21">
        <f t="shared" si="163"/>
        <v>0</v>
      </c>
      <c r="AN130" s="58">
        <f t="shared" si="164"/>
        <v>1</v>
      </c>
      <c r="AO130" s="58" t="str">
        <f t="shared" si="165"/>
        <v>114</v>
      </c>
      <c r="AP130" s="58" t="str">
        <f t="shared" si="166"/>
        <v>164</v>
      </c>
      <c r="AQ130" s="21" t="e">
        <f t="shared" si="167"/>
        <v>#NUM!</v>
      </c>
      <c r="AR130" s="21" t="e">
        <f t="shared" si="168"/>
        <v>#NUM!</v>
      </c>
      <c r="AS130" s="136" t="e">
        <f t="shared" si="124"/>
        <v>#NUM!</v>
      </c>
      <c r="AT130" s="59" t="e">
        <f t="shared" si="169"/>
        <v>#NUM!</v>
      </c>
      <c r="AU130" s="21" t="e">
        <f t="shared" si="170"/>
        <v>#NUM!</v>
      </c>
      <c r="AV130" s="58">
        <f t="shared" si="171"/>
        <v>1500</v>
      </c>
      <c r="AW130" s="58">
        <f t="shared" si="172"/>
        <v>600</v>
      </c>
      <c r="AX130" s="60">
        <f t="shared" si="173"/>
        <v>0.11</v>
      </c>
      <c r="AY130" s="212">
        <f t="shared" si="126"/>
        <v>0</v>
      </c>
      <c r="AZ130" s="59">
        <f t="shared" si="174"/>
        <v>0</v>
      </c>
      <c r="BA130" s="21" t="e">
        <f t="shared" si="175"/>
        <v>#DIV/0!</v>
      </c>
      <c r="BB130" s="58">
        <f t="shared" si="176"/>
        <v>2900</v>
      </c>
      <c r="BC130" s="58">
        <f t="shared" si="177"/>
        <v>1160</v>
      </c>
      <c r="BD130" s="60">
        <f t="shared" si="178"/>
        <v>0.15</v>
      </c>
      <c r="BE130" s="212" t="e">
        <f t="shared" si="128"/>
        <v>#NUM!</v>
      </c>
      <c r="BF130" s="59" t="e">
        <f t="shared" si="179"/>
        <v>#NUM!</v>
      </c>
      <c r="BG130" s="21" t="e">
        <f t="shared" si="180"/>
        <v>#NUM!</v>
      </c>
      <c r="BH130" s="55">
        <f t="shared" ca="1" si="118"/>
        <v>0</v>
      </c>
    </row>
    <row r="131" spans="1:60" x14ac:dyDescent="0.2">
      <c r="A131" s="61">
        <f ca="1">RANK(W131,W$12:W$311,0)+COUNTIF(W$12:W131,W131)-1</f>
        <v>181</v>
      </c>
      <c r="B131" s="55">
        <f>'Etape 1'!A127</f>
        <v>120</v>
      </c>
      <c r="C131" s="55">
        <f>'Etape 1'!B127</f>
        <v>0</v>
      </c>
      <c r="D131" s="55">
        <f>'Etape 1'!C127</f>
        <v>0</v>
      </c>
      <c r="E131" s="55">
        <f>'Etape 1'!D127</f>
        <v>0</v>
      </c>
      <c r="F131" s="55">
        <f>'Etape 1'!E127</f>
        <v>0</v>
      </c>
      <c r="G131" s="55">
        <f>'Etape 1'!F127</f>
        <v>0</v>
      </c>
      <c r="H131" s="55">
        <f>'Etape 1'!G127</f>
        <v>0</v>
      </c>
      <c r="I131" s="209">
        <v>1</v>
      </c>
      <c r="J131" s="58">
        <f t="shared" si="130"/>
        <v>0</v>
      </c>
      <c r="K131" s="21">
        <f t="shared" si="143"/>
        <v>0</v>
      </c>
      <c r="L131" s="21">
        <f t="shared" si="144"/>
        <v>0</v>
      </c>
      <c r="M131" s="21">
        <f t="shared" ca="1" si="145"/>
        <v>3</v>
      </c>
      <c r="N131" s="21">
        <f t="shared" ca="1" si="146"/>
        <v>3</v>
      </c>
      <c r="O131" s="21">
        <f t="shared" ca="1" si="147"/>
        <v>0</v>
      </c>
      <c r="P131" s="262" t="str">
        <f>IF('Etape 1'!J127=999,"",IF('Etape 1'!J127=9999,txt_Schritt1.Angaben.fehlen,VLOOKUP(N131,Matrix_1.2.3.Test.Punkte.ID.Beurteilung,4,1)))</f>
        <v/>
      </c>
      <c r="Q131" s="21">
        <f t="shared" ca="1" si="148"/>
        <v>0</v>
      </c>
      <c r="R131" s="136">
        <f t="shared" si="119"/>
        <v>120</v>
      </c>
      <c r="S131" s="136">
        <f t="shared" ca="1" si="88"/>
        <v>162.39867109634551</v>
      </c>
      <c r="T131" s="136">
        <f t="shared" ca="1" si="120"/>
        <v>750.39867109634554</v>
      </c>
      <c r="U131" s="136">
        <f t="shared" ca="1" si="121"/>
        <v>1224000.3986710964</v>
      </c>
      <c r="V131" s="211">
        <f t="shared" ca="1" si="122"/>
        <v>235406.59071541575</v>
      </c>
      <c r="W131" s="136">
        <f t="shared" ca="1" si="89"/>
        <v>120</v>
      </c>
      <c r="X131" s="136">
        <f t="shared" ca="1" si="149"/>
        <v>162.999000999001</v>
      </c>
      <c r="Y131" s="21">
        <f t="shared" si="150"/>
        <v>1</v>
      </c>
      <c r="Z131" s="21" t="str">
        <f t="shared" si="151"/>
        <v>&lt;IE0</v>
      </c>
      <c r="AA131" s="21">
        <f t="shared" si="152"/>
        <v>1</v>
      </c>
      <c r="AB131" s="21" t="str">
        <f t="shared" si="153"/>
        <v>a - "&lt; 1990 (Eff3)"</v>
      </c>
      <c r="AC131" s="21">
        <f t="shared" si="154"/>
        <v>999999</v>
      </c>
      <c r="AD131" s="21" t="str">
        <f t="shared" si="155"/>
        <v/>
      </c>
      <c r="AE131" s="21" t="str">
        <f t="shared" si="156"/>
        <v/>
      </c>
      <c r="AF131" s="21" t="str">
        <f t="shared" si="157"/>
        <v/>
      </c>
      <c r="AG131" s="21">
        <f t="shared" si="158"/>
        <v>0</v>
      </c>
      <c r="AH131" s="21">
        <f>IF('Etape 1'!H127=St.Wert_Hacken,1,0)</f>
        <v>0</v>
      </c>
      <c r="AI131" s="21">
        <f t="shared" si="159"/>
        <v>0</v>
      </c>
      <c r="AJ131" s="21">
        <f t="shared" si="160"/>
        <v>1000999</v>
      </c>
      <c r="AK131" s="58">
        <f t="shared" si="161"/>
        <v>1100</v>
      </c>
      <c r="AL131" s="58">
        <f t="shared" si="162"/>
        <v>440</v>
      </c>
      <c r="AM131" s="21">
        <f t="shared" si="163"/>
        <v>0</v>
      </c>
      <c r="AN131" s="58">
        <f t="shared" si="164"/>
        <v>1</v>
      </c>
      <c r="AO131" s="58" t="str">
        <f t="shared" si="165"/>
        <v>114</v>
      </c>
      <c r="AP131" s="58" t="str">
        <f t="shared" si="166"/>
        <v>164</v>
      </c>
      <c r="AQ131" s="21" t="e">
        <f t="shared" si="167"/>
        <v>#NUM!</v>
      </c>
      <c r="AR131" s="21" t="e">
        <f t="shared" si="168"/>
        <v>#NUM!</v>
      </c>
      <c r="AS131" s="136" t="e">
        <f t="shared" si="124"/>
        <v>#NUM!</v>
      </c>
      <c r="AT131" s="59" t="e">
        <f t="shared" si="169"/>
        <v>#NUM!</v>
      </c>
      <c r="AU131" s="21" t="e">
        <f t="shared" si="170"/>
        <v>#NUM!</v>
      </c>
      <c r="AV131" s="58">
        <f t="shared" si="171"/>
        <v>1500</v>
      </c>
      <c r="AW131" s="58">
        <f t="shared" si="172"/>
        <v>600</v>
      </c>
      <c r="AX131" s="60">
        <f t="shared" si="173"/>
        <v>0.11</v>
      </c>
      <c r="AY131" s="212">
        <f t="shared" si="126"/>
        <v>0</v>
      </c>
      <c r="AZ131" s="59">
        <f t="shared" si="174"/>
        <v>0</v>
      </c>
      <c r="BA131" s="21" t="e">
        <f t="shared" si="175"/>
        <v>#DIV/0!</v>
      </c>
      <c r="BB131" s="58">
        <f t="shared" si="176"/>
        <v>2900</v>
      </c>
      <c r="BC131" s="58">
        <f t="shared" si="177"/>
        <v>1160</v>
      </c>
      <c r="BD131" s="60">
        <f t="shared" si="178"/>
        <v>0.15</v>
      </c>
      <c r="BE131" s="212" t="e">
        <f t="shared" si="128"/>
        <v>#NUM!</v>
      </c>
      <c r="BF131" s="59" t="e">
        <f t="shared" si="179"/>
        <v>#NUM!</v>
      </c>
      <c r="BG131" s="21" t="e">
        <f t="shared" si="180"/>
        <v>#NUM!</v>
      </c>
      <c r="BH131" s="55">
        <f t="shared" ca="1" si="118"/>
        <v>0</v>
      </c>
    </row>
    <row r="132" spans="1:60" x14ac:dyDescent="0.2">
      <c r="A132" s="61">
        <f ca="1">RANK(W132,W$12:W$311,0)+COUNTIF(W$12:W132,W132)-1</f>
        <v>180</v>
      </c>
      <c r="B132" s="55">
        <f>'Etape 1'!A128</f>
        <v>121</v>
      </c>
      <c r="C132" s="55">
        <f>'Etape 1'!B128</f>
        <v>0</v>
      </c>
      <c r="D132" s="55">
        <f>'Etape 1'!C128</f>
        <v>0</v>
      </c>
      <c r="E132" s="55">
        <f>'Etape 1'!D128</f>
        <v>0</v>
      </c>
      <c r="F132" s="55">
        <f>'Etape 1'!E128</f>
        <v>0</v>
      </c>
      <c r="G132" s="55">
        <f>'Etape 1'!F128</f>
        <v>0</v>
      </c>
      <c r="H132" s="55">
        <f>'Etape 1'!G128</f>
        <v>0</v>
      </c>
      <c r="I132" s="209">
        <v>1</v>
      </c>
      <c r="J132" s="58">
        <f t="shared" si="130"/>
        <v>0</v>
      </c>
      <c r="K132" s="21">
        <f t="shared" si="143"/>
        <v>0</v>
      </c>
      <c r="L132" s="21">
        <f t="shared" si="144"/>
        <v>0</v>
      </c>
      <c r="M132" s="21">
        <f t="shared" ca="1" si="145"/>
        <v>3</v>
      </c>
      <c r="N132" s="21">
        <f t="shared" ca="1" si="146"/>
        <v>3</v>
      </c>
      <c r="O132" s="21">
        <f t="shared" ca="1" si="147"/>
        <v>0</v>
      </c>
      <c r="P132" s="262" t="str">
        <f>IF('Etape 1'!J128=999,"",IF('Etape 1'!J128=9999,txt_Schritt1.Angaben.fehlen,VLOOKUP(N132,Matrix_1.2.3.Test.Punkte.ID.Beurteilung,4,1)))</f>
        <v/>
      </c>
      <c r="Q132" s="21">
        <f t="shared" ca="1" si="148"/>
        <v>0</v>
      </c>
      <c r="R132" s="136">
        <f t="shared" si="119"/>
        <v>121</v>
      </c>
      <c r="S132" s="136">
        <f t="shared" ca="1" si="88"/>
        <v>162.40199335548172</v>
      </c>
      <c r="T132" s="136">
        <f t="shared" ca="1" si="120"/>
        <v>750.40199335548175</v>
      </c>
      <c r="U132" s="136">
        <f t="shared" ca="1" si="121"/>
        <v>1224000.4019933555</v>
      </c>
      <c r="V132" s="211">
        <f t="shared" ca="1" si="122"/>
        <v>235406.59403767489</v>
      </c>
      <c r="W132" s="136">
        <f t="shared" ca="1" si="89"/>
        <v>121</v>
      </c>
      <c r="X132" s="136">
        <f t="shared" ca="1" si="149"/>
        <v>162.999000999001</v>
      </c>
      <c r="Y132" s="21">
        <f t="shared" si="150"/>
        <v>1</v>
      </c>
      <c r="Z132" s="21" t="str">
        <f t="shared" si="151"/>
        <v>&lt;IE0</v>
      </c>
      <c r="AA132" s="21">
        <f t="shared" si="152"/>
        <v>1</v>
      </c>
      <c r="AB132" s="21" t="str">
        <f t="shared" si="153"/>
        <v>a - "&lt; 1990 (Eff3)"</v>
      </c>
      <c r="AC132" s="21">
        <f t="shared" si="154"/>
        <v>999999</v>
      </c>
      <c r="AD132" s="21" t="str">
        <f t="shared" si="155"/>
        <v/>
      </c>
      <c r="AE132" s="21" t="str">
        <f t="shared" si="156"/>
        <v/>
      </c>
      <c r="AF132" s="21" t="str">
        <f t="shared" si="157"/>
        <v/>
      </c>
      <c r="AG132" s="21">
        <f t="shared" si="158"/>
        <v>0</v>
      </c>
      <c r="AH132" s="21">
        <f>IF('Etape 1'!H128=St.Wert_Hacken,1,0)</f>
        <v>0</v>
      </c>
      <c r="AI132" s="21">
        <f t="shared" si="159"/>
        <v>0</v>
      </c>
      <c r="AJ132" s="21">
        <f t="shared" si="160"/>
        <v>1000999</v>
      </c>
      <c r="AK132" s="58">
        <f t="shared" si="161"/>
        <v>1100</v>
      </c>
      <c r="AL132" s="58">
        <f t="shared" si="162"/>
        <v>440</v>
      </c>
      <c r="AM132" s="21">
        <f t="shared" si="163"/>
        <v>0</v>
      </c>
      <c r="AN132" s="58">
        <f t="shared" si="164"/>
        <v>1</v>
      </c>
      <c r="AO132" s="58" t="str">
        <f t="shared" si="165"/>
        <v>114</v>
      </c>
      <c r="AP132" s="58" t="str">
        <f t="shared" si="166"/>
        <v>164</v>
      </c>
      <c r="AQ132" s="21" t="e">
        <f t="shared" si="167"/>
        <v>#NUM!</v>
      </c>
      <c r="AR132" s="21" t="e">
        <f t="shared" si="168"/>
        <v>#NUM!</v>
      </c>
      <c r="AS132" s="136" t="e">
        <f t="shared" si="124"/>
        <v>#NUM!</v>
      </c>
      <c r="AT132" s="59" t="e">
        <f t="shared" si="169"/>
        <v>#NUM!</v>
      </c>
      <c r="AU132" s="21" t="e">
        <f t="shared" si="170"/>
        <v>#NUM!</v>
      </c>
      <c r="AV132" s="58">
        <f t="shared" si="171"/>
        <v>1500</v>
      </c>
      <c r="AW132" s="58">
        <f t="shared" si="172"/>
        <v>600</v>
      </c>
      <c r="AX132" s="60">
        <f t="shared" si="173"/>
        <v>0.11</v>
      </c>
      <c r="AY132" s="212">
        <f t="shared" si="126"/>
        <v>0</v>
      </c>
      <c r="AZ132" s="59">
        <f t="shared" si="174"/>
        <v>0</v>
      </c>
      <c r="BA132" s="21" t="e">
        <f t="shared" si="175"/>
        <v>#DIV/0!</v>
      </c>
      <c r="BB132" s="58">
        <f t="shared" si="176"/>
        <v>2900</v>
      </c>
      <c r="BC132" s="58">
        <f t="shared" si="177"/>
        <v>1160</v>
      </c>
      <c r="BD132" s="60">
        <f t="shared" si="178"/>
        <v>0.15</v>
      </c>
      <c r="BE132" s="212" t="e">
        <f t="shared" si="128"/>
        <v>#NUM!</v>
      </c>
      <c r="BF132" s="59" t="e">
        <f t="shared" si="179"/>
        <v>#NUM!</v>
      </c>
      <c r="BG132" s="21" t="e">
        <f t="shared" si="180"/>
        <v>#NUM!</v>
      </c>
      <c r="BH132" s="55">
        <f t="shared" ca="1" si="118"/>
        <v>0</v>
      </c>
    </row>
    <row r="133" spans="1:60" x14ac:dyDescent="0.2">
      <c r="A133" s="61">
        <f ca="1">RANK(W133,W$12:W$311,0)+COUNTIF(W$12:W133,W133)-1</f>
        <v>179</v>
      </c>
      <c r="B133" s="55">
        <f>'Etape 1'!A129</f>
        <v>122</v>
      </c>
      <c r="C133" s="55">
        <f>'Etape 1'!B129</f>
        <v>0</v>
      </c>
      <c r="D133" s="55">
        <f>'Etape 1'!C129</f>
        <v>0</v>
      </c>
      <c r="E133" s="55">
        <f>'Etape 1'!D129</f>
        <v>0</v>
      </c>
      <c r="F133" s="55">
        <f>'Etape 1'!E129</f>
        <v>0</v>
      </c>
      <c r="G133" s="55">
        <f>'Etape 1'!F129</f>
        <v>0</v>
      </c>
      <c r="H133" s="55">
        <f>'Etape 1'!G129</f>
        <v>0</v>
      </c>
      <c r="I133" s="209">
        <v>1</v>
      </c>
      <c r="J133" s="58">
        <f t="shared" si="130"/>
        <v>0</v>
      </c>
      <c r="K133" s="21">
        <f t="shared" si="143"/>
        <v>0</v>
      </c>
      <c r="L133" s="21">
        <f t="shared" si="144"/>
        <v>0</v>
      </c>
      <c r="M133" s="21">
        <f t="shared" ca="1" si="145"/>
        <v>3</v>
      </c>
      <c r="N133" s="21">
        <f t="shared" ca="1" si="146"/>
        <v>3</v>
      </c>
      <c r="O133" s="21">
        <f t="shared" ca="1" si="147"/>
        <v>0</v>
      </c>
      <c r="P133" s="262" t="str">
        <f>IF('Etape 1'!J129=999,"",IF('Etape 1'!J129=9999,txt_Schritt1.Angaben.fehlen,VLOOKUP(N133,Matrix_1.2.3.Test.Punkte.ID.Beurteilung,4,1)))</f>
        <v/>
      </c>
      <c r="Q133" s="21">
        <f t="shared" ca="1" si="148"/>
        <v>0</v>
      </c>
      <c r="R133" s="136">
        <f t="shared" si="119"/>
        <v>122</v>
      </c>
      <c r="S133" s="136">
        <f t="shared" ca="1" si="88"/>
        <v>162.40531561461793</v>
      </c>
      <c r="T133" s="136">
        <f t="shared" ca="1" si="120"/>
        <v>750.40531561461796</v>
      </c>
      <c r="U133" s="136">
        <f t="shared" ca="1" si="121"/>
        <v>1224000.4053156145</v>
      </c>
      <c r="V133" s="211">
        <f t="shared" ca="1" si="122"/>
        <v>235406.59735993404</v>
      </c>
      <c r="W133" s="136">
        <f t="shared" ca="1" si="89"/>
        <v>122</v>
      </c>
      <c r="X133" s="136">
        <f t="shared" ca="1" si="149"/>
        <v>162.999000999001</v>
      </c>
      <c r="Y133" s="21">
        <f t="shared" si="150"/>
        <v>1</v>
      </c>
      <c r="Z133" s="21" t="str">
        <f t="shared" si="151"/>
        <v>&lt;IE0</v>
      </c>
      <c r="AA133" s="21">
        <f t="shared" si="152"/>
        <v>1</v>
      </c>
      <c r="AB133" s="21" t="str">
        <f t="shared" si="153"/>
        <v>a - "&lt; 1990 (Eff3)"</v>
      </c>
      <c r="AC133" s="21">
        <f t="shared" si="154"/>
        <v>999999</v>
      </c>
      <c r="AD133" s="21" t="str">
        <f t="shared" si="155"/>
        <v/>
      </c>
      <c r="AE133" s="21" t="str">
        <f t="shared" si="156"/>
        <v/>
      </c>
      <c r="AF133" s="21" t="str">
        <f t="shared" si="157"/>
        <v/>
      </c>
      <c r="AG133" s="21">
        <f t="shared" si="158"/>
        <v>0</v>
      </c>
      <c r="AH133" s="21">
        <f>IF('Etape 1'!H129=St.Wert_Hacken,1,0)</f>
        <v>0</v>
      </c>
      <c r="AI133" s="21">
        <f t="shared" si="159"/>
        <v>0</v>
      </c>
      <c r="AJ133" s="21">
        <f t="shared" si="160"/>
        <v>1000999</v>
      </c>
      <c r="AK133" s="58">
        <f t="shared" si="161"/>
        <v>1100</v>
      </c>
      <c r="AL133" s="58">
        <f t="shared" si="162"/>
        <v>440</v>
      </c>
      <c r="AM133" s="21">
        <f t="shared" si="163"/>
        <v>0</v>
      </c>
      <c r="AN133" s="58">
        <f t="shared" si="164"/>
        <v>1</v>
      </c>
      <c r="AO133" s="58" t="str">
        <f t="shared" si="165"/>
        <v>114</v>
      </c>
      <c r="AP133" s="58" t="str">
        <f t="shared" si="166"/>
        <v>164</v>
      </c>
      <c r="AQ133" s="21" t="e">
        <f t="shared" si="167"/>
        <v>#NUM!</v>
      </c>
      <c r="AR133" s="21" t="e">
        <f t="shared" si="168"/>
        <v>#NUM!</v>
      </c>
      <c r="AS133" s="136" t="e">
        <f t="shared" si="124"/>
        <v>#NUM!</v>
      </c>
      <c r="AT133" s="59" t="e">
        <f t="shared" si="169"/>
        <v>#NUM!</v>
      </c>
      <c r="AU133" s="21" t="e">
        <f t="shared" si="170"/>
        <v>#NUM!</v>
      </c>
      <c r="AV133" s="58">
        <f t="shared" si="171"/>
        <v>1500</v>
      </c>
      <c r="AW133" s="58">
        <f t="shared" si="172"/>
        <v>600</v>
      </c>
      <c r="AX133" s="60">
        <f t="shared" si="173"/>
        <v>0.11</v>
      </c>
      <c r="AY133" s="212">
        <f t="shared" si="126"/>
        <v>0</v>
      </c>
      <c r="AZ133" s="59">
        <f t="shared" si="174"/>
        <v>0</v>
      </c>
      <c r="BA133" s="21" t="e">
        <f t="shared" si="175"/>
        <v>#DIV/0!</v>
      </c>
      <c r="BB133" s="58">
        <f t="shared" si="176"/>
        <v>2900</v>
      </c>
      <c r="BC133" s="58">
        <f t="shared" si="177"/>
        <v>1160</v>
      </c>
      <c r="BD133" s="60">
        <f t="shared" si="178"/>
        <v>0.15</v>
      </c>
      <c r="BE133" s="212" t="e">
        <f t="shared" si="128"/>
        <v>#NUM!</v>
      </c>
      <c r="BF133" s="59" t="e">
        <f t="shared" si="179"/>
        <v>#NUM!</v>
      </c>
      <c r="BG133" s="21" t="e">
        <f t="shared" si="180"/>
        <v>#NUM!</v>
      </c>
      <c r="BH133" s="55">
        <f t="shared" ca="1" si="118"/>
        <v>0</v>
      </c>
    </row>
    <row r="134" spans="1:60" x14ac:dyDescent="0.2">
      <c r="A134" s="61">
        <f ca="1">RANK(W134,W$12:W$311,0)+COUNTIF(W$12:W134,W134)-1</f>
        <v>178</v>
      </c>
      <c r="B134" s="55">
        <f>'Etape 1'!A130</f>
        <v>123</v>
      </c>
      <c r="C134" s="55">
        <f>'Etape 1'!B130</f>
        <v>0</v>
      </c>
      <c r="D134" s="55">
        <f>'Etape 1'!C130</f>
        <v>0</v>
      </c>
      <c r="E134" s="55">
        <f>'Etape 1'!D130</f>
        <v>0</v>
      </c>
      <c r="F134" s="55">
        <f>'Etape 1'!E130</f>
        <v>0</v>
      </c>
      <c r="G134" s="55">
        <f>'Etape 1'!F130</f>
        <v>0</v>
      </c>
      <c r="H134" s="55">
        <f>'Etape 1'!G130</f>
        <v>0</v>
      </c>
      <c r="I134" s="209">
        <v>1</v>
      </c>
      <c r="J134" s="58">
        <f t="shared" si="130"/>
        <v>0</v>
      </c>
      <c r="K134" s="21">
        <f t="shared" si="143"/>
        <v>0</v>
      </c>
      <c r="L134" s="21">
        <f t="shared" si="144"/>
        <v>0</v>
      </c>
      <c r="M134" s="21">
        <f t="shared" ca="1" si="145"/>
        <v>3</v>
      </c>
      <c r="N134" s="21">
        <f t="shared" ca="1" si="146"/>
        <v>3</v>
      </c>
      <c r="O134" s="21">
        <f t="shared" ca="1" si="147"/>
        <v>0</v>
      </c>
      <c r="P134" s="262" t="str">
        <f>IF('Etape 1'!J130=999,"",IF('Etape 1'!J130=9999,txt_Schritt1.Angaben.fehlen,VLOOKUP(N134,Matrix_1.2.3.Test.Punkte.ID.Beurteilung,4,1)))</f>
        <v/>
      </c>
      <c r="Q134" s="21">
        <f t="shared" ca="1" si="148"/>
        <v>0</v>
      </c>
      <c r="R134" s="136">
        <f t="shared" si="119"/>
        <v>123</v>
      </c>
      <c r="S134" s="136">
        <f t="shared" ca="1" si="88"/>
        <v>162.40863787375415</v>
      </c>
      <c r="T134" s="136">
        <f t="shared" ca="1" si="120"/>
        <v>750.40863787375417</v>
      </c>
      <c r="U134" s="136">
        <f t="shared" ca="1" si="121"/>
        <v>1224000.4086378738</v>
      </c>
      <c r="V134" s="211">
        <f t="shared" ca="1" si="122"/>
        <v>235406.60068219315</v>
      </c>
      <c r="W134" s="136">
        <f t="shared" ca="1" si="89"/>
        <v>123</v>
      </c>
      <c r="X134" s="136">
        <f t="shared" ca="1" si="149"/>
        <v>162.999000999001</v>
      </c>
      <c r="Y134" s="21">
        <f t="shared" si="150"/>
        <v>1</v>
      </c>
      <c r="Z134" s="21" t="str">
        <f t="shared" si="151"/>
        <v>&lt;IE0</v>
      </c>
      <c r="AA134" s="21">
        <f t="shared" si="152"/>
        <v>1</v>
      </c>
      <c r="AB134" s="21" t="str">
        <f t="shared" si="153"/>
        <v>a - "&lt; 1990 (Eff3)"</v>
      </c>
      <c r="AC134" s="21">
        <f t="shared" si="154"/>
        <v>999999</v>
      </c>
      <c r="AD134" s="21" t="str">
        <f t="shared" si="155"/>
        <v/>
      </c>
      <c r="AE134" s="21" t="str">
        <f t="shared" si="156"/>
        <v/>
      </c>
      <c r="AF134" s="21" t="str">
        <f t="shared" si="157"/>
        <v/>
      </c>
      <c r="AG134" s="21">
        <f t="shared" si="158"/>
        <v>0</v>
      </c>
      <c r="AH134" s="21">
        <f>IF('Etape 1'!H130=St.Wert_Hacken,1,0)</f>
        <v>0</v>
      </c>
      <c r="AI134" s="21">
        <f t="shared" si="159"/>
        <v>0</v>
      </c>
      <c r="AJ134" s="21">
        <f t="shared" si="160"/>
        <v>1000999</v>
      </c>
      <c r="AK134" s="58">
        <f t="shared" si="161"/>
        <v>1100</v>
      </c>
      <c r="AL134" s="58">
        <f t="shared" si="162"/>
        <v>440</v>
      </c>
      <c r="AM134" s="21">
        <f t="shared" si="163"/>
        <v>0</v>
      </c>
      <c r="AN134" s="58">
        <f t="shared" si="164"/>
        <v>1</v>
      </c>
      <c r="AO134" s="58" t="str">
        <f t="shared" si="165"/>
        <v>114</v>
      </c>
      <c r="AP134" s="58" t="str">
        <f t="shared" si="166"/>
        <v>164</v>
      </c>
      <c r="AQ134" s="21" t="e">
        <f t="shared" si="167"/>
        <v>#NUM!</v>
      </c>
      <c r="AR134" s="21" t="e">
        <f t="shared" si="168"/>
        <v>#NUM!</v>
      </c>
      <c r="AS134" s="136" t="e">
        <f t="shared" si="124"/>
        <v>#NUM!</v>
      </c>
      <c r="AT134" s="59" t="e">
        <f t="shared" si="169"/>
        <v>#NUM!</v>
      </c>
      <c r="AU134" s="21" t="e">
        <f t="shared" si="170"/>
        <v>#NUM!</v>
      </c>
      <c r="AV134" s="58">
        <f t="shared" si="171"/>
        <v>1500</v>
      </c>
      <c r="AW134" s="58">
        <f t="shared" si="172"/>
        <v>600</v>
      </c>
      <c r="AX134" s="60">
        <f t="shared" si="173"/>
        <v>0.11</v>
      </c>
      <c r="AY134" s="212">
        <f t="shared" si="126"/>
        <v>0</v>
      </c>
      <c r="AZ134" s="59">
        <f t="shared" si="174"/>
        <v>0</v>
      </c>
      <c r="BA134" s="21" t="e">
        <f t="shared" si="175"/>
        <v>#DIV/0!</v>
      </c>
      <c r="BB134" s="58">
        <f t="shared" si="176"/>
        <v>2900</v>
      </c>
      <c r="BC134" s="58">
        <f t="shared" si="177"/>
        <v>1160</v>
      </c>
      <c r="BD134" s="60">
        <f t="shared" si="178"/>
        <v>0.15</v>
      </c>
      <c r="BE134" s="212" t="e">
        <f t="shared" si="128"/>
        <v>#NUM!</v>
      </c>
      <c r="BF134" s="59" t="e">
        <f t="shared" si="179"/>
        <v>#NUM!</v>
      </c>
      <c r="BG134" s="21" t="e">
        <f t="shared" si="180"/>
        <v>#NUM!</v>
      </c>
      <c r="BH134" s="55">
        <f t="shared" ca="1" si="118"/>
        <v>0</v>
      </c>
    </row>
    <row r="135" spans="1:60" x14ac:dyDescent="0.2">
      <c r="A135" s="61">
        <f ca="1">RANK(W135,W$12:W$311,0)+COUNTIF(W$12:W135,W135)-1</f>
        <v>177</v>
      </c>
      <c r="B135" s="55">
        <f>'Etape 1'!A131</f>
        <v>124</v>
      </c>
      <c r="C135" s="55">
        <f>'Etape 1'!B131</f>
        <v>0</v>
      </c>
      <c r="D135" s="55">
        <f>'Etape 1'!C131</f>
        <v>0</v>
      </c>
      <c r="E135" s="55">
        <f>'Etape 1'!D131</f>
        <v>0</v>
      </c>
      <c r="F135" s="55">
        <f>'Etape 1'!E131</f>
        <v>0</v>
      </c>
      <c r="G135" s="55">
        <f>'Etape 1'!F131</f>
        <v>0</v>
      </c>
      <c r="H135" s="55">
        <f>'Etape 1'!G131</f>
        <v>0</v>
      </c>
      <c r="I135" s="209">
        <v>1</v>
      </c>
      <c r="J135" s="58">
        <f t="shared" si="130"/>
        <v>0</v>
      </c>
      <c r="K135" s="21">
        <f t="shared" si="143"/>
        <v>0</v>
      </c>
      <c r="L135" s="21">
        <f t="shared" si="144"/>
        <v>0</v>
      </c>
      <c r="M135" s="21">
        <f t="shared" ca="1" si="145"/>
        <v>3</v>
      </c>
      <c r="N135" s="21">
        <f t="shared" ca="1" si="146"/>
        <v>3</v>
      </c>
      <c r="O135" s="21">
        <f t="shared" ca="1" si="147"/>
        <v>0</v>
      </c>
      <c r="P135" s="262" t="str">
        <f>IF('Etape 1'!J131=999,"",IF('Etape 1'!J131=9999,txt_Schritt1.Angaben.fehlen,VLOOKUP(N135,Matrix_1.2.3.Test.Punkte.ID.Beurteilung,4,1)))</f>
        <v/>
      </c>
      <c r="Q135" s="21">
        <f t="shared" ca="1" si="148"/>
        <v>0</v>
      </c>
      <c r="R135" s="136">
        <f t="shared" si="119"/>
        <v>124</v>
      </c>
      <c r="S135" s="136">
        <f t="shared" ca="1" si="88"/>
        <v>162.41196013289036</v>
      </c>
      <c r="T135" s="136">
        <f t="shared" ca="1" si="120"/>
        <v>750.41196013289039</v>
      </c>
      <c r="U135" s="136">
        <f t="shared" ca="1" si="121"/>
        <v>1224000.4119601329</v>
      </c>
      <c r="V135" s="211">
        <f t="shared" ca="1" si="122"/>
        <v>235406.6040044523</v>
      </c>
      <c r="W135" s="136">
        <f t="shared" ca="1" si="89"/>
        <v>124</v>
      </c>
      <c r="X135" s="136">
        <f t="shared" ca="1" si="149"/>
        <v>162.999000999001</v>
      </c>
      <c r="Y135" s="21">
        <f t="shared" si="150"/>
        <v>1</v>
      </c>
      <c r="Z135" s="21" t="str">
        <f t="shared" si="151"/>
        <v>&lt;IE0</v>
      </c>
      <c r="AA135" s="21">
        <f t="shared" si="152"/>
        <v>1</v>
      </c>
      <c r="AB135" s="21" t="str">
        <f t="shared" si="153"/>
        <v>a - "&lt; 1990 (Eff3)"</v>
      </c>
      <c r="AC135" s="21">
        <f t="shared" si="154"/>
        <v>999999</v>
      </c>
      <c r="AD135" s="21" t="str">
        <f t="shared" si="155"/>
        <v/>
      </c>
      <c r="AE135" s="21" t="str">
        <f t="shared" si="156"/>
        <v/>
      </c>
      <c r="AF135" s="21" t="str">
        <f t="shared" si="157"/>
        <v/>
      </c>
      <c r="AG135" s="21">
        <f t="shared" si="158"/>
        <v>0</v>
      </c>
      <c r="AH135" s="21">
        <f>IF('Etape 1'!H131=St.Wert_Hacken,1,0)</f>
        <v>0</v>
      </c>
      <c r="AI135" s="21">
        <f t="shared" si="159"/>
        <v>0</v>
      </c>
      <c r="AJ135" s="21">
        <f t="shared" si="160"/>
        <v>1000999</v>
      </c>
      <c r="AK135" s="58">
        <f t="shared" si="161"/>
        <v>1100</v>
      </c>
      <c r="AL135" s="58">
        <f t="shared" si="162"/>
        <v>440</v>
      </c>
      <c r="AM135" s="21">
        <f t="shared" si="163"/>
        <v>0</v>
      </c>
      <c r="AN135" s="58">
        <f t="shared" si="164"/>
        <v>1</v>
      </c>
      <c r="AO135" s="58" t="str">
        <f t="shared" si="165"/>
        <v>114</v>
      </c>
      <c r="AP135" s="58" t="str">
        <f t="shared" si="166"/>
        <v>164</v>
      </c>
      <c r="AQ135" s="21" t="e">
        <f t="shared" si="167"/>
        <v>#NUM!</v>
      </c>
      <c r="AR135" s="21" t="e">
        <f t="shared" si="168"/>
        <v>#NUM!</v>
      </c>
      <c r="AS135" s="136" t="e">
        <f t="shared" si="124"/>
        <v>#NUM!</v>
      </c>
      <c r="AT135" s="59" t="e">
        <f t="shared" si="169"/>
        <v>#NUM!</v>
      </c>
      <c r="AU135" s="21" t="e">
        <f t="shared" si="170"/>
        <v>#NUM!</v>
      </c>
      <c r="AV135" s="58">
        <f t="shared" si="171"/>
        <v>1500</v>
      </c>
      <c r="AW135" s="58">
        <f t="shared" si="172"/>
        <v>600</v>
      </c>
      <c r="AX135" s="60">
        <f t="shared" si="173"/>
        <v>0.11</v>
      </c>
      <c r="AY135" s="212">
        <f t="shared" si="126"/>
        <v>0</v>
      </c>
      <c r="AZ135" s="59">
        <f t="shared" si="174"/>
        <v>0</v>
      </c>
      <c r="BA135" s="21" t="e">
        <f t="shared" si="175"/>
        <v>#DIV/0!</v>
      </c>
      <c r="BB135" s="58">
        <f t="shared" si="176"/>
        <v>2900</v>
      </c>
      <c r="BC135" s="58">
        <f t="shared" si="177"/>
        <v>1160</v>
      </c>
      <c r="BD135" s="60">
        <f t="shared" si="178"/>
        <v>0.15</v>
      </c>
      <c r="BE135" s="212" t="e">
        <f t="shared" si="128"/>
        <v>#NUM!</v>
      </c>
      <c r="BF135" s="59" t="e">
        <f t="shared" si="179"/>
        <v>#NUM!</v>
      </c>
      <c r="BG135" s="21" t="e">
        <f t="shared" si="180"/>
        <v>#NUM!</v>
      </c>
      <c r="BH135" s="55">
        <f t="shared" ca="1" si="118"/>
        <v>0</v>
      </c>
    </row>
    <row r="136" spans="1:60" x14ac:dyDescent="0.2">
      <c r="A136" s="61">
        <f ca="1">RANK(W136,W$12:W$311,0)+COUNTIF(W$12:W136,W136)-1</f>
        <v>176</v>
      </c>
      <c r="B136" s="55">
        <f>'Etape 1'!A132</f>
        <v>125</v>
      </c>
      <c r="C136" s="55">
        <f>'Etape 1'!B132</f>
        <v>0</v>
      </c>
      <c r="D136" s="55">
        <f>'Etape 1'!C132</f>
        <v>0</v>
      </c>
      <c r="E136" s="55">
        <f>'Etape 1'!D132</f>
        <v>0</v>
      </c>
      <c r="F136" s="55">
        <f>'Etape 1'!E132</f>
        <v>0</v>
      </c>
      <c r="G136" s="55">
        <f>'Etape 1'!F132</f>
        <v>0</v>
      </c>
      <c r="H136" s="55">
        <f>'Etape 1'!G132</f>
        <v>0</v>
      </c>
      <c r="I136" s="209">
        <v>1</v>
      </c>
      <c r="J136" s="58">
        <f t="shared" si="130"/>
        <v>0</v>
      </c>
      <c r="K136" s="21">
        <f t="shared" si="143"/>
        <v>0</v>
      </c>
      <c r="L136" s="21">
        <f t="shared" si="144"/>
        <v>0</v>
      </c>
      <c r="M136" s="21">
        <f t="shared" ca="1" si="145"/>
        <v>3</v>
      </c>
      <c r="N136" s="21">
        <f t="shared" ca="1" si="146"/>
        <v>3</v>
      </c>
      <c r="O136" s="21">
        <f t="shared" ca="1" si="147"/>
        <v>0</v>
      </c>
      <c r="P136" s="262" t="str">
        <f>IF('Etape 1'!J132=999,"",IF('Etape 1'!J132=9999,txt_Schritt1.Angaben.fehlen,VLOOKUP(N136,Matrix_1.2.3.Test.Punkte.ID.Beurteilung,4,1)))</f>
        <v/>
      </c>
      <c r="Q136" s="21">
        <f t="shared" ca="1" si="148"/>
        <v>0</v>
      </c>
      <c r="R136" s="136">
        <f t="shared" si="119"/>
        <v>125</v>
      </c>
      <c r="S136" s="136">
        <f t="shared" ca="1" si="88"/>
        <v>162.41528239202657</v>
      </c>
      <c r="T136" s="136">
        <f t="shared" ca="1" si="120"/>
        <v>750.4152823920266</v>
      </c>
      <c r="U136" s="136">
        <f t="shared" ca="1" si="121"/>
        <v>1224000.4152823919</v>
      </c>
      <c r="V136" s="211">
        <f t="shared" ca="1" si="122"/>
        <v>235406.60732671144</v>
      </c>
      <c r="W136" s="136">
        <f t="shared" ca="1" si="89"/>
        <v>125</v>
      </c>
      <c r="X136" s="136">
        <f t="shared" ca="1" si="149"/>
        <v>162.999000999001</v>
      </c>
      <c r="Y136" s="21">
        <f t="shared" si="150"/>
        <v>1</v>
      </c>
      <c r="Z136" s="21" t="str">
        <f t="shared" si="151"/>
        <v>&lt;IE0</v>
      </c>
      <c r="AA136" s="21">
        <f t="shared" si="152"/>
        <v>1</v>
      </c>
      <c r="AB136" s="21" t="str">
        <f t="shared" si="153"/>
        <v>a - "&lt; 1990 (Eff3)"</v>
      </c>
      <c r="AC136" s="21">
        <f t="shared" si="154"/>
        <v>999999</v>
      </c>
      <c r="AD136" s="21" t="str">
        <f t="shared" si="155"/>
        <v/>
      </c>
      <c r="AE136" s="21" t="str">
        <f t="shared" si="156"/>
        <v/>
      </c>
      <c r="AF136" s="21" t="str">
        <f t="shared" si="157"/>
        <v/>
      </c>
      <c r="AG136" s="21">
        <f t="shared" si="158"/>
        <v>0</v>
      </c>
      <c r="AH136" s="21">
        <f>IF('Etape 1'!H132=St.Wert_Hacken,1,0)</f>
        <v>0</v>
      </c>
      <c r="AI136" s="21">
        <f t="shared" si="159"/>
        <v>0</v>
      </c>
      <c r="AJ136" s="21">
        <f t="shared" si="160"/>
        <v>1000999</v>
      </c>
      <c r="AK136" s="58">
        <f t="shared" si="161"/>
        <v>1100</v>
      </c>
      <c r="AL136" s="58">
        <f t="shared" si="162"/>
        <v>440</v>
      </c>
      <c r="AM136" s="21">
        <f t="shared" si="163"/>
        <v>0</v>
      </c>
      <c r="AN136" s="58">
        <f t="shared" si="164"/>
        <v>1</v>
      </c>
      <c r="AO136" s="58" t="str">
        <f t="shared" si="165"/>
        <v>114</v>
      </c>
      <c r="AP136" s="58" t="str">
        <f t="shared" si="166"/>
        <v>164</v>
      </c>
      <c r="AQ136" s="21" t="e">
        <f t="shared" si="167"/>
        <v>#NUM!</v>
      </c>
      <c r="AR136" s="21" t="e">
        <f t="shared" si="168"/>
        <v>#NUM!</v>
      </c>
      <c r="AS136" s="136" t="e">
        <f t="shared" si="124"/>
        <v>#NUM!</v>
      </c>
      <c r="AT136" s="59" t="e">
        <f t="shared" si="169"/>
        <v>#NUM!</v>
      </c>
      <c r="AU136" s="21" t="e">
        <f t="shared" si="170"/>
        <v>#NUM!</v>
      </c>
      <c r="AV136" s="58">
        <f t="shared" si="171"/>
        <v>1500</v>
      </c>
      <c r="AW136" s="58">
        <f t="shared" si="172"/>
        <v>600</v>
      </c>
      <c r="AX136" s="60">
        <f t="shared" si="173"/>
        <v>0.11</v>
      </c>
      <c r="AY136" s="212">
        <f t="shared" si="126"/>
        <v>0</v>
      </c>
      <c r="AZ136" s="59">
        <f t="shared" si="174"/>
        <v>0</v>
      </c>
      <c r="BA136" s="21" t="e">
        <f t="shared" si="175"/>
        <v>#DIV/0!</v>
      </c>
      <c r="BB136" s="58">
        <f t="shared" si="176"/>
        <v>2900</v>
      </c>
      <c r="BC136" s="58">
        <f t="shared" si="177"/>
        <v>1160</v>
      </c>
      <c r="BD136" s="60">
        <f t="shared" si="178"/>
        <v>0.15</v>
      </c>
      <c r="BE136" s="212" t="e">
        <f t="shared" si="128"/>
        <v>#NUM!</v>
      </c>
      <c r="BF136" s="59" t="e">
        <f t="shared" si="179"/>
        <v>#NUM!</v>
      </c>
      <c r="BG136" s="21" t="e">
        <f t="shared" si="180"/>
        <v>#NUM!</v>
      </c>
      <c r="BH136" s="55">
        <f t="shared" ca="1" si="118"/>
        <v>0</v>
      </c>
    </row>
    <row r="137" spans="1:60" x14ac:dyDescent="0.2">
      <c r="A137" s="61">
        <f ca="1">RANK(W137,W$12:W$311,0)+COUNTIF(W$12:W137,W137)-1</f>
        <v>175</v>
      </c>
      <c r="B137" s="55">
        <f>'Etape 1'!A133</f>
        <v>126</v>
      </c>
      <c r="C137" s="55">
        <f>'Etape 1'!B133</f>
        <v>0</v>
      </c>
      <c r="D137" s="55">
        <f>'Etape 1'!C133</f>
        <v>0</v>
      </c>
      <c r="E137" s="55">
        <f>'Etape 1'!D133</f>
        <v>0</v>
      </c>
      <c r="F137" s="55">
        <f>'Etape 1'!E133</f>
        <v>0</v>
      </c>
      <c r="G137" s="55">
        <f>'Etape 1'!F133</f>
        <v>0</v>
      </c>
      <c r="H137" s="55">
        <f>'Etape 1'!G133</f>
        <v>0</v>
      </c>
      <c r="I137" s="209">
        <v>1</v>
      </c>
      <c r="J137" s="58">
        <f t="shared" si="130"/>
        <v>0</v>
      </c>
      <c r="K137" s="21">
        <f t="shared" si="143"/>
        <v>0</v>
      </c>
      <c r="L137" s="21">
        <f t="shared" si="144"/>
        <v>0</v>
      </c>
      <c r="M137" s="21">
        <f t="shared" ca="1" si="145"/>
        <v>3</v>
      </c>
      <c r="N137" s="21">
        <f t="shared" ca="1" si="146"/>
        <v>3</v>
      </c>
      <c r="O137" s="21">
        <f t="shared" ca="1" si="147"/>
        <v>0</v>
      </c>
      <c r="P137" s="262" t="str">
        <f>IF('Etape 1'!J133=999,"",IF('Etape 1'!J133=9999,txt_Schritt1.Angaben.fehlen,VLOOKUP(N137,Matrix_1.2.3.Test.Punkte.ID.Beurteilung,4,1)))</f>
        <v/>
      </c>
      <c r="Q137" s="21">
        <f t="shared" ca="1" si="148"/>
        <v>0</v>
      </c>
      <c r="R137" s="136">
        <f t="shared" si="119"/>
        <v>126</v>
      </c>
      <c r="S137" s="136">
        <f t="shared" ca="1" si="88"/>
        <v>162.41860465116278</v>
      </c>
      <c r="T137" s="136">
        <f t="shared" ca="1" si="120"/>
        <v>750.41860465116281</v>
      </c>
      <c r="U137" s="136">
        <f t="shared" ca="1" si="121"/>
        <v>1224000.4186046512</v>
      </c>
      <c r="V137" s="211">
        <f t="shared" ca="1" si="122"/>
        <v>235406.61064897059</v>
      </c>
      <c r="W137" s="136">
        <f t="shared" ca="1" si="89"/>
        <v>126</v>
      </c>
      <c r="X137" s="136">
        <f t="shared" ca="1" si="149"/>
        <v>162.999000999001</v>
      </c>
      <c r="Y137" s="21">
        <f t="shared" si="150"/>
        <v>1</v>
      </c>
      <c r="Z137" s="21" t="str">
        <f t="shared" si="151"/>
        <v>&lt;IE0</v>
      </c>
      <c r="AA137" s="21">
        <f t="shared" si="152"/>
        <v>1</v>
      </c>
      <c r="AB137" s="21" t="str">
        <f t="shared" si="153"/>
        <v>a - "&lt; 1990 (Eff3)"</v>
      </c>
      <c r="AC137" s="21">
        <f t="shared" si="154"/>
        <v>999999</v>
      </c>
      <c r="AD137" s="21" t="str">
        <f t="shared" si="155"/>
        <v/>
      </c>
      <c r="AE137" s="21" t="str">
        <f t="shared" si="156"/>
        <v/>
      </c>
      <c r="AF137" s="21" t="str">
        <f t="shared" si="157"/>
        <v/>
      </c>
      <c r="AG137" s="21">
        <f t="shared" si="158"/>
        <v>0</v>
      </c>
      <c r="AH137" s="21">
        <f>IF('Etape 1'!H133=St.Wert_Hacken,1,0)</f>
        <v>0</v>
      </c>
      <c r="AI137" s="21">
        <f t="shared" si="159"/>
        <v>0</v>
      </c>
      <c r="AJ137" s="21">
        <f t="shared" si="160"/>
        <v>1000999</v>
      </c>
      <c r="AK137" s="58">
        <f t="shared" si="161"/>
        <v>1100</v>
      </c>
      <c r="AL137" s="58">
        <f t="shared" si="162"/>
        <v>440</v>
      </c>
      <c r="AM137" s="21">
        <f t="shared" si="163"/>
        <v>0</v>
      </c>
      <c r="AN137" s="58">
        <f t="shared" si="164"/>
        <v>1</v>
      </c>
      <c r="AO137" s="58" t="str">
        <f t="shared" si="165"/>
        <v>114</v>
      </c>
      <c r="AP137" s="58" t="str">
        <f t="shared" si="166"/>
        <v>164</v>
      </c>
      <c r="AQ137" s="21" t="e">
        <f t="shared" si="167"/>
        <v>#NUM!</v>
      </c>
      <c r="AR137" s="21" t="e">
        <f t="shared" si="168"/>
        <v>#NUM!</v>
      </c>
      <c r="AS137" s="136" t="e">
        <f t="shared" si="124"/>
        <v>#NUM!</v>
      </c>
      <c r="AT137" s="59" t="e">
        <f t="shared" si="169"/>
        <v>#NUM!</v>
      </c>
      <c r="AU137" s="21" t="e">
        <f t="shared" si="170"/>
        <v>#NUM!</v>
      </c>
      <c r="AV137" s="58">
        <f t="shared" si="171"/>
        <v>1500</v>
      </c>
      <c r="AW137" s="58">
        <f t="shared" si="172"/>
        <v>600</v>
      </c>
      <c r="AX137" s="60">
        <f t="shared" si="173"/>
        <v>0.11</v>
      </c>
      <c r="AY137" s="212">
        <f t="shared" si="126"/>
        <v>0</v>
      </c>
      <c r="AZ137" s="59">
        <f t="shared" si="174"/>
        <v>0</v>
      </c>
      <c r="BA137" s="21" t="e">
        <f t="shared" si="175"/>
        <v>#DIV/0!</v>
      </c>
      <c r="BB137" s="58">
        <f t="shared" si="176"/>
        <v>2900</v>
      </c>
      <c r="BC137" s="58">
        <f t="shared" si="177"/>
        <v>1160</v>
      </c>
      <c r="BD137" s="60">
        <f t="shared" si="178"/>
        <v>0.15</v>
      </c>
      <c r="BE137" s="212" t="e">
        <f t="shared" si="128"/>
        <v>#NUM!</v>
      </c>
      <c r="BF137" s="59" t="e">
        <f t="shared" si="179"/>
        <v>#NUM!</v>
      </c>
      <c r="BG137" s="21" t="e">
        <f t="shared" si="180"/>
        <v>#NUM!</v>
      </c>
      <c r="BH137" s="55">
        <f t="shared" ca="1" si="118"/>
        <v>0</v>
      </c>
    </row>
    <row r="138" spans="1:60" x14ac:dyDescent="0.2">
      <c r="A138" s="61">
        <f ca="1">RANK(W138,W$12:W$311,0)+COUNTIF(W$12:W138,W138)-1</f>
        <v>174</v>
      </c>
      <c r="B138" s="55">
        <f>'Etape 1'!A134</f>
        <v>127</v>
      </c>
      <c r="C138" s="55">
        <f>'Etape 1'!B134</f>
        <v>0</v>
      </c>
      <c r="D138" s="55">
        <f>'Etape 1'!C134</f>
        <v>0</v>
      </c>
      <c r="E138" s="55">
        <f>'Etape 1'!D134</f>
        <v>0</v>
      </c>
      <c r="F138" s="55">
        <f>'Etape 1'!E134</f>
        <v>0</v>
      </c>
      <c r="G138" s="55">
        <f>'Etape 1'!F134</f>
        <v>0</v>
      </c>
      <c r="H138" s="55">
        <f>'Etape 1'!G134</f>
        <v>0</v>
      </c>
      <c r="I138" s="209">
        <v>1</v>
      </c>
      <c r="J138" s="58">
        <f t="shared" si="130"/>
        <v>0</v>
      </c>
      <c r="K138" s="21">
        <f t="shared" si="143"/>
        <v>0</v>
      </c>
      <c r="L138" s="21">
        <f t="shared" si="144"/>
        <v>0</v>
      </c>
      <c r="M138" s="21">
        <f t="shared" ca="1" si="145"/>
        <v>3</v>
      </c>
      <c r="N138" s="21">
        <f t="shared" ca="1" si="146"/>
        <v>3</v>
      </c>
      <c r="O138" s="21">
        <f t="shared" ca="1" si="147"/>
        <v>0</v>
      </c>
      <c r="P138" s="262" t="str">
        <f>IF('Etape 1'!J134=999,"",IF('Etape 1'!J134=9999,txt_Schritt1.Angaben.fehlen,VLOOKUP(N138,Matrix_1.2.3.Test.Punkte.ID.Beurteilung,4,1)))</f>
        <v/>
      </c>
      <c r="Q138" s="21">
        <f t="shared" ca="1" si="148"/>
        <v>0</v>
      </c>
      <c r="R138" s="136">
        <f t="shared" si="119"/>
        <v>127</v>
      </c>
      <c r="S138" s="136">
        <f t="shared" ca="1" si="88"/>
        <v>162.42192691029899</v>
      </c>
      <c r="T138" s="136">
        <f t="shared" ca="1" si="120"/>
        <v>750.42192691029902</v>
      </c>
      <c r="U138" s="136">
        <f t="shared" ca="1" si="121"/>
        <v>1224000.4219269103</v>
      </c>
      <c r="V138" s="211">
        <f t="shared" ca="1" si="122"/>
        <v>235406.6139712297</v>
      </c>
      <c r="W138" s="136">
        <f t="shared" ca="1" si="89"/>
        <v>127</v>
      </c>
      <c r="X138" s="136">
        <f t="shared" ca="1" si="149"/>
        <v>162.999000999001</v>
      </c>
      <c r="Y138" s="21">
        <f t="shared" si="150"/>
        <v>1</v>
      </c>
      <c r="Z138" s="21" t="str">
        <f t="shared" si="151"/>
        <v>&lt;IE0</v>
      </c>
      <c r="AA138" s="21">
        <f t="shared" si="152"/>
        <v>1</v>
      </c>
      <c r="AB138" s="21" t="str">
        <f t="shared" si="153"/>
        <v>a - "&lt; 1990 (Eff3)"</v>
      </c>
      <c r="AC138" s="21">
        <f t="shared" si="154"/>
        <v>999999</v>
      </c>
      <c r="AD138" s="21" t="str">
        <f t="shared" si="155"/>
        <v/>
      </c>
      <c r="AE138" s="21" t="str">
        <f t="shared" si="156"/>
        <v/>
      </c>
      <c r="AF138" s="21" t="str">
        <f t="shared" si="157"/>
        <v/>
      </c>
      <c r="AG138" s="21">
        <f t="shared" si="158"/>
        <v>0</v>
      </c>
      <c r="AH138" s="21">
        <f>IF('Etape 1'!H134=St.Wert_Hacken,1,0)</f>
        <v>0</v>
      </c>
      <c r="AI138" s="21">
        <f t="shared" si="159"/>
        <v>0</v>
      </c>
      <c r="AJ138" s="21">
        <f t="shared" si="160"/>
        <v>1000999</v>
      </c>
      <c r="AK138" s="58">
        <f t="shared" si="161"/>
        <v>1100</v>
      </c>
      <c r="AL138" s="58">
        <f t="shared" si="162"/>
        <v>440</v>
      </c>
      <c r="AM138" s="21">
        <f t="shared" si="163"/>
        <v>0</v>
      </c>
      <c r="AN138" s="58">
        <f t="shared" si="164"/>
        <v>1</v>
      </c>
      <c r="AO138" s="58" t="str">
        <f t="shared" si="165"/>
        <v>114</v>
      </c>
      <c r="AP138" s="58" t="str">
        <f t="shared" si="166"/>
        <v>164</v>
      </c>
      <c r="AQ138" s="21" t="e">
        <f t="shared" si="167"/>
        <v>#NUM!</v>
      </c>
      <c r="AR138" s="21" t="e">
        <f t="shared" si="168"/>
        <v>#NUM!</v>
      </c>
      <c r="AS138" s="136" t="e">
        <f t="shared" si="124"/>
        <v>#NUM!</v>
      </c>
      <c r="AT138" s="59" t="e">
        <f t="shared" si="169"/>
        <v>#NUM!</v>
      </c>
      <c r="AU138" s="21" t="e">
        <f t="shared" si="170"/>
        <v>#NUM!</v>
      </c>
      <c r="AV138" s="58">
        <f t="shared" si="171"/>
        <v>1500</v>
      </c>
      <c r="AW138" s="58">
        <f t="shared" si="172"/>
        <v>600</v>
      </c>
      <c r="AX138" s="60">
        <f t="shared" si="173"/>
        <v>0.11</v>
      </c>
      <c r="AY138" s="212">
        <f t="shared" si="126"/>
        <v>0</v>
      </c>
      <c r="AZ138" s="59">
        <f t="shared" si="174"/>
        <v>0</v>
      </c>
      <c r="BA138" s="21" t="e">
        <f t="shared" si="175"/>
        <v>#DIV/0!</v>
      </c>
      <c r="BB138" s="58">
        <f t="shared" si="176"/>
        <v>2900</v>
      </c>
      <c r="BC138" s="58">
        <f t="shared" si="177"/>
        <v>1160</v>
      </c>
      <c r="BD138" s="60">
        <f t="shared" si="178"/>
        <v>0.15</v>
      </c>
      <c r="BE138" s="212" t="e">
        <f t="shared" si="128"/>
        <v>#NUM!</v>
      </c>
      <c r="BF138" s="59" t="e">
        <f t="shared" si="179"/>
        <v>#NUM!</v>
      </c>
      <c r="BG138" s="21" t="e">
        <f t="shared" si="180"/>
        <v>#NUM!</v>
      </c>
      <c r="BH138" s="55">
        <f t="shared" ca="1" si="118"/>
        <v>0</v>
      </c>
    </row>
    <row r="139" spans="1:60" x14ac:dyDescent="0.2">
      <c r="A139" s="61">
        <f ca="1">RANK(W139,W$12:W$311,0)+COUNTIF(W$12:W139,W139)-1</f>
        <v>173</v>
      </c>
      <c r="B139" s="55">
        <f>'Etape 1'!A135</f>
        <v>128</v>
      </c>
      <c r="C139" s="55">
        <f>'Etape 1'!B135</f>
        <v>0</v>
      </c>
      <c r="D139" s="55">
        <f>'Etape 1'!C135</f>
        <v>0</v>
      </c>
      <c r="E139" s="55">
        <f>'Etape 1'!D135</f>
        <v>0</v>
      </c>
      <c r="F139" s="55">
        <f>'Etape 1'!E135</f>
        <v>0</v>
      </c>
      <c r="G139" s="55">
        <f>'Etape 1'!F135</f>
        <v>0</v>
      </c>
      <c r="H139" s="55">
        <f>'Etape 1'!G135</f>
        <v>0</v>
      </c>
      <c r="I139" s="209">
        <v>1</v>
      </c>
      <c r="J139" s="58">
        <f t="shared" si="130"/>
        <v>0</v>
      </c>
      <c r="K139" s="21">
        <f t="shared" si="143"/>
        <v>0</v>
      </c>
      <c r="L139" s="21">
        <f t="shared" si="144"/>
        <v>0</v>
      </c>
      <c r="M139" s="21">
        <f t="shared" ca="1" si="145"/>
        <v>3</v>
      </c>
      <c r="N139" s="21">
        <f t="shared" ca="1" si="146"/>
        <v>3</v>
      </c>
      <c r="O139" s="21">
        <f t="shared" ca="1" si="147"/>
        <v>0</v>
      </c>
      <c r="P139" s="262" t="str">
        <f>IF('Etape 1'!J135=999,"",IF('Etape 1'!J135=9999,txt_Schritt1.Angaben.fehlen,VLOOKUP(N139,Matrix_1.2.3.Test.Punkte.ID.Beurteilung,4,1)))</f>
        <v/>
      </c>
      <c r="Q139" s="21">
        <f t="shared" ca="1" si="148"/>
        <v>0</v>
      </c>
      <c r="R139" s="136">
        <f t="shared" si="119"/>
        <v>128</v>
      </c>
      <c r="S139" s="136">
        <f t="shared" ca="1" si="88"/>
        <v>162.4252491694352</v>
      </c>
      <c r="T139" s="136">
        <f t="shared" ca="1" si="120"/>
        <v>750.42524916943523</v>
      </c>
      <c r="U139" s="136">
        <f t="shared" ca="1" si="121"/>
        <v>1224000.4252491693</v>
      </c>
      <c r="V139" s="211">
        <f t="shared" ca="1" si="122"/>
        <v>235406.61729348885</v>
      </c>
      <c r="W139" s="136">
        <f t="shared" ca="1" si="89"/>
        <v>128</v>
      </c>
      <c r="X139" s="136">
        <f t="shared" ca="1" si="149"/>
        <v>162.999000999001</v>
      </c>
      <c r="Y139" s="21">
        <f t="shared" si="150"/>
        <v>1</v>
      </c>
      <c r="Z139" s="21" t="str">
        <f t="shared" si="151"/>
        <v>&lt;IE0</v>
      </c>
      <c r="AA139" s="21">
        <f t="shared" si="152"/>
        <v>1</v>
      </c>
      <c r="AB139" s="21" t="str">
        <f t="shared" si="153"/>
        <v>a - "&lt; 1990 (Eff3)"</v>
      </c>
      <c r="AC139" s="21">
        <f t="shared" si="154"/>
        <v>999999</v>
      </c>
      <c r="AD139" s="21" t="str">
        <f t="shared" si="155"/>
        <v/>
      </c>
      <c r="AE139" s="21" t="str">
        <f t="shared" si="156"/>
        <v/>
      </c>
      <c r="AF139" s="21" t="str">
        <f t="shared" si="157"/>
        <v/>
      </c>
      <c r="AG139" s="21">
        <f t="shared" si="158"/>
        <v>0</v>
      </c>
      <c r="AH139" s="21">
        <f>IF('Etape 1'!H135=St.Wert_Hacken,1,0)</f>
        <v>0</v>
      </c>
      <c r="AI139" s="21">
        <f t="shared" si="159"/>
        <v>0</v>
      </c>
      <c r="AJ139" s="21">
        <f t="shared" si="160"/>
        <v>1000999</v>
      </c>
      <c r="AK139" s="58">
        <f t="shared" si="161"/>
        <v>1100</v>
      </c>
      <c r="AL139" s="58">
        <f t="shared" si="162"/>
        <v>440</v>
      </c>
      <c r="AM139" s="21">
        <f t="shared" si="163"/>
        <v>0</v>
      </c>
      <c r="AN139" s="58">
        <f t="shared" si="164"/>
        <v>1</v>
      </c>
      <c r="AO139" s="58" t="str">
        <f t="shared" si="165"/>
        <v>114</v>
      </c>
      <c r="AP139" s="58" t="str">
        <f t="shared" si="166"/>
        <v>164</v>
      </c>
      <c r="AQ139" s="21" t="e">
        <f t="shared" si="167"/>
        <v>#NUM!</v>
      </c>
      <c r="AR139" s="21" t="e">
        <f t="shared" si="168"/>
        <v>#NUM!</v>
      </c>
      <c r="AS139" s="136" t="e">
        <f t="shared" si="124"/>
        <v>#NUM!</v>
      </c>
      <c r="AT139" s="59" t="e">
        <f t="shared" si="169"/>
        <v>#NUM!</v>
      </c>
      <c r="AU139" s="21" t="e">
        <f t="shared" si="170"/>
        <v>#NUM!</v>
      </c>
      <c r="AV139" s="58">
        <f t="shared" si="171"/>
        <v>1500</v>
      </c>
      <c r="AW139" s="58">
        <f t="shared" si="172"/>
        <v>600</v>
      </c>
      <c r="AX139" s="60">
        <f t="shared" si="173"/>
        <v>0.11</v>
      </c>
      <c r="AY139" s="212">
        <f t="shared" si="126"/>
        <v>0</v>
      </c>
      <c r="AZ139" s="59">
        <f t="shared" si="174"/>
        <v>0</v>
      </c>
      <c r="BA139" s="21" t="e">
        <f t="shared" si="175"/>
        <v>#DIV/0!</v>
      </c>
      <c r="BB139" s="58">
        <f t="shared" si="176"/>
        <v>2900</v>
      </c>
      <c r="BC139" s="58">
        <f t="shared" si="177"/>
        <v>1160</v>
      </c>
      <c r="BD139" s="60">
        <f t="shared" si="178"/>
        <v>0.15</v>
      </c>
      <c r="BE139" s="212" t="e">
        <f t="shared" si="128"/>
        <v>#NUM!</v>
      </c>
      <c r="BF139" s="59" t="e">
        <f t="shared" si="179"/>
        <v>#NUM!</v>
      </c>
      <c r="BG139" s="21" t="e">
        <f t="shared" si="180"/>
        <v>#NUM!</v>
      </c>
      <c r="BH139" s="55">
        <f t="shared" ca="1" si="118"/>
        <v>0</v>
      </c>
    </row>
    <row r="140" spans="1:60" x14ac:dyDescent="0.2">
      <c r="A140" s="61">
        <f ca="1">RANK(W140,W$12:W$311,0)+COUNTIF(W$12:W140,W140)-1</f>
        <v>172</v>
      </c>
      <c r="B140" s="55">
        <f>'Etape 1'!A136</f>
        <v>129</v>
      </c>
      <c r="C140" s="55">
        <f>'Etape 1'!B136</f>
        <v>0</v>
      </c>
      <c r="D140" s="55">
        <f>'Etape 1'!C136</f>
        <v>0</v>
      </c>
      <c r="E140" s="55">
        <f>'Etape 1'!D136</f>
        <v>0</v>
      </c>
      <c r="F140" s="55">
        <f>'Etape 1'!E136</f>
        <v>0</v>
      </c>
      <c r="G140" s="55">
        <f>'Etape 1'!F136</f>
        <v>0</v>
      </c>
      <c r="H140" s="55">
        <f>'Etape 1'!G136</f>
        <v>0</v>
      </c>
      <c r="I140" s="209">
        <v>1</v>
      </c>
      <c r="J140" s="58">
        <f t="shared" si="130"/>
        <v>0</v>
      </c>
      <c r="K140" s="21">
        <f t="shared" si="143"/>
        <v>0</v>
      </c>
      <c r="L140" s="21">
        <f t="shared" si="144"/>
        <v>0</v>
      </c>
      <c r="M140" s="21">
        <f t="shared" ca="1" si="145"/>
        <v>3</v>
      </c>
      <c r="N140" s="21">
        <f t="shared" ca="1" si="146"/>
        <v>3</v>
      </c>
      <c r="O140" s="21">
        <f t="shared" ca="1" si="147"/>
        <v>0</v>
      </c>
      <c r="P140" s="262" t="str">
        <f>IF('Etape 1'!J136=999,"",IF('Etape 1'!J136=9999,txt_Schritt1.Angaben.fehlen,VLOOKUP(N140,Matrix_1.2.3.Test.Punkte.ID.Beurteilung,4,1)))</f>
        <v/>
      </c>
      <c r="Q140" s="21">
        <f t="shared" ca="1" si="148"/>
        <v>0</v>
      </c>
      <c r="R140" s="136">
        <f t="shared" si="119"/>
        <v>129</v>
      </c>
      <c r="S140" s="136">
        <f t="shared" ref="S140:S203" ca="1" si="181">IF(Q140=0,3,Q140)*St.Wert_1.2.3.Test.PkteMax-N140+$B140/(MAX($B$12:$B$311)+1)</f>
        <v>162.42857142857142</v>
      </c>
      <c r="T140" s="136">
        <f t="shared" ca="1" si="120"/>
        <v>750.42857142857144</v>
      </c>
      <c r="U140" s="136">
        <f t="shared" ca="1" si="121"/>
        <v>1224000.4285714286</v>
      </c>
      <c r="V140" s="211">
        <f t="shared" ca="1" si="122"/>
        <v>235406.62061574799</v>
      </c>
      <c r="W140" s="136">
        <f t="shared" ref="W140:W203" ca="1" si="182">INDIRECT(ADDRESS(ROW(W140),Wert_Sortiervariante.SpaltenNr))</f>
        <v>129</v>
      </c>
      <c r="X140" s="136">
        <f t="shared" ca="1" si="149"/>
        <v>162.999000999001</v>
      </c>
      <c r="Y140" s="21">
        <f t="shared" si="150"/>
        <v>1</v>
      </c>
      <c r="Z140" s="21" t="str">
        <f t="shared" si="151"/>
        <v>&lt;IE0</v>
      </c>
      <c r="AA140" s="21">
        <f t="shared" si="152"/>
        <v>1</v>
      </c>
      <c r="AB140" s="21" t="str">
        <f t="shared" si="153"/>
        <v>a - "&lt; 1990 (Eff3)"</v>
      </c>
      <c r="AC140" s="21">
        <f t="shared" si="154"/>
        <v>999999</v>
      </c>
      <c r="AD140" s="21" t="str">
        <f t="shared" si="155"/>
        <v/>
      </c>
      <c r="AE140" s="21" t="str">
        <f t="shared" si="156"/>
        <v/>
      </c>
      <c r="AF140" s="21" t="str">
        <f t="shared" si="157"/>
        <v/>
      </c>
      <c r="AG140" s="21">
        <f t="shared" si="158"/>
        <v>0</v>
      </c>
      <c r="AH140" s="21">
        <f>IF('Etape 1'!H136=St.Wert_Hacken,1,0)</f>
        <v>0</v>
      </c>
      <c r="AI140" s="21">
        <f t="shared" si="159"/>
        <v>0</v>
      </c>
      <c r="AJ140" s="21">
        <f t="shared" si="160"/>
        <v>1000999</v>
      </c>
      <c r="AK140" s="58">
        <f t="shared" si="161"/>
        <v>1100</v>
      </c>
      <c r="AL140" s="58">
        <f t="shared" si="162"/>
        <v>440</v>
      </c>
      <c r="AM140" s="21">
        <f t="shared" si="163"/>
        <v>0</v>
      </c>
      <c r="AN140" s="58">
        <f t="shared" si="164"/>
        <v>1</v>
      </c>
      <c r="AO140" s="58" t="str">
        <f t="shared" si="165"/>
        <v>114</v>
      </c>
      <c r="AP140" s="58" t="str">
        <f t="shared" si="166"/>
        <v>164</v>
      </c>
      <c r="AQ140" s="21" t="e">
        <f t="shared" si="167"/>
        <v>#NUM!</v>
      </c>
      <c r="AR140" s="21" t="e">
        <f t="shared" si="168"/>
        <v>#NUM!</v>
      </c>
      <c r="AS140" s="136" t="e">
        <f t="shared" si="124"/>
        <v>#NUM!</v>
      </c>
      <c r="AT140" s="59" t="e">
        <f t="shared" si="169"/>
        <v>#NUM!</v>
      </c>
      <c r="AU140" s="21" t="e">
        <f t="shared" si="170"/>
        <v>#NUM!</v>
      </c>
      <c r="AV140" s="58">
        <f t="shared" si="171"/>
        <v>1500</v>
      </c>
      <c r="AW140" s="58">
        <f t="shared" si="172"/>
        <v>600</v>
      </c>
      <c r="AX140" s="60">
        <f t="shared" si="173"/>
        <v>0.11</v>
      </c>
      <c r="AY140" s="212">
        <f t="shared" si="126"/>
        <v>0</v>
      </c>
      <c r="AZ140" s="59">
        <f t="shared" si="174"/>
        <v>0</v>
      </c>
      <c r="BA140" s="21" t="e">
        <f t="shared" si="175"/>
        <v>#DIV/0!</v>
      </c>
      <c r="BB140" s="58">
        <f t="shared" si="176"/>
        <v>2900</v>
      </c>
      <c r="BC140" s="58">
        <f t="shared" si="177"/>
        <v>1160</v>
      </c>
      <c r="BD140" s="60">
        <f t="shared" si="178"/>
        <v>0.15</v>
      </c>
      <c r="BE140" s="212" t="e">
        <f t="shared" si="128"/>
        <v>#NUM!</v>
      </c>
      <c r="BF140" s="59" t="e">
        <f t="shared" si="179"/>
        <v>#NUM!</v>
      </c>
      <c r="BG140" s="21" t="e">
        <f t="shared" si="180"/>
        <v>#NUM!</v>
      </c>
      <c r="BH140" s="55">
        <f t="shared" ref="BH140:BH203" ca="1" si="183">IF(ISERROR(VLOOKUP(A140,Matrix_Berechnungen2.Rang1.Rang2.Pumpendaten.Endresultate,BH$8,FALSE)),0,VLOOKUP(A140,Matrix_Berechnungen2.Rang1.Rang2.Pumpendaten.Endresultate,BH$8,FALSE))</f>
        <v>0</v>
      </c>
    </row>
    <row r="141" spans="1:60" x14ac:dyDescent="0.2">
      <c r="A141" s="61">
        <f ca="1">RANK(W141,W$12:W$311,0)+COUNTIF(W$12:W141,W141)-1</f>
        <v>171</v>
      </c>
      <c r="B141" s="55">
        <f>'Etape 1'!A137</f>
        <v>130</v>
      </c>
      <c r="C141" s="55">
        <f>'Etape 1'!B137</f>
        <v>0</v>
      </c>
      <c r="D141" s="55">
        <f>'Etape 1'!C137</f>
        <v>0</v>
      </c>
      <c r="E141" s="55">
        <f>'Etape 1'!D137</f>
        <v>0</v>
      </c>
      <c r="F141" s="55">
        <f>'Etape 1'!E137</f>
        <v>0</v>
      </c>
      <c r="G141" s="55">
        <f>'Etape 1'!F137</f>
        <v>0</v>
      </c>
      <c r="H141" s="55">
        <f>'Etape 1'!G137</f>
        <v>0</v>
      </c>
      <c r="I141" s="209">
        <v>1</v>
      </c>
      <c r="J141" s="58">
        <f t="shared" si="130"/>
        <v>0</v>
      </c>
      <c r="K141" s="21">
        <f t="shared" si="143"/>
        <v>0</v>
      </c>
      <c r="L141" s="21">
        <f t="shared" si="144"/>
        <v>0</v>
      </c>
      <c r="M141" s="21">
        <f t="shared" ca="1" si="145"/>
        <v>3</v>
      </c>
      <c r="N141" s="21">
        <f t="shared" ca="1" si="146"/>
        <v>3</v>
      </c>
      <c r="O141" s="21">
        <f t="shared" ca="1" si="147"/>
        <v>0</v>
      </c>
      <c r="P141" s="262" t="str">
        <f>IF('Etape 1'!J137=999,"",IF('Etape 1'!J137=9999,txt_Schritt1.Angaben.fehlen,VLOOKUP(N141,Matrix_1.2.3.Test.Punkte.ID.Beurteilung,4,1)))</f>
        <v/>
      </c>
      <c r="Q141" s="21">
        <f t="shared" ca="1" si="148"/>
        <v>0</v>
      </c>
      <c r="R141" s="136">
        <f t="shared" ref="R141:R204" si="184">$B141</f>
        <v>130</v>
      </c>
      <c r="S141" s="136">
        <f t="shared" ca="1" si="181"/>
        <v>162.43189368770763</v>
      </c>
      <c r="T141" s="136">
        <f t="shared" ref="T141:T204" ca="1" si="185">IF(Q141=0,3,Q141)*MAX($F$12:$F$311)-F141+$B141/(MAX($B$12:$B$311)+1)</f>
        <v>750.43189368770766</v>
      </c>
      <c r="U141" s="136">
        <f t="shared" ref="U141:U204" ca="1" si="186">IF(Q141=0,3,Q141)*MAX($J$12:$J$311)-J141+$B141/(MAX($B$12:$B$311)+1)</f>
        <v>1224000.4318936877</v>
      </c>
      <c r="V141" s="211">
        <f t="shared" ref="V141:V204" ca="1" si="187">IF(Q141=0,3,Q141)*MAX($BH$12:$BH$311)-BH141+$B141/(MAX($B$12:$B$311)+1)</f>
        <v>235406.62393800711</v>
      </c>
      <c r="W141" s="136">
        <f t="shared" ca="1" si="182"/>
        <v>130</v>
      </c>
      <c r="X141" s="136">
        <f t="shared" ca="1" si="149"/>
        <v>162.999000999001</v>
      </c>
      <c r="Y141" s="21">
        <f t="shared" si="150"/>
        <v>1</v>
      </c>
      <c r="Z141" s="21" t="str">
        <f t="shared" si="151"/>
        <v>&lt;IE0</v>
      </c>
      <c r="AA141" s="21">
        <f t="shared" si="152"/>
        <v>1</v>
      </c>
      <c r="AB141" s="21" t="str">
        <f t="shared" si="153"/>
        <v>a - "&lt; 1990 (Eff3)"</v>
      </c>
      <c r="AC141" s="21">
        <f t="shared" si="154"/>
        <v>999999</v>
      </c>
      <c r="AD141" s="21" t="str">
        <f t="shared" si="155"/>
        <v/>
      </c>
      <c r="AE141" s="21" t="str">
        <f t="shared" si="156"/>
        <v/>
      </c>
      <c r="AF141" s="21" t="str">
        <f t="shared" si="157"/>
        <v/>
      </c>
      <c r="AG141" s="21">
        <f t="shared" si="158"/>
        <v>0</v>
      </c>
      <c r="AH141" s="21">
        <f>IF('Etape 1'!H137=St.Wert_Hacken,1,0)</f>
        <v>0</v>
      </c>
      <c r="AI141" s="21">
        <f t="shared" si="159"/>
        <v>0</v>
      </c>
      <c r="AJ141" s="21">
        <f t="shared" si="160"/>
        <v>1000999</v>
      </c>
      <c r="AK141" s="58">
        <f t="shared" si="161"/>
        <v>1100</v>
      </c>
      <c r="AL141" s="58">
        <f t="shared" si="162"/>
        <v>440</v>
      </c>
      <c r="AM141" s="21">
        <f t="shared" si="163"/>
        <v>0</v>
      </c>
      <c r="AN141" s="58">
        <f t="shared" si="164"/>
        <v>1</v>
      </c>
      <c r="AO141" s="58" t="str">
        <f t="shared" si="165"/>
        <v>114</v>
      </c>
      <c r="AP141" s="58" t="str">
        <f t="shared" si="166"/>
        <v>164</v>
      </c>
      <c r="AQ141" s="21" t="e">
        <f t="shared" si="167"/>
        <v>#NUM!</v>
      </c>
      <c r="AR141" s="21" t="e">
        <f t="shared" si="168"/>
        <v>#NUM!</v>
      </c>
      <c r="AS141" s="136" t="e">
        <f t="shared" ref="AS141:AS204" si="188">J141*(1-AQ141/AR141)</f>
        <v>#NUM!</v>
      </c>
      <c r="AT141" s="59" t="e">
        <f t="shared" si="169"/>
        <v>#NUM!</v>
      </c>
      <c r="AU141" s="21" t="e">
        <f t="shared" si="170"/>
        <v>#NUM!</v>
      </c>
      <c r="AV141" s="58">
        <f t="shared" si="171"/>
        <v>1500</v>
      </c>
      <c r="AW141" s="58">
        <f t="shared" si="172"/>
        <v>600</v>
      </c>
      <c r="AX141" s="60">
        <f t="shared" si="173"/>
        <v>0.11</v>
      </c>
      <c r="AY141" s="212">
        <f t="shared" ref="AY141:AY204" si="189">J141*AX141</f>
        <v>0</v>
      </c>
      <c r="AZ141" s="59">
        <f t="shared" si="174"/>
        <v>0</v>
      </c>
      <c r="BA141" s="21" t="e">
        <f t="shared" si="175"/>
        <v>#DIV/0!</v>
      </c>
      <c r="BB141" s="58">
        <f t="shared" si="176"/>
        <v>2900</v>
      </c>
      <c r="BC141" s="58">
        <f t="shared" si="177"/>
        <v>1160</v>
      </c>
      <c r="BD141" s="60">
        <f t="shared" si="178"/>
        <v>0.15</v>
      </c>
      <c r="BE141" s="212" t="e">
        <f t="shared" ref="BE141:BE204" si="190">J141*(1-AQ141/AR141*(1-AX141)*(1-BD141))</f>
        <v>#NUM!</v>
      </c>
      <c r="BF141" s="59" t="e">
        <f t="shared" si="179"/>
        <v>#NUM!</v>
      </c>
      <c r="BG141" s="21" t="e">
        <f t="shared" si="180"/>
        <v>#NUM!</v>
      </c>
      <c r="BH141" s="55">
        <f t="shared" ca="1" si="183"/>
        <v>0</v>
      </c>
    </row>
    <row r="142" spans="1:60" x14ac:dyDescent="0.2">
      <c r="A142" s="61">
        <f ca="1">RANK(W142,W$12:W$311,0)+COUNTIF(W$12:W142,W142)-1</f>
        <v>170</v>
      </c>
      <c r="B142" s="55">
        <f>'Etape 1'!A138</f>
        <v>131</v>
      </c>
      <c r="C142" s="55">
        <f>'Etape 1'!B138</f>
        <v>0</v>
      </c>
      <c r="D142" s="55">
        <f>'Etape 1'!C138</f>
        <v>0</v>
      </c>
      <c r="E142" s="55">
        <f>'Etape 1'!D138</f>
        <v>0</v>
      </c>
      <c r="F142" s="55">
        <f>'Etape 1'!E138</f>
        <v>0</v>
      </c>
      <c r="G142" s="55">
        <f>'Etape 1'!F138</f>
        <v>0</v>
      </c>
      <c r="H142" s="55">
        <f>'Etape 1'!G138</f>
        <v>0</v>
      </c>
      <c r="I142" s="209">
        <v>1</v>
      </c>
      <c r="J142" s="58">
        <f t="shared" ref="J142:J205" si="191">F142*G142*I142</f>
        <v>0</v>
      </c>
      <c r="K142" s="21">
        <f t="shared" si="143"/>
        <v>0</v>
      </c>
      <c r="L142" s="21">
        <f t="shared" si="144"/>
        <v>0</v>
      </c>
      <c r="M142" s="21">
        <f t="shared" ca="1" si="145"/>
        <v>3</v>
      </c>
      <c r="N142" s="21">
        <f t="shared" ca="1" si="146"/>
        <v>3</v>
      </c>
      <c r="O142" s="21">
        <f t="shared" ca="1" si="147"/>
        <v>0</v>
      </c>
      <c r="P142" s="262" t="str">
        <f>IF('Etape 1'!J138=999,"",IF('Etape 1'!J138=9999,txt_Schritt1.Angaben.fehlen,VLOOKUP(N142,Matrix_1.2.3.Test.Punkte.ID.Beurteilung,4,1)))</f>
        <v/>
      </c>
      <c r="Q142" s="21">
        <f t="shared" ca="1" si="148"/>
        <v>0</v>
      </c>
      <c r="R142" s="136">
        <f t="shared" si="184"/>
        <v>131</v>
      </c>
      <c r="S142" s="136">
        <f t="shared" ca="1" si="181"/>
        <v>162.43521594684384</v>
      </c>
      <c r="T142" s="136">
        <f t="shared" ca="1" si="185"/>
        <v>750.43521594684387</v>
      </c>
      <c r="U142" s="136">
        <f t="shared" ca="1" si="186"/>
        <v>1224000.4352159468</v>
      </c>
      <c r="V142" s="211">
        <f t="shared" ca="1" si="187"/>
        <v>235406.62726026625</v>
      </c>
      <c r="W142" s="136">
        <f t="shared" ca="1" si="182"/>
        <v>131</v>
      </c>
      <c r="X142" s="136">
        <f t="shared" ca="1" si="149"/>
        <v>162.999000999001</v>
      </c>
      <c r="Y142" s="21">
        <f t="shared" si="150"/>
        <v>1</v>
      </c>
      <c r="Z142" s="21" t="str">
        <f t="shared" si="151"/>
        <v>&lt;IE0</v>
      </c>
      <c r="AA142" s="21">
        <f t="shared" si="152"/>
        <v>1</v>
      </c>
      <c r="AB142" s="21" t="str">
        <f t="shared" si="153"/>
        <v>a - "&lt; 1990 (Eff3)"</v>
      </c>
      <c r="AC142" s="21">
        <f t="shared" si="154"/>
        <v>999999</v>
      </c>
      <c r="AD142" s="21" t="str">
        <f t="shared" si="155"/>
        <v/>
      </c>
      <c r="AE142" s="21" t="str">
        <f t="shared" si="156"/>
        <v/>
      </c>
      <c r="AF142" s="21" t="str">
        <f t="shared" si="157"/>
        <v/>
      </c>
      <c r="AG142" s="21">
        <f t="shared" si="158"/>
        <v>0</v>
      </c>
      <c r="AH142" s="21">
        <f>IF('Etape 1'!H138=St.Wert_Hacken,1,0)</f>
        <v>0</v>
      </c>
      <c r="AI142" s="21">
        <f t="shared" si="159"/>
        <v>0</v>
      </c>
      <c r="AJ142" s="21">
        <f t="shared" si="160"/>
        <v>1000999</v>
      </c>
      <c r="AK142" s="58">
        <f t="shared" si="161"/>
        <v>1100</v>
      </c>
      <c r="AL142" s="58">
        <f t="shared" si="162"/>
        <v>440</v>
      </c>
      <c r="AM142" s="21">
        <f t="shared" si="163"/>
        <v>0</v>
      </c>
      <c r="AN142" s="58">
        <f t="shared" si="164"/>
        <v>1</v>
      </c>
      <c r="AO142" s="58" t="str">
        <f t="shared" si="165"/>
        <v>114</v>
      </c>
      <c r="AP142" s="58" t="str">
        <f t="shared" si="166"/>
        <v>164</v>
      </c>
      <c r="AQ142" s="21" t="e">
        <f t="shared" si="167"/>
        <v>#NUM!</v>
      </c>
      <c r="AR142" s="21" t="e">
        <f t="shared" si="168"/>
        <v>#NUM!</v>
      </c>
      <c r="AS142" s="136" t="e">
        <f t="shared" si="188"/>
        <v>#NUM!</v>
      </c>
      <c r="AT142" s="59" t="e">
        <f t="shared" si="169"/>
        <v>#NUM!</v>
      </c>
      <c r="AU142" s="21" t="e">
        <f t="shared" si="170"/>
        <v>#NUM!</v>
      </c>
      <c r="AV142" s="58">
        <f t="shared" si="171"/>
        <v>1500</v>
      </c>
      <c r="AW142" s="58">
        <f t="shared" si="172"/>
        <v>600</v>
      </c>
      <c r="AX142" s="60">
        <f t="shared" si="173"/>
        <v>0.11</v>
      </c>
      <c r="AY142" s="212">
        <f t="shared" si="189"/>
        <v>0</v>
      </c>
      <c r="AZ142" s="59">
        <f t="shared" si="174"/>
        <v>0</v>
      </c>
      <c r="BA142" s="21" t="e">
        <f t="shared" si="175"/>
        <v>#DIV/0!</v>
      </c>
      <c r="BB142" s="58">
        <f t="shared" si="176"/>
        <v>2900</v>
      </c>
      <c r="BC142" s="58">
        <f t="shared" si="177"/>
        <v>1160</v>
      </c>
      <c r="BD142" s="60">
        <f t="shared" si="178"/>
        <v>0.15</v>
      </c>
      <c r="BE142" s="212" t="e">
        <f t="shared" si="190"/>
        <v>#NUM!</v>
      </c>
      <c r="BF142" s="59" t="e">
        <f t="shared" si="179"/>
        <v>#NUM!</v>
      </c>
      <c r="BG142" s="21" t="e">
        <f t="shared" si="180"/>
        <v>#NUM!</v>
      </c>
      <c r="BH142" s="55">
        <f t="shared" ca="1" si="183"/>
        <v>0</v>
      </c>
    </row>
    <row r="143" spans="1:60" x14ac:dyDescent="0.2">
      <c r="A143" s="61">
        <f ca="1">RANK(W143,W$12:W$311,0)+COUNTIF(W$12:W143,W143)-1</f>
        <v>169</v>
      </c>
      <c r="B143" s="55">
        <f>'Etape 1'!A139</f>
        <v>132</v>
      </c>
      <c r="C143" s="55">
        <f>'Etape 1'!B139</f>
        <v>0</v>
      </c>
      <c r="D143" s="55">
        <f>'Etape 1'!C139</f>
        <v>0</v>
      </c>
      <c r="E143" s="55">
        <f>'Etape 1'!D139</f>
        <v>0</v>
      </c>
      <c r="F143" s="55">
        <f>'Etape 1'!E139</f>
        <v>0</v>
      </c>
      <c r="G143" s="55">
        <f>'Etape 1'!F139</f>
        <v>0</v>
      </c>
      <c r="H143" s="55">
        <f>'Etape 1'!G139</f>
        <v>0</v>
      </c>
      <c r="I143" s="209">
        <v>1</v>
      </c>
      <c r="J143" s="58">
        <f t="shared" si="191"/>
        <v>0</v>
      </c>
      <c r="K143" s="21">
        <f t="shared" si="143"/>
        <v>0</v>
      </c>
      <c r="L143" s="21">
        <f t="shared" si="144"/>
        <v>0</v>
      </c>
      <c r="M143" s="21">
        <f t="shared" ca="1" si="145"/>
        <v>3</v>
      </c>
      <c r="N143" s="21">
        <f t="shared" ca="1" si="146"/>
        <v>3</v>
      </c>
      <c r="O143" s="21">
        <f t="shared" ca="1" si="147"/>
        <v>0</v>
      </c>
      <c r="P143" s="262" t="str">
        <f>IF('Etape 1'!J139=999,"",IF('Etape 1'!J139=9999,txt_Schritt1.Angaben.fehlen,VLOOKUP(N143,Matrix_1.2.3.Test.Punkte.ID.Beurteilung,4,1)))</f>
        <v/>
      </c>
      <c r="Q143" s="21">
        <f t="shared" ca="1" si="148"/>
        <v>0</v>
      </c>
      <c r="R143" s="136">
        <f t="shared" si="184"/>
        <v>132</v>
      </c>
      <c r="S143" s="136">
        <f t="shared" ca="1" si="181"/>
        <v>162.43853820598008</v>
      </c>
      <c r="T143" s="136">
        <f t="shared" ca="1" si="185"/>
        <v>750.43853820598008</v>
      </c>
      <c r="U143" s="136">
        <f t="shared" ca="1" si="186"/>
        <v>1224000.438538206</v>
      </c>
      <c r="V143" s="211">
        <f t="shared" ca="1" si="187"/>
        <v>235406.63058252539</v>
      </c>
      <c r="W143" s="136">
        <f t="shared" ca="1" si="182"/>
        <v>132</v>
      </c>
      <c r="X143" s="136">
        <f t="shared" ca="1" si="149"/>
        <v>162.999000999001</v>
      </c>
      <c r="Y143" s="21">
        <f t="shared" si="150"/>
        <v>1</v>
      </c>
      <c r="Z143" s="21" t="str">
        <f t="shared" si="151"/>
        <v>&lt;IE0</v>
      </c>
      <c r="AA143" s="21">
        <f t="shared" si="152"/>
        <v>1</v>
      </c>
      <c r="AB143" s="21" t="str">
        <f t="shared" si="153"/>
        <v>a - "&lt; 1990 (Eff3)"</v>
      </c>
      <c r="AC143" s="21">
        <f t="shared" si="154"/>
        <v>999999</v>
      </c>
      <c r="AD143" s="21" t="str">
        <f t="shared" si="155"/>
        <v/>
      </c>
      <c r="AE143" s="21" t="str">
        <f t="shared" si="156"/>
        <v/>
      </c>
      <c r="AF143" s="21" t="str">
        <f t="shared" si="157"/>
        <v/>
      </c>
      <c r="AG143" s="21">
        <f t="shared" si="158"/>
        <v>0</v>
      </c>
      <c r="AH143" s="21">
        <f>IF('Etape 1'!H139=St.Wert_Hacken,1,0)</f>
        <v>0</v>
      </c>
      <c r="AI143" s="21">
        <f t="shared" si="159"/>
        <v>0</v>
      </c>
      <c r="AJ143" s="21">
        <f t="shared" si="160"/>
        <v>1000999</v>
      </c>
      <c r="AK143" s="58">
        <f t="shared" si="161"/>
        <v>1100</v>
      </c>
      <c r="AL143" s="58">
        <f t="shared" si="162"/>
        <v>440</v>
      </c>
      <c r="AM143" s="21">
        <f t="shared" si="163"/>
        <v>0</v>
      </c>
      <c r="AN143" s="58">
        <f t="shared" si="164"/>
        <v>1</v>
      </c>
      <c r="AO143" s="58" t="str">
        <f t="shared" si="165"/>
        <v>114</v>
      </c>
      <c r="AP143" s="58" t="str">
        <f t="shared" si="166"/>
        <v>164</v>
      </c>
      <c r="AQ143" s="21" t="e">
        <f t="shared" si="167"/>
        <v>#NUM!</v>
      </c>
      <c r="AR143" s="21" t="e">
        <f t="shared" si="168"/>
        <v>#NUM!</v>
      </c>
      <c r="AS143" s="136" t="e">
        <f t="shared" si="188"/>
        <v>#NUM!</v>
      </c>
      <c r="AT143" s="59" t="e">
        <f t="shared" si="169"/>
        <v>#NUM!</v>
      </c>
      <c r="AU143" s="21" t="e">
        <f t="shared" si="170"/>
        <v>#NUM!</v>
      </c>
      <c r="AV143" s="58">
        <f t="shared" si="171"/>
        <v>1500</v>
      </c>
      <c r="AW143" s="58">
        <f t="shared" si="172"/>
        <v>600</v>
      </c>
      <c r="AX143" s="60">
        <f t="shared" si="173"/>
        <v>0.11</v>
      </c>
      <c r="AY143" s="212">
        <f t="shared" si="189"/>
        <v>0</v>
      </c>
      <c r="AZ143" s="59">
        <f t="shared" si="174"/>
        <v>0</v>
      </c>
      <c r="BA143" s="21" t="e">
        <f t="shared" si="175"/>
        <v>#DIV/0!</v>
      </c>
      <c r="BB143" s="58">
        <f t="shared" si="176"/>
        <v>2900</v>
      </c>
      <c r="BC143" s="58">
        <f t="shared" si="177"/>
        <v>1160</v>
      </c>
      <c r="BD143" s="60">
        <f t="shared" si="178"/>
        <v>0.15</v>
      </c>
      <c r="BE143" s="212" t="e">
        <f t="shared" si="190"/>
        <v>#NUM!</v>
      </c>
      <c r="BF143" s="59" t="e">
        <f t="shared" si="179"/>
        <v>#NUM!</v>
      </c>
      <c r="BG143" s="21" t="e">
        <f t="shared" si="180"/>
        <v>#NUM!</v>
      </c>
      <c r="BH143" s="55">
        <f t="shared" ca="1" si="183"/>
        <v>0</v>
      </c>
    </row>
    <row r="144" spans="1:60" x14ac:dyDescent="0.2">
      <c r="A144" s="61">
        <f ca="1">RANK(W144,W$12:W$311,0)+COUNTIF(W$12:W144,W144)-1</f>
        <v>168</v>
      </c>
      <c r="B144" s="55">
        <f>'Etape 1'!A140</f>
        <v>133</v>
      </c>
      <c r="C144" s="55">
        <f>'Etape 1'!B140</f>
        <v>0</v>
      </c>
      <c r="D144" s="55">
        <f>'Etape 1'!C140</f>
        <v>0</v>
      </c>
      <c r="E144" s="55">
        <f>'Etape 1'!D140</f>
        <v>0</v>
      </c>
      <c r="F144" s="55">
        <f>'Etape 1'!E140</f>
        <v>0</v>
      </c>
      <c r="G144" s="55">
        <f>'Etape 1'!F140</f>
        <v>0</v>
      </c>
      <c r="H144" s="55">
        <f>'Etape 1'!G140</f>
        <v>0</v>
      </c>
      <c r="I144" s="209">
        <v>1</v>
      </c>
      <c r="J144" s="58">
        <f t="shared" si="191"/>
        <v>0</v>
      </c>
      <c r="K144" s="21">
        <f t="shared" si="143"/>
        <v>0</v>
      </c>
      <c r="L144" s="21">
        <f t="shared" si="144"/>
        <v>0</v>
      </c>
      <c r="M144" s="21">
        <f t="shared" ca="1" si="145"/>
        <v>3</v>
      </c>
      <c r="N144" s="21">
        <f t="shared" ca="1" si="146"/>
        <v>3</v>
      </c>
      <c r="O144" s="21">
        <f t="shared" ca="1" si="147"/>
        <v>0</v>
      </c>
      <c r="P144" s="262" t="str">
        <f>IF('Etape 1'!J140=999,"",IF('Etape 1'!J140=9999,txt_Schritt1.Angaben.fehlen,VLOOKUP(N144,Matrix_1.2.3.Test.Punkte.ID.Beurteilung,4,1)))</f>
        <v/>
      </c>
      <c r="Q144" s="21">
        <f t="shared" ca="1" si="148"/>
        <v>0</v>
      </c>
      <c r="R144" s="136">
        <f t="shared" si="184"/>
        <v>133</v>
      </c>
      <c r="S144" s="136">
        <f t="shared" ca="1" si="181"/>
        <v>162.44186046511629</v>
      </c>
      <c r="T144" s="136">
        <f t="shared" ca="1" si="185"/>
        <v>750.44186046511629</v>
      </c>
      <c r="U144" s="136">
        <f t="shared" ca="1" si="186"/>
        <v>1224000.4418604651</v>
      </c>
      <c r="V144" s="211">
        <f t="shared" ca="1" si="187"/>
        <v>235406.63390478454</v>
      </c>
      <c r="W144" s="136">
        <f t="shared" ca="1" si="182"/>
        <v>133</v>
      </c>
      <c r="X144" s="136">
        <f t="shared" ca="1" si="149"/>
        <v>162.999000999001</v>
      </c>
      <c r="Y144" s="21">
        <f t="shared" si="150"/>
        <v>1</v>
      </c>
      <c r="Z144" s="21" t="str">
        <f t="shared" si="151"/>
        <v>&lt;IE0</v>
      </c>
      <c r="AA144" s="21">
        <f t="shared" si="152"/>
        <v>1</v>
      </c>
      <c r="AB144" s="21" t="str">
        <f t="shared" si="153"/>
        <v>a - "&lt; 1990 (Eff3)"</v>
      </c>
      <c r="AC144" s="21">
        <f t="shared" si="154"/>
        <v>999999</v>
      </c>
      <c r="AD144" s="21" t="str">
        <f t="shared" si="155"/>
        <v/>
      </c>
      <c r="AE144" s="21" t="str">
        <f t="shared" si="156"/>
        <v/>
      </c>
      <c r="AF144" s="21" t="str">
        <f t="shared" si="157"/>
        <v/>
      </c>
      <c r="AG144" s="21">
        <f t="shared" si="158"/>
        <v>0</v>
      </c>
      <c r="AH144" s="21">
        <f>IF('Etape 1'!H140=St.Wert_Hacken,1,0)</f>
        <v>0</v>
      </c>
      <c r="AI144" s="21">
        <f t="shared" si="159"/>
        <v>0</v>
      </c>
      <c r="AJ144" s="21">
        <f t="shared" si="160"/>
        <v>1000999</v>
      </c>
      <c r="AK144" s="58">
        <f t="shared" si="161"/>
        <v>1100</v>
      </c>
      <c r="AL144" s="58">
        <f t="shared" si="162"/>
        <v>440</v>
      </c>
      <c r="AM144" s="21">
        <f t="shared" si="163"/>
        <v>0</v>
      </c>
      <c r="AN144" s="58">
        <f t="shared" si="164"/>
        <v>1</v>
      </c>
      <c r="AO144" s="58" t="str">
        <f t="shared" si="165"/>
        <v>114</v>
      </c>
      <c r="AP144" s="58" t="str">
        <f t="shared" si="166"/>
        <v>164</v>
      </c>
      <c r="AQ144" s="21" t="e">
        <f t="shared" si="167"/>
        <v>#NUM!</v>
      </c>
      <c r="AR144" s="21" t="e">
        <f t="shared" si="168"/>
        <v>#NUM!</v>
      </c>
      <c r="AS144" s="136" t="e">
        <f t="shared" si="188"/>
        <v>#NUM!</v>
      </c>
      <c r="AT144" s="59" t="e">
        <f t="shared" si="169"/>
        <v>#NUM!</v>
      </c>
      <c r="AU144" s="21" t="e">
        <f t="shared" si="170"/>
        <v>#NUM!</v>
      </c>
      <c r="AV144" s="58">
        <f t="shared" si="171"/>
        <v>1500</v>
      </c>
      <c r="AW144" s="58">
        <f t="shared" si="172"/>
        <v>600</v>
      </c>
      <c r="AX144" s="60">
        <f t="shared" si="173"/>
        <v>0.11</v>
      </c>
      <c r="AY144" s="212">
        <f t="shared" si="189"/>
        <v>0</v>
      </c>
      <c r="AZ144" s="59">
        <f t="shared" si="174"/>
        <v>0</v>
      </c>
      <c r="BA144" s="21" t="e">
        <f t="shared" si="175"/>
        <v>#DIV/0!</v>
      </c>
      <c r="BB144" s="58">
        <f t="shared" si="176"/>
        <v>2900</v>
      </c>
      <c r="BC144" s="58">
        <f t="shared" si="177"/>
        <v>1160</v>
      </c>
      <c r="BD144" s="60">
        <f t="shared" si="178"/>
        <v>0.15</v>
      </c>
      <c r="BE144" s="212" t="e">
        <f t="shared" si="190"/>
        <v>#NUM!</v>
      </c>
      <c r="BF144" s="59" t="e">
        <f t="shared" si="179"/>
        <v>#NUM!</v>
      </c>
      <c r="BG144" s="21" t="e">
        <f t="shared" si="180"/>
        <v>#NUM!</v>
      </c>
      <c r="BH144" s="55">
        <f t="shared" ca="1" si="183"/>
        <v>0</v>
      </c>
    </row>
    <row r="145" spans="1:60" x14ac:dyDescent="0.2">
      <c r="A145" s="61">
        <f ca="1">RANK(W145,W$12:W$311,0)+COUNTIF(W$12:W145,W145)-1</f>
        <v>167</v>
      </c>
      <c r="B145" s="55">
        <f>'Etape 1'!A141</f>
        <v>134</v>
      </c>
      <c r="C145" s="55">
        <f>'Etape 1'!B141</f>
        <v>0</v>
      </c>
      <c r="D145" s="55">
        <f>'Etape 1'!C141</f>
        <v>0</v>
      </c>
      <c r="E145" s="55">
        <f>'Etape 1'!D141</f>
        <v>0</v>
      </c>
      <c r="F145" s="55">
        <f>'Etape 1'!E141</f>
        <v>0</v>
      </c>
      <c r="G145" s="55">
        <f>'Etape 1'!F141</f>
        <v>0</v>
      </c>
      <c r="H145" s="55">
        <f>'Etape 1'!G141</f>
        <v>0</v>
      </c>
      <c r="I145" s="209">
        <v>1</v>
      </c>
      <c r="J145" s="58">
        <f t="shared" si="191"/>
        <v>0</v>
      </c>
      <c r="K145" s="21">
        <f t="shared" si="143"/>
        <v>0</v>
      </c>
      <c r="L145" s="21">
        <f t="shared" si="144"/>
        <v>0</v>
      </c>
      <c r="M145" s="21">
        <f t="shared" ca="1" si="145"/>
        <v>3</v>
      </c>
      <c r="N145" s="21">
        <f t="shared" ca="1" si="146"/>
        <v>3</v>
      </c>
      <c r="O145" s="21">
        <f t="shared" ca="1" si="147"/>
        <v>0</v>
      </c>
      <c r="P145" s="262" t="str">
        <f>IF('Etape 1'!J141=999,"",IF('Etape 1'!J141=9999,txt_Schritt1.Angaben.fehlen,VLOOKUP(N145,Matrix_1.2.3.Test.Punkte.ID.Beurteilung,4,1)))</f>
        <v/>
      </c>
      <c r="Q145" s="21">
        <f t="shared" ca="1" si="148"/>
        <v>0</v>
      </c>
      <c r="R145" s="136">
        <f t="shared" si="184"/>
        <v>134</v>
      </c>
      <c r="S145" s="136">
        <f t="shared" ca="1" si="181"/>
        <v>162.4451827242525</v>
      </c>
      <c r="T145" s="136">
        <f t="shared" ca="1" si="185"/>
        <v>750.4451827242525</v>
      </c>
      <c r="U145" s="136">
        <f t="shared" ca="1" si="186"/>
        <v>1224000.4451827242</v>
      </c>
      <c r="V145" s="211">
        <f t="shared" ca="1" si="187"/>
        <v>235406.63722704366</v>
      </c>
      <c r="W145" s="136">
        <f t="shared" ca="1" si="182"/>
        <v>134</v>
      </c>
      <c r="X145" s="136">
        <f t="shared" ca="1" si="149"/>
        <v>162.999000999001</v>
      </c>
      <c r="Y145" s="21">
        <f t="shared" si="150"/>
        <v>1</v>
      </c>
      <c r="Z145" s="21" t="str">
        <f t="shared" si="151"/>
        <v>&lt;IE0</v>
      </c>
      <c r="AA145" s="21">
        <f t="shared" si="152"/>
        <v>1</v>
      </c>
      <c r="AB145" s="21" t="str">
        <f t="shared" si="153"/>
        <v>a - "&lt; 1990 (Eff3)"</v>
      </c>
      <c r="AC145" s="21">
        <f t="shared" si="154"/>
        <v>999999</v>
      </c>
      <c r="AD145" s="21" t="str">
        <f t="shared" si="155"/>
        <v/>
      </c>
      <c r="AE145" s="21" t="str">
        <f t="shared" si="156"/>
        <v/>
      </c>
      <c r="AF145" s="21" t="str">
        <f t="shared" si="157"/>
        <v/>
      </c>
      <c r="AG145" s="21">
        <f t="shared" si="158"/>
        <v>0</v>
      </c>
      <c r="AH145" s="21">
        <f>IF('Etape 1'!H141=St.Wert_Hacken,1,0)</f>
        <v>0</v>
      </c>
      <c r="AI145" s="21">
        <f t="shared" si="159"/>
        <v>0</v>
      </c>
      <c r="AJ145" s="21">
        <f t="shared" si="160"/>
        <v>1000999</v>
      </c>
      <c r="AK145" s="58">
        <f t="shared" si="161"/>
        <v>1100</v>
      </c>
      <c r="AL145" s="58">
        <f t="shared" si="162"/>
        <v>440</v>
      </c>
      <c r="AM145" s="21">
        <f t="shared" si="163"/>
        <v>0</v>
      </c>
      <c r="AN145" s="58">
        <f t="shared" si="164"/>
        <v>1</v>
      </c>
      <c r="AO145" s="58" t="str">
        <f t="shared" si="165"/>
        <v>114</v>
      </c>
      <c r="AP145" s="58" t="str">
        <f t="shared" si="166"/>
        <v>164</v>
      </c>
      <c r="AQ145" s="21" t="e">
        <f t="shared" si="167"/>
        <v>#NUM!</v>
      </c>
      <c r="AR145" s="21" t="e">
        <f t="shared" si="168"/>
        <v>#NUM!</v>
      </c>
      <c r="AS145" s="136" t="e">
        <f t="shared" si="188"/>
        <v>#NUM!</v>
      </c>
      <c r="AT145" s="59" t="e">
        <f t="shared" si="169"/>
        <v>#NUM!</v>
      </c>
      <c r="AU145" s="21" t="e">
        <f t="shared" si="170"/>
        <v>#NUM!</v>
      </c>
      <c r="AV145" s="58">
        <f t="shared" si="171"/>
        <v>1500</v>
      </c>
      <c r="AW145" s="58">
        <f t="shared" si="172"/>
        <v>600</v>
      </c>
      <c r="AX145" s="60">
        <f t="shared" si="173"/>
        <v>0.11</v>
      </c>
      <c r="AY145" s="212">
        <f t="shared" si="189"/>
        <v>0</v>
      </c>
      <c r="AZ145" s="59">
        <f t="shared" si="174"/>
        <v>0</v>
      </c>
      <c r="BA145" s="21" t="e">
        <f t="shared" si="175"/>
        <v>#DIV/0!</v>
      </c>
      <c r="BB145" s="58">
        <f t="shared" si="176"/>
        <v>2900</v>
      </c>
      <c r="BC145" s="58">
        <f t="shared" si="177"/>
        <v>1160</v>
      </c>
      <c r="BD145" s="60">
        <f t="shared" si="178"/>
        <v>0.15</v>
      </c>
      <c r="BE145" s="212" t="e">
        <f t="shared" si="190"/>
        <v>#NUM!</v>
      </c>
      <c r="BF145" s="59" t="e">
        <f t="shared" si="179"/>
        <v>#NUM!</v>
      </c>
      <c r="BG145" s="21" t="e">
        <f t="shared" si="180"/>
        <v>#NUM!</v>
      </c>
      <c r="BH145" s="55">
        <f t="shared" ca="1" si="183"/>
        <v>0</v>
      </c>
    </row>
    <row r="146" spans="1:60" x14ac:dyDescent="0.2">
      <c r="A146" s="61">
        <f ca="1">RANK(W146,W$12:W$311,0)+COUNTIF(W$12:W146,W146)-1</f>
        <v>166</v>
      </c>
      <c r="B146" s="55">
        <f>'Etape 1'!A142</f>
        <v>135</v>
      </c>
      <c r="C146" s="55">
        <f>'Etape 1'!B142</f>
        <v>0</v>
      </c>
      <c r="D146" s="55">
        <f>'Etape 1'!C142</f>
        <v>0</v>
      </c>
      <c r="E146" s="55">
        <f>'Etape 1'!D142</f>
        <v>0</v>
      </c>
      <c r="F146" s="55">
        <f>'Etape 1'!E142</f>
        <v>0</v>
      </c>
      <c r="G146" s="55">
        <f>'Etape 1'!F142</f>
        <v>0</v>
      </c>
      <c r="H146" s="55">
        <f>'Etape 1'!G142</f>
        <v>0</v>
      </c>
      <c r="I146" s="209">
        <v>1</v>
      </c>
      <c r="J146" s="58">
        <f t="shared" si="191"/>
        <v>0</v>
      </c>
      <c r="K146" s="21">
        <f t="shared" si="143"/>
        <v>0</v>
      </c>
      <c r="L146" s="21">
        <f t="shared" si="144"/>
        <v>0</v>
      </c>
      <c r="M146" s="21">
        <f t="shared" ca="1" si="145"/>
        <v>3</v>
      </c>
      <c r="N146" s="21">
        <f t="shared" ca="1" si="146"/>
        <v>3</v>
      </c>
      <c r="O146" s="21">
        <f t="shared" ca="1" si="147"/>
        <v>0</v>
      </c>
      <c r="P146" s="262" t="str">
        <f>IF('Etape 1'!J142=999,"",IF('Etape 1'!J142=9999,txt_Schritt1.Angaben.fehlen,VLOOKUP(N146,Matrix_1.2.3.Test.Punkte.ID.Beurteilung,4,1)))</f>
        <v/>
      </c>
      <c r="Q146" s="21">
        <f t="shared" ca="1" si="148"/>
        <v>0</v>
      </c>
      <c r="R146" s="136">
        <f t="shared" si="184"/>
        <v>135</v>
      </c>
      <c r="S146" s="136">
        <f t="shared" ca="1" si="181"/>
        <v>162.44850498338872</v>
      </c>
      <c r="T146" s="136">
        <f t="shared" ca="1" si="185"/>
        <v>750.44850498338872</v>
      </c>
      <c r="U146" s="136">
        <f t="shared" ca="1" si="186"/>
        <v>1224000.4485049834</v>
      </c>
      <c r="V146" s="211">
        <f t="shared" ca="1" si="187"/>
        <v>235406.6405493028</v>
      </c>
      <c r="W146" s="136">
        <f t="shared" ca="1" si="182"/>
        <v>135</v>
      </c>
      <c r="X146" s="136">
        <f t="shared" ca="1" si="149"/>
        <v>162.999000999001</v>
      </c>
      <c r="Y146" s="21">
        <f t="shared" si="150"/>
        <v>1</v>
      </c>
      <c r="Z146" s="21" t="str">
        <f t="shared" si="151"/>
        <v>&lt;IE0</v>
      </c>
      <c r="AA146" s="21">
        <f t="shared" si="152"/>
        <v>1</v>
      </c>
      <c r="AB146" s="21" t="str">
        <f t="shared" si="153"/>
        <v>a - "&lt; 1990 (Eff3)"</v>
      </c>
      <c r="AC146" s="21">
        <f t="shared" si="154"/>
        <v>999999</v>
      </c>
      <c r="AD146" s="21" t="str">
        <f t="shared" si="155"/>
        <v/>
      </c>
      <c r="AE146" s="21" t="str">
        <f t="shared" si="156"/>
        <v/>
      </c>
      <c r="AF146" s="21" t="str">
        <f t="shared" si="157"/>
        <v/>
      </c>
      <c r="AG146" s="21">
        <f t="shared" si="158"/>
        <v>0</v>
      </c>
      <c r="AH146" s="21">
        <f>IF('Etape 1'!H142=St.Wert_Hacken,1,0)</f>
        <v>0</v>
      </c>
      <c r="AI146" s="21">
        <f t="shared" si="159"/>
        <v>0</v>
      </c>
      <c r="AJ146" s="21">
        <f t="shared" si="160"/>
        <v>1000999</v>
      </c>
      <c r="AK146" s="58">
        <f t="shared" si="161"/>
        <v>1100</v>
      </c>
      <c r="AL146" s="58">
        <f t="shared" si="162"/>
        <v>440</v>
      </c>
      <c r="AM146" s="21">
        <f t="shared" si="163"/>
        <v>0</v>
      </c>
      <c r="AN146" s="58">
        <f t="shared" si="164"/>
        <v>1</v>
      </c>
      <c r="AO146" s="58" t="str">
        <f t="shared" si="165"/>
        <v>114</v>
      </c>
      <c r="AP146" s="58" t="str">
        <f t="shared" si="166"/>
        <v>164</v>
      </c>
      <c r="AQ146" s="21" t="e">
        <f t="shared" si="167"/>
        <v>#NUM!</v>
      </c>
      <c r="AR146" s="21" t="e">
        <f t="shared" si="168"/>
        <v>#NUM!</v>
      </c>
      <c r="AS146" s="136" t="e">
        <f t="shared" si="188"/>
        <v>#NUM!</v>
      </c>
      <c r="AT146" s="59" t="e">
        <f t="shared" si="169"/>
        <v>#NUM!</v>
      </c>
      <c r="AU146" s="21" t="e">
        <f t="shared" si="170"/>
        <v>#NUM!</v>
      </c>
      <c r="AV146" s="58">
        <f t="shared" si="171"/>
        <v>1500</v>
      </c>
      <c r="AW146" s="58">
        <f t="shared" si="172"/>
        <v>600</v>
      </c>
      <c r="AX146" s="60">
        <f t="shared" si="173"/>
        <v>0.11</v>
      </c>
      <c r="AY146" s="212">
        <f t="shared" si="189"/>
        <v>0</v>
      </c>
      <c r="AZ146" s="59">
        <f t="shared" si="174"/>
        <v>0</v>
      </c>
      <c r="BA146" s="21" t="e">
        <f t="shared" si="175"/>
        <v>#DIV/0!</v>
      </c>
      <c r="BB146" s="58">
        <f t="shared" si="176"/>
        <v>2900</v>
      </c>
      <c r="BC146" s="58">
        <f t="shared" si="177"/>
        <v>1160</v>
      </c>
      <c r="BD146" s="60">
        <f t="shared" si="178"/>
        <v>0.15</v>
      </c>
      <c r="BE146" s="212" t="e">
        <f t="shared" si="190"/>
        <v>#NUM!</v>
      </c>
      <c r="BF146" s="59" t="e">
        <f t="shared" si="179"/>
        <v>#NUM!</v>
      </c>
      <c r="BG146" s="21" t="e">
        <f t="shared" si="180"/>
        <v>#NUM!</v>
      </c>
      <c r="BH146" s="55">
        <f t="shared" ca="1" si="183"/>
        <v>0</v>
      </c>
    </row>
    <row r="147" spans="1:60" x14ac:dyDescent="0.2">
      <c r="A147" s="61">
        <f ca="1">RANK(W147,W$12:W$311,0)+COUNTIF(W$12:W147,W147)-1</f>
        <v>165</v>
      </c>
      <c r="B147" s="55">
        <f>'Etape 1'!A143</f>
        <v>136</v>
      </c>
      <c r="C147" s="55">
        <f>'Etape 1'!B143</f>
        <v>0</v>
      </c>
      <c r="D147" s="55">
        <f>'Etape 1'!C143</f>
        <v>0</v>
      </c>
      <c r="E147" s="55">
        <f>'Etape 1'!D143</f>
        <v>0</v>
      </c>
      <c r="F147" s="55">
        <f>'Etape 1'!E143</f>
        <v>0</v>
      </c>
      <c r="G147" s="55">
        <f>'Etape 1'!F143</f>
        <v>0</v>
      </c>
      <c r="H147" s="55">
        <f>'Etape 1'!G143</f>
        <v>0</v>
      </c>
      <c r="I147" s="209">
        <v>1</v>
      </c>
      <c r="J147" s="58">
        <f t="shared" si="191"/>
        <v>0</v>
      </c>
      <c r="K147" s="21">
        <f t="shared" si="143"/>
        <v>0</v>
      </c>
      <c r="L147" s="21">
        <f t="shared" si="144"/>
        <v>0</v>
      </c>
      <c r="M147" s="21">
        <f t="shared" ca="1" si="145"/>
        <v>3</v>
      </c>
      <c r="N147" s="21">
        <f t="shared" ca="1" si="146"/>
        <v>3</v>
      </c>
      <c r="O147" s="21">
        <f t="shared" ca="1" si="147"/>
        <v>0</v>
      </c>
      <c r="P147" s="262" t="str">
        <f>IF('Etape 1'!J143=999,"",IF('Etape 1'!J143=9999,txt_Schritt1.Angaben.fehlen,VLOOKUP(N147,Matrix_1.2.3.Test.Punkte.ID.Beurteilung,4,1)))</f>
        <v/>
      </c>
      <c r="Q147" s="21">
        <f t="shared" ca="1" si="148"/>
        <v>0</v>
      </c>
      <c r="R147" s="136">
        <f t="shared" si="184"/>
        <v>136</v>
      </c>
      <c r="S147" s="136">
        <f t="shared" ca="1" si="181"/>
        <v>162.45182724252493</v>
      </c>
      <c r="T147" s="136">
        <f t="shared" ca="1" si="185"/>
        <v>750.45182724252493</v>
      </c>
      <c r="U147" s="136">
        <f t="shared" ca="1" si="186"/>
        <v>1224000.4518272425</v>
      </c>
      <c r="V147" s="211">
        <f t="shared" ca="1" si="187"/>
        <v>235406.64387156194</v>
      </c>
      <c r="W147" s="136">
        <f t="shared" ca="1" si="182"/>
        <v>136</v>
      </c>
      <c r="X147" s="136">
        <f t="shared" ca="1" si="149"/>
        <v>162.999000999001</v>
      </c>
      <c r="Y147" s="21">
        <f t="shared" si="150"/>
        <v>1</v>
      </c>
      <c r="Z147" s="21" t="str">
        <f t="shared" si="151"/>
        <v>&lt;IE0</v>
      </c>
      <c r="AA147" s="21">
        <f t="shared" si="152"/>
        <v>1</v>
      </c>
      <c r="AB147" s="21" t="str">
        <f t="shared" si="153"/>
        <v>a - "&lt; 1990 (Eff3)"</v>
      </c>
      <c r="AC147" s="21">
        <f t="shared" si="154"/>
        <v>999999</v>
      </c>
      <c r="AD147" s="21" t="str">
        <f t="shared" si="155"/>
        <v/>
      </c>
      <c r="AE147" s="21" t="str">
        <f t="shared" si="156"/>
        <v/>
      </c>
      <c r="AF147" s="21" t="str">
        <f t="shared" si="157"/>
        <v/>
      </c>
      <c r="AG147" s="21">
        <f t="shared" si="158"/>
        <v>0</v>
      </c>
      <c r="AH147" s="21">
        <f>IF('Etape 1'!H143=St.Wert_Hacken,1,0)</f>
        <v>0</v>
      </c>
      <c r="AI147" s="21">
        <f t="shared" si="159"/>
        <v>0</v>
      </c>
      <c r="AJ147" s="21">
        <f t="shared" si="160"/>
        <v>1000999</v>
      </c>
      <c r="AK147" s="58">
        <f t="shared" si="161"/>
        <v>1100</v>
      </c>
      <c r="AL147" s="58">
        <f t="shared" si="162"/>
        <v>440</v>
      </c>
      <c r="AM147" s="21">
        <f t="shared" si="163"/>
        <v>0</v>
      </c>
      <c r="AN147" s="58">
        <f t="shared" si="164"/>
        <v>1</v>
      </c>
      <c r="AO147" s="58" t="str">
        <f t="shared" si="165"/>
        <v>114</v>
      </c>
      <c r="AP147" s="58" t="str">
        <f t="shared" si="166"/>
        <v>164</v>
      </c>
      <c r="AQ147" s="21" t="e">
        <f t="shared" si="167"/>
        <v>#NUM!</v>
      </c>
      <c r="AR147" s="21" t="e">
        <f t="shared" si="168"/>
        <v>#NUM!</v>
      </c>
      <c r="AS147" s="136" t="e">
        <f t="shared" si="188"/>
        <v>#NUM!</v>
      </c>
      <c r="AT147" s="59" t="e">
        <f t="shared" si="169"/>
        <v>#NUM!</v>
      </c>
      <c r="AU147" s="21" t="e">
        <f t="shared" si="170"/>
        <v>#NUM!</v>
      </c>
      <c r="AV147" s="58">
        <f t="shared" si="171"/>
        <v>1500</v>
      </c>
      <c r="AW147" s="58">
        <f t="shared" si="172"/>
        <v>600</v>
      </c>
      <c r="AX147" s="60">
        <f t="shared" si="173"/>
        <v>0.11</v>
      </c>
      <c r="AY147" s="212">
        <f t="shared" si="189"/>
        <v>0</v>
      </c>
      <c r="AZ147" s="59">
        <f t="shared" si="174"/>
        <v>0</v>
      </c>
      <c r="BA147" s="21" t="e">
        <f t="shared" si="175"/>
        <v>#DIV/0!</v>
      </c>
      <c r="BB147" s="58">
        <f t="shared" si="176"/>
        <v>2900</v>
      </c>
      <c r="BC147" s="58">
        <f t="shared" si="177"/>
        <v>1160</v>
      </c>
      <c r="BD147" s="60">
        <f t="shared" si="178"/>
        <v>0.15</v>
      </c>
      <c r="BE147" s="212" t="e">
        <f t="shared" si="190"/>
        <v>#NUM!</v>
      </c>
      <c r="BF147" s="59" t="e">
        <f t="shared" si="179"/>
        <v>#NUM!</v>
      </c>
      <c r="BG147" s="21" t="e">
        <f t="shared" si="180"/>
        <v>#NUM!</v>
      </c>
      <c r="BH147" s="55">
        <f t="shared" ca="1" si="183"/>
        <v>0</v>
      </c>
    </row>
    <row r="148" spans="1:60" x14ac:dyDescent="0.2">
      <c r="A148" s="61">
        <f ca="1">RANK(W148,W$12:W$311,0)+COUNTIF(W$12:W148,W148)-1</f>
        <v>164</v>
      </c>
      <c r="B148" s="55">
        <f>'Etape 1'!A144</f>
        <v>137</v>
      </c>
      <c r="C148" s="55">
        <f>'Etape 1'!B144</f>
        <v>0</v>
      </c>
      <c r="D148" s="55">
        <f>'Etape 1'!C144</f>
        <v>0</v>
      </c>
      <c r="E148" s="55">
        <f>'Etape 1'!D144</f>
        <v>0</v>
      </c>
      <c r="F148" s="55">
        <f>'Etape 1'!E144</f>
        <v>0</v>
      </c>
      <c r="G148" s="55">
        <f>'Etape 1'!F144</f>
        <v>0</v>
      </c>
      <c r="H148" s="55">
        <f>'Etape 1'!G144</f>
        <v>0</v>
      </c>
      <c r="I148" s="209">
        <v>1</v>
      </c>
      <c r="J148" s="58">
        <f t="shared" si="191"/>
        <v>0</v>
      </c>
      <c r="K148" s="21">
        <f t="shared" si="143"/>
        <v>0</v>
      </c>
      <c r="L148" s="21">
        <f t="shared" si="144"/>
        <v>0</v>
      </c>
      <c r="M148" s="21">
        <f t="shared" ca="1" si="145"/>
        <v>3</v>
      </c>
      <c r="N148" s="21">
        <f t="shared" ca="1" si="146"/>
        <v>3</v>
      </c>
      <c r="O148" s="21">
        <f t="shared" ca="1" si="147"/>
        <v>0</v>
      </c>
      <c r="P148" s="262" t="str">
        <f>IF('Etape 1'!J144=999,"",IF('Etape 1'!J144=9999,txt_Schritt1.Angaben.fehlen,VLOOKUP(N148,Matrix_1.2.3.Test.Punkte.ID.Beurteilung,4,1)))</f>
        <v/>
      </c>
      <c r="Q148" s="21">
        <f t="shared" ca="1" si="148"/>
        <v>0</v>
      </c>
      <c r="R148" s="136">
        <f t="shared" si="184"/>
        <v>137</v>
      </c>
      <c r="S148" s="136">
        <f t="shared" ca="1" si="181"/>
        <v>162.45514950166114</v>
      </c>
      <c r="T148" s="136">
        <f t="shared" ca="1" si="185"/>
        <v>750.45514950166114</v>
      </c>
      <c r="U148" s="136">
        <f t="shared" ca="1" si="186"/>
        <v>1224000.4551495016</v>
      </c>
      <c r="V148" s="211">
        <f t="shared" ca="1" si="187"/>
        <v>235406.64719382106</v>
      </c>
      <c r="W148" s="136">
        <f t="shared" ca="1" si="182"/>
        <v>137</v>
      </c>
      <c r="X148" s="136">
        <f t="shared" ca="1" si="149"/>
        <v>162.999000999001</v>
      </c>
      <c r="Y148" s="21">
        <f t="shared" si="150"/>
        <v>1</v>
      </c>
      <c r="Z148" s="21" t="str">
        <f t="shared" si="151"/>
        <v>&lt;IE0</v>
      </c>
      <c r="AA148" s="21">
        <f t="shared" si="152"/>
        <v>1</v>
      </c>
      <c r="AB148" s="21" t="str">
        <f t="shared" si="153"/>
        <v>a - "&lt; 1990 (Eff3)"</v>
      </c>
      <c r="AC148" s="21">
        <f t="shared" si="154"/>
        <v>999999</v>
      </c>
      <c r="AD148" s="21" t="str">
        <f t="shared" si="155"/>
        <v/>
      </c>
      <c r="AE148" s="21" t="str">
        <f t="shared" si="156"/>
        <v/>
      </c>
      <c r="AF148" s="21" t="str">
        <f t="shared" si="157"/>
        <v/>
      </c>
      <c r="AG148" s="21">
        <f t="shared" si="158"/>
        <v>0</v>
      </c>
      <c r="AH148" s="21">
        <f>IF('Etape 1'!H144=St.Wert_Hacken,1,0)</f>
        <v>0</v>
      </c>
      <c r="AI148" s="21">
        <f t="shared" si="159"/>
        <v>0</v>
      </c>
      <c r="AJ148" s="21">
        <f t="shared" si="160"/>
        <v>1000999</v>
      </c>
      <c r="AK148" s="58">
        <f t="shared" si="161"/>
        <v>1100</v>
      </c>
      <c r="AL148" s="58">
        <f t="shared" si="162"/>
        <v>440</v>
      </c>
      <c r="AM148" s="21">
        <f t="shared" si="163"/>
        <v>0</v>
      </c>
      <c r="AN148" s="58">
        <f t="shared" si="164"/>
        <v>1</v>
      </c>
      <c r="AO148" s="58" t="str">
        <f t="shared" si="165"/>
        <v>114</v>
      </c>
      <c r="AP148" s="58" t="str">
        <f t="shared" si="166"/>
        <v>164</v>
      </c>
      <c r="AQ148" s="21" t="e">
        <f t="shared" si="167"/>
        <v>#NUM!</v>
      </c>
      <c r="AR148" s="21" t="e">
        <f t="shared" si="168"/>
        <v>#NUM!</v>
      </c>
      <c r="AS148" s="136" t="e">
        <f t="shared" si="188"/>
        <v>#NUM!</v>
      </c>
      <c r="AT148" s="59" t="e">
        <f t="shared" si="169"/>
        <v>#NUM!</v>
      </c>
      <c r="AU148" s="21" t="e">
        <f t="shared" si="170"/>
        <v>#NUM!</v>
      </c>
      <c r="AV148" s="58">
        <f t="shared" si="171"/>
        <v>1500</v>
      </c>
      <c r="AW148" s="58">
        <f t="shared" si="172"/>
        <v>600</v>
      </c>
      <c r="AX148" s="60">
        <f t="shared" si="173"/>
        <v>0.11</v>
      </c>
      <c r="AY148" s="212">
        <f t="shared" si="189"/>
        <v>0</v>
      </c>
      <c r="AZ148" s="59">
        <f t="shared" si="174"/>
        <v>0</v>
      </c>
      <c r="BA148" s="21" t="e">
        <f t="shared" si="175"/>
        <v>#DIV/0!</v>
      </c>
      <c r="BB148" s="58">
        <f t="shared" si="176"/>
        <v>2900</v>
      </c>
      <c r="BC148" s="58">
        <f t="shared" si="177"/>
        <v>1160</v>
      </c>
      <c r="BD148" s="60">
        <f t="shared" si="178"/>
        <v>0.15</v>
      </c>
      <c r="BE148" s="212" t="e">
        <f t="shared" si="190"/>
        <v>#NUM!</v>
      </c>
      <c r="BF148" s="59" t="e">
        <f t="shared" si="179"/>
        <v>#NUM!</v>
      </c>
      <c r="BG148" s="21" t="e">
        <f t="shared" si="180"/>
        <v>#NUM!</v>
      </c>
      <c r="BH148" s="55">
        <f t="shared" ca="1" si="183"/>
        <v>0</v>
      </c>
    </row>
    <row r="149" spans="1:60" x14ac:dyDescent="0.2">
      <c r="A149" s="61">
        <f ca="1">RANK(W149,W$12:W$311,0)+COUNTIF(W$12:W149,W149)-1</f>
        <v>163</v>
      </c>
      <c r="B149" s="55">
        <f>'Etape 1'!A145</f>
        <v>138</v>
      </c>
      <c r="C149" s="55">
        <f>'Etape 1'!B145</f>
        <v>0</v>
      </c>
      <c r="D149" s="55">
        <f>'Etape 1'!C145</f>
        <v>0</v>
      </c>
      <c r="E149" s="55">
        <f>'Etape 1'!D145</f>
        <v>0</v>
      </c>
      <c r="F149" s="55">
        <f>'Etape 1'!E145</f>
        <v>0</v>
      </c>
      <c r="G149" s="55">
        <f>'Etape 1'!F145</f>
        <v>0</v>
      </c>
      <c r="H149" s="55">
        <f>'Etape 1'!G145</f>
        <v>0</v>
      </c>
      <c r="I149" s="209">
        <v>1</v>
      </c>
      <c r="J149" s="58">
        <f t="shared" si="191"/>
        <v>0</v>
      </c>
      <c r="K149" s="21">
        <f t="shared" si="143"/>
        <v>0</v>
      </c>
      <c r="L149" s="21">
        <f t="shared" si="144"/>
        <v>0</v>
      </c>
      <c r="M149" s="21">
        <f t="shared" ca="1" si="145"/>
        <v>3</v>
      </c>
      <c r="N149" s="21">
        <f t="shared" ca="1" si="146"/>
        <v>3</v>
      </c>
      <c r="O149" s="21">
        <f t="shared" ca="1" si="147"/>
        <v>0</v>
      </c>
      <c r="P149" s="262" t="str">
        <f>IF('Etape 1'!J145=999,"",IF('Etape 1'!J145=9999,txt_Schritt1.Angaben.fehlen,VLOOKUP(N149,Matrix_1.2.3.Test.Punkte.ID.Beurteilung,4,1)))</f>
        <v/>
      </c>
      <c r="Q149" s="21">
        <f t="shared" ca="1" si="148"/>
        <v>0</v>
      </c>
      <c r="R149" s="136">
        <f t="shared" si="184"/>
        <v>138</v>
      </c>
      <c r="S149" s="136">
        <f t="shared" ca="1" si="181"/>
        <v>162.45847176079735</v>
      </c>
      <c r="T149" s="136">
        <f t="shared" ca="1" si="185"/>
        <v>750.45847176079735</v>
      </c>
      <c r="U149" s="136">
        <f t="shared" ca="1" si="186"/>
        <v>1224000.4584717609</v>
      </c>
      <c r="V149" s="211">
        <f t="shared" ca="1" si="187"/>
        <v>235406.6505160802</v>
      </c>
      <c r="W149" s="136">
        <f t="shared" ca="1" si="182"/>
        <v>138</v>
      </c>
      <c r="X149" s="136">
        <f t="shared" ca="1" si="149"/>
        <v>162.999000999001</v>
      </c>
      <c r="Y149" s="21">
        <f t="shared" si="150"/>
        <v>1</v>
      </c>
      <c r="Z149" s="21" t="str">
        <f t="shared" si="151"/>
        <v>&lt;IE0</v>
      </c>
      <c r="AA149" s="21">
        <f t="shared" si="152"/>
        <v>1</v>
      </c>
      <c r="AB149" s="21" t="str">
        <f t="shared" si="153"/>
        <v>a - "&lt; 1990 (Eff3)"</v>
      </c>
      <c r="AC149" s="21">
        <f t="shared" si="154"/>
        <v>999999</v>
      </c>
      <c r="AD149" s="21" t="str">
        <f t="shared" si="155"/>
        <v/>
      </c>
      <c r="AE149" s="21" t="str">
        <f t="shared" si="156"/>
        <v/>
      </c>
      <c r="AF149" s="21" t="str">
        <f t="shared" si="157"/>
        <v/>
      </c>
      <c r="AG149" s="21">
        <f t="shared" si="158"/>
        <v>0</v>
      </c>
      <c r="AH149" s="21">
        <f>IF('Etape 1'!H145=St.Wert_Hacken,1,0)</f>
        <v>0</v>
      </c>
      <c r="AI149" s="21">
        <f t="shared" si="159"/>
        <v>0</v>
      </c>
      <c r="AJ149" s="21">
        <f t="shared" si="160"/>
        <v>1000999</v>
      </c>
      <c r="AK149" s="58">
        <f t="shared" si="161"/>
        <v>1100</v>
      </c>
      <c r="AL149" s="58">
        <f t="shared" si="162"/>
        <v>440</v>
      </c>
      <c r="AM149" s="21">
        <f t="shared" si="163"/>
        <v>0</v>
      </c>
      <c r="AN149" s="58">
        <f t="shared" si="164"/>
        <v>1</v>
      </c>
      <c r="AO149" s="58" t="str">
        <f t="shared" si="165"/>
        <v>114</v>
      </c>
      <c r="AP149" s="58" t="str">
        <f t="shared" si="166"/>
        <v>164</v>
      </c>
      <c r="AQ149" s="21" t="e">
        <f t="shared" si="167"/>
        <v>#NUM!</v>
      </c>
      <c r="AR149" s="21" t="e">
        <f t="shared" si="168"/>
        <v>#NUM!</v>
      </c>
      <c r="AS149" s="136" t="e">
        <f t="shared" si="188"/>
        <v>#NUM!</v>
      </c>
      <c r="AT149" s="59" t="e">
        <f t="shared" si="169"/>
        <v>#NUM!</v>
      </c>
      <c r="AU149" s="21" t="e">
        <f t="shared" si="170"/>
        <v>#NUM!</v>
      </c>
      <c r="AV149" s="58">
        <f t="shared" si="171"/>
        <v>1500</v>
      </c>
      <c r="AW149" s="58">
        <f t="shared" si="172"/>
        <v>600</v>
      </c>
      <c r="AX149" s="60">
        <f t="shared" si="173"/>
        <v>0.11</v>
      </c>
      <c r="AY149" s="212">
        <f t="shared" si="189"/>
        <v>0</v>
      </c>
      <c r="AZ149" s="59">
        <f t="shared" si="174"/>
        <v>0</v>
      </c>
      <c r="BA149" s="21" t="e">
        <f t="shared" si="175"/>
        <v>#DIV/0!</v>
      </c>
      <c r="BB149" s="58">
        <f t="shared" si="176"/>
        <v>2900</v>
      </c>
      <c r="BC149" s="58">
        <f t="shared" si="177"/>
        <v>1160</v>
      </c>
      <c r="BD149" s="60">
        <f t="shared" si="178"/>
        <v>0.15</v>
      </c>
      <c r="BE149" s="212" t="e">
        <f t="shared" si="190"/>
        <v>#NUM!</v>
      </c>
      <c r="BF149" s="59" t="e">
        <f t="shared" si="179"/>
        <v>#NUM!</v>
      </c>
      <c r="BG149" s="21" t="e">
        <f t="shared" si="180"/>
        <v>#NUM!</v>
      </c>
      <c r="BH149" s="55">
        <f t="shared" ca="1" si="183"/>
        <v>0</v>
      </c>
    </row>
    <row r="150" spans="1:60" x14ac:dyDescent="0.2">
      <c r="A150" s="61">
        <f ca="1">RANK(W150,W$12:W$311,0)+COUNTIF(W$12:W150,W150)-1</f>
        <v>162</v>
      </c>
      <c r="B150" s="55">
        <f>'Etape 1'!A146</f>
        <v>139</v>
      </c>
      <c r="C150" s="55">
        <f>'Etape 1'!B146</f>
        <v>0</v>
      </c>
      <c r="D150" s="55">
        <f>'Etape 1'!C146</f>
        <v>0</v>
      </c>
      <c r="E150" s="55">
        <f>'Etape 1'!D146</f>
        <v>0</v>
      </c>
      <c r="F150" s="55">
        <f>'Etape 1'!E146</f>
        <v>0</v>
      </c>
      <c r="G150" s="55">
        <f>'Etape 1'!F146</f>
        <v>0</v>
      </c>
      <c r="H150" s="55">
        <f>'Etape 1'!G146</f>
        <v>0</v>
      </c>
      <c r="I150" s="209">
        <v>1</v>
      </c>
      <c r="J150" s="58">
        <f t="shared" si="191"/>
        <v>0</v>
      </c>
      <c r="K150" s="21">
        <f t="shared" si="143"/>
        <v>0</v>
      </c>
      <c r="L150" s="21">
        <f t="shared" si="144"/>
        <v>0</v>
      </c>
      <c r="M150" s="21">
        <f t="shared" ca="1" si="145"/>
        <v>3</v>
      </c>
      <c r="N150" s="21">
        <f t="shared" ca="1" si="146"/>
        <v>3</v>
      </c>
      <c r="O150" s="21">
        <f t="shared" ca="1" si="147"/>
        <v>0</v>
      </c>
      <c r="P150" s="262" t="str">
        <f>IF('Etape 1'!J146=999,"",IF('Etape 1'!J146=9999,txt_Schritt1.Angaben.fehlen,VLOOKUP(N150,Matrix_1.2.3.Test.Punkte.ID.Beurteilung,4,1)))</f>
        <v/>
      </c>
      <c r="Q150" s="21">
        <f t="shared" ca="1" si="148"/>
        <v>0</v>
      </c>
      <c r="R150" s="136">
        <f t="shared" si="184"/>
        <v>139</v>
      </c>
      <c r="S150" s="136">
        <f t="shared" ca="1" si="181"/>
        <v>162.46179401993356</v>
      </c>
      <c r="T150" s="136">
        <f t="shared" ca="1" si="185"/>
        <v>750.46179401993356</v>
      </c>
      <c r="U150" s="136">
        <f t="shared" ca="1" si="186"/>
        <v>1224000.4617940199</v>
      </c>
      <c r="V150" s="211">
        <f t="shared" ca="1" si="187"/>
        <v>235406.65383833935</v>
      </c>
      <c r="W150" s="136">
        <f t="shared" ca="1" si="182"/>
        <v>139</v>
      </c>
      <c r="X150" s="136">
        <f t="shared" ca="1" si="149"/>
        <v>162.999000999001</v>
      </c>
      <c r="Y150" s="21">
        <f t="shared" si="150"/>
        <v>1</v>
      </c>
      <c r="Z150" s="21" t="str">
        <f t="shared" si="151"/>
        <v>&lt;IE0</v>
      </c>
      <c r="AA150" s="21">
        <f t="shared" si="152"/>
        <v>1</v>
      </c>
      <c r="AB150" s="21" t="str">
        <f t="shared" si="153"/>
        <v>a - "&lt; 1990 (Eff3)"</v>
      </c>
      <c r="AC150" s="21">
        <f t="shared" si="154"/>
        <v>999999</v>
      </c>
      <c r="AD150" s="21" t="str">
        <f t="shared" si="155"/>
        <v/>
      </c>
      <c r="AE150" s="21" t="str">
        <f t="shared" si="156"/>
        <v/>
      </c>
      <c r="AF150" s="21" t="str">
        <f t="shared" si="157"/>
        <v/>
      </c>
      <c r="AG150" s="21">
        <f t="shared" si="158"/>
        <v>0</v>
      </c>
      <c r="AH150" s="21">
        <f>IF('Etape 1'!H146=St.Wert_Hacken,1,0)</f>
        <v>0</v>
      </c>
      <c r="AI150" s="21">
        <f t="shared" si="159"/>
        <v>0</v>
      </c>
      <c r="AJ150" s="21">
        <f t="shared" si="160"/>
        <v>1000999</v>
      </c>
      <c r="AK150" s="58">
        <f t="shared" si="161"/>
        <v>1100</v>
      </c>
      <c r="AL150" s="58">
        <f t="shared" si="162"/>
        <v>440</v>
      </c>
      <c r="AM150" s="21">
        <f t="shared" si="163"/>
        <v>0</v>
      </c>
      <c r="AN150" s="58">
        <f t="shared" si="164"/>
        <v>1</v>
      </c>
      <c r="AO150" s="58" t="str">
        <f t="shared" si="165"/>
        <v>114</v>
      </c>
      <c r="AP150" s="58" t="str">
        <f t="shared" si="166"/>
        <v>164</v>
      </c>
      <c r="AQ150" s="21" t="e">
        <f t="shared" si="167"/>
        <v>#NUM!</v>
      </c>
      <c r="AR150" s="21" t="e">
        <f t="shared" si="168"/>
        <v>#NUM!</v>
      </c>
      <c r="AS150" s="136" t="e">
        <f t="shared" si="188"/>
        <v>#NUM!</v>
      </c>
      <c r="AT150" s="59" t="e">
        <f t="shared" si="169"/>
        <v>#NUM!</v>
      </c>
      <c r="AU150" s="21" t="e">
        <f t="shared" si="170"/>
        <v>#NUM!</v>
      </c>
      <c r="AV150" s="58">
        <f t="shared" si="171"/>
        <v>1500</v>
      </c>
      <c r="AW150" s="58">
        <f t="shared" si="172"/>
        <v>600</v>
      </c>
      <c r="AX150" s="60">
        <f t="shared" si="173"/>
        <v>0.11</v>
      </c>
      <c r="AY150" s="212">
        <f t="shared" si="189"/>
        <v>0</v>
      </c>
      <c r="AZ150" s="59">
        <f t="shared" si="174"/>
        <v>0</v>
      </c>
      <c r="BA150" s="21" t="e">
        <f t="shared" si="175"/>
        <v>#DIV/0!</v>
      </c>
      <c r="BB150" s="58">
        <f t="shared" si="176"/>
        <v>2900</v>
      </c>
      <c r="BC150" s="58">
        <f t="shared" si="177"/>
        <v>1160</v>
      </c>
      <c r="BD150" s="60">
        <f t="shared" si="178"/>
        <v>0.15</v>
      </c>
      <c r="BE150" s="212" t="e">
        <f t="shared" si="190"/>
        <v>#NUM!</v>
      </c>
      <c r="BF150" s="59" t="e">
        <f t="shared" si="179"/>
        <v>#NUM!</v>
      </c>
      <c r="BG150" s="21" t="e">
        <f t="shared" si="180"/>
        <v>#NUM!</v>
      </c>
      <c r="BH150" s="55">
        <f t="shared" ca="1" si="183"/>
        <v>0</v>
      </c>
    </row>
    <row r="151" spans="1:60" x14ac:dyDescent="0.2">
      <c r="A151" s="61">
        <f ca="1">RANK(W151,W$12:W$311,0)+COUNTIF(W$12:W151,W151)-1</f>
        <v>161</v>
      </c>
      <c r="B151" s="55">
        <f>'Etape 1'!A147</f>
        <v>140</v>
      </c>
      <c r="C151" s="55">
        <f>'Etape 1'!B147</f>
        <v>0</v>
      </c>
      <c r="D151" s="55">
        <f>'Etape 1'!C147</f>
        <v>0</v>
      </c>
      <c r="E151" s="55">
        <f>'Etape 1'!D147</f>
        <v>0</v>
      </c>
      <c r="F151" s="55">
        <f>'Etape 1'!E147</f>
        <v>0</v>
      </c>
      <c r="G151" s="55">
        <f>'Etape 1'!F147</f>
        <v>0</v>
      </c>
      <c r="H151" s="55">
        <f>'Etape 1'!G147</f>
        <v>0</v>
      </c>
      <c r="I151" s="209">
        <v>1</v>
      </c>
      <c r="J151" s="58">
        <f t="shared" si="191"/>
        <v>0</v>
      </c>
      <c r="K151" s="21">
        <f t="shared" si="143"/>
        <v>0</v>
      </c>
      <c r="L151" s="21">
        <f t="shared" si="144"/>
        <v>0</v>
      </c>
      <c r="M151" s="21">
        <f t="shared" ca="1" si="145"/>
        <v>3</v>
      </c>
      <c r="N151" s="21">
        <f t="shared" ca="1" si="146"/>
        <v>3</v>
      </c>
      <c r="O151" s="21">
        <f t="shared" ca="1" si="147"/>
        <v>0</v>
      </c>
      <c r="P151" s="262" t="str">
        <f>IF('Etape 1'!J147=999,"",IF('Etape 1'!J147=9999,txt_Schritt1.Angaben.fehlen,VLOOKUP(N151,Matrix_1.2.3.Test.Punkte.ID.Beurteilung,4,1)))</f>
        <v/>
      </c>
      <c r="Q151" s="21">
        <f t="shared" ca="1" si="148"/>
        <v>0</v>
      </c>
      <c r="R151" s="136">
        <f t="shared" si="184"/>
        <v>140</v>
      </c>
      <c r="S151" s="136">
        <f t="shared" ca="1" si="181"/>
        <v>162.46511627906978</v>
      </c>
      <c r="T151" s="136">
        <f t="shared" ca="1" si="185"/>
        <v>750.46511627906978</v>
      </c>
      <c r="U151" s="136">
        <f t="shared" ca="1" si="186"/>
        <v>1224000.465116279</v>
      </c>
      <c r="V151" s="211">
        <f t="shared" ca="1" si="187"/>
        <v>235406.65716059849</v>
      </c>
      <c r="W151" s="136">
        <f t="shared" ca="1" si="182"/>
        <v>140</v>
      </c>
      <c r="X151" s="136">
        <f t="shared" ca="1" si="149"/>
        <v>162.999000999001</v>
      </c>
      <c r="Y151" s="21">
        <f t="shared" si="150"/>
        <v>1</v>
      </c>
      <c r="Z151" s="21" t="str">
        <f t="shared" si="151"/>
        <v>&lt;IE0</v>
      </c>
      <c r="AA151" s="21">
        <f t="shared" si="152"/>
        <v>1</v>
      </c>
      <c r="AB151" s="21" t="str">
        <f t="shared" si="153"/>
        <v>a - "&lt; 1990 (Eff3)"</v>
      </c>
      <c r="AC151" s="21">
        <f t="shared" si="154"/>
        <v>999999</v>
      </c>
      <c r="AD151" s="21" t="str">
        <f t="shared" si="155"/>
        <v/>
      </c>
      <c r="AE151" s="21" t="str">
        <f t="shared" si="156"/>
        <v/>
      </c>
      <c r="AF151" s="21" t="str">
        <f t="shared" si="157"/>
        <v/>
      </c>
      <c r="AG151" s="21">
        <f t="shared" si="158"/>
        <v>0</v>
      </c>
      <c r="AH151" s="21">
        <f>IF('Etape 1'!H147=St.Wert_Hacken,1,0)</f>
        <v>0</v>
      </c>
      <c r="AI151" s="21">
        <f t="shared" si="159"/>
        <v>0</v>
      </c>
      <c r="AJ151" s="21">
        <f t="shared" si="160"/>
        <v>1000999</v>
      </c>
      <c r="AK151" s="58">
        <f t="shared" si="161"/>
        <v>1100</v>
      </c>
      <c r="AL151" s="58">
        <f t="shared" si="162"/>
        <v>440</v>
      </c>
      <c r="AM151" s="21">
        <f t="shared" si="163"/>
        <v>0</v>
      </c>
      <c r="AN151" s="58">
        <f t="shared" si="164"/>
        <v>1</v>
      </c>
      <c r="AO151" s="58" t="str">
        <f t="shared" si="165"/>
        <v>114</v>
      </c>
      <c r="AP151" s="58" t="str">
        <f t="shared" si="166"/>
        <v>164</v>
      </c>
      <c r="AQ151" s="21" t="e">
        <f t="shared" si="167"/>
        <v>#NUM!</v>
      </c>
      <c r="AR151" s="21" t="e">
        <f t="shared" si="168"/>
        <v>#NUM!</v>
      </c>
      <c r="AS151" s="136" t="e">
        <f t="shared" si="188"/>
        <v>#NUM!</v>
      </c>
      <c r="AT151" s="59" t="e">
        <f t="shared" si="169"/>
        <v>#NUM!</v>
      </c>
      <c r="AU151" s="21" t="e">
        <f t="shared" si="170"/>
        <v>#NUM!</v>
      </c>
      <c r="AV151" s="58">
        <f t="shared" si="171"/>
        <v>1500</v>
      </c>
      <c r="AW151" s="58">
        <f t="shared" si="172"/>
        <v>600</v>
      </c>
      <c r="AX151" s="60">
        <f t="shared" si="173"/>
        <v>0.11</v>
      </c>
      <c r="AY151" s="212">
        <f t="shared" si="189"/>
        <v>0</v>
      </c>
      <c r="AZ151" s="59">
        <f t="shared" si="174"/>
        <v>0</v>
      </c>
      <c r="BA151" s="21" t="e">
        <f t="shared" si="175"/>
        <v>#DIV/0!</v>
      </c>
      <c r="BB151" s="58">
        <f t="shared" si="176"/>
        <v>2900</v>
      </c>
      <c r="BC151" s="58">
        <f t="shared" si="177"/>
        <v>1160</v>
      </c>
      <c r="BD151" s="60">
        <f t="shared" si="178"/>
        <v>0.15</v>
      </c>
      <c r="BE151" s="212" t="e">
        <f t="shared" si="190"/>
        <v>#NUM!</v>
      </c>
      <c r="BF151" s="59" t="e">
        <f t="shared" si="179"/>
        <v>#NUM!</v>
      </c>
      <c r="BG151" s="21" t="e">
        <f t="shared" si="180"/>
        <v>#NUM!</v>
      </c>
      <c r="BH151" s="55">
        <f t="shared" ca="1" si="183"/>
        <v>0</v>
      </c>
    </row>
    <row r="152" spans="1:60" x14ac:dyDescent="0.2">
      <c r="A152" s="61">
        <f ca="1">RANK(W152,W$12:W$311,0)+COUNTIF(W$12:W152,W152)-1</f>
        <v>160</v>
      </c>
      <c r="B152" s="55">
        <f>'Etape 1'!A148</f>
        <v>141</v>
      </c>
      <c r="C152" s="55">
        <f>'Etape 1'!B148</f>
        <v>0</v>
      </c>
      <c r="D152" s="55">
        <f>'Etape 1'!C148</f>
        <v>0</v>
      </c>
      <c r="E152" s="55">
        <f>'Etape 1'!D148</f>
        <v>0</v>
      </c>
      <c r="F152" s="55">
        <f>'Etape 1'!E148</f>
        <v>0</v>
      </c>
      <c r="G152" s="55">
        <f>'Etape 1'!F148</f>
        <v>0</v>
      </c>
      <c r="H152" s="55">
        <f>'Etape 1'!G148</f>
        <v>0</v>
      </c>
      <c r="I152" s="209">
        <v>1</v>
      </c>
      <c r="J152" s="58">
        <f t="shared" si="191"/>
        <v>0</v>
      </c>
      <c r="K152" s="21">
        <f t="shared" si="143"/>
        <v>0</v>
      </c>
      <c r="L152" s="21">
        <f t="shared" si="144"/>
        <v>0</v>
      </c>
      <c r="M152" s="21">
        <f t="shared" ca="1" si="145"/>
        <v>3</v>
      </c>
      <c r="N152" s="21">
        <f t="shared" ca="1" si="146"/>
        <v>3</v>
      </c>
      <c r="O152" s="21">
        <f t="shared" ca="1" si="147"/>
        <v>0</v>
      </c>
      <c r="P152" s="262" t="str">
        <f>IF('Etape 1'!J148=999,"",IF('Etape 1'!J148=9999,txt_Schritt1.Angaben.fehlen,VLOOKUP(N152,Matrix_1.2.3.Test.Punkte.ID.Beurteilung,4,1)))</f>
        <v/>
      </c>
      <c r="Q152" s="21">
        <f t="shared" ca="1" si="148"/>
        <v>0</v>
      </c>
      <c r="R152" s="136">
        <f t="shared" si="184"/>
        <v>141</v>
      </c>
      <c r="S152" s="136">
        <f t="shared" ca="1" si="181"/>
        <v>162.46843853820599</v>
      </c>
      <c r="T152" s="136">
        <f t="shared" ca="1" si="185"/>
        <v>750.46843853820599</v>
      </c>
      <c r="U152" s="136">
        <f t="shared" ca="1" si="186"/>
        <v>1224000.4684385383</v>
      </c>
      <c r="V152" s="211">
        <f t="shared" ca="1" si="187"/>
        <v>235406.66048285761</v>
      </c>
      <c r="W152" s="136">
        <f t="shared" ca="1" si="182"/>
        <v>141</v>
      </c>
      <c r="X152" s="136">
        <f t="shared" ca="1" si="149"/>
        <v>162.999000999001</v>
      </c>
      <c r="Y152" s="21">
        <f t="shared" si="150"/>
        <v>1</v>
      </c>
      <c r="Z152" s="21" t="str">
        <f t="shared" si="151"/>
        <v>&lt;IE0</v>
      </c>
      <c r="AA152" s="21">
        <f t="shared" si="152"/>
        <v>1</v>
      </c>
      <c r="AB152" s="21" t="str">
        <f t="shared" si="153"/>
        <v>a - "&lt; 1990 (Eff3)"</v>
      </c>
      <c r="AC152" s="21">
        <f t="shared" si="154"/>
        <v>999999</v>
      </c>
      <c r="AD152" s="21" t="str">
        <f t="shared" si="155"/>
        <v/>
      </c>
      <c r="AE152" s="21" t="str">
        <f t="shared" si="156"/>
        <v/>
      </c>
      <c r="AF152" s="21" t="str">
        <f t="shared" si="157"/>
        <v/>
      </c>
      <c r="AG152" s="21">
        <f t="shared" si="158"/>
        <v>0</v>
      </c>
      <c r="AH152" s="21">
        <f>IF('Etape 1'!H148=St.Wert_Hacken,1,0)</f>
        <v>0</v>
      </c>
      <c r="AI152" s="21">
        <f t="shared" si="159"/>
        <v>0</v>
      </c>
      <c r="AJ152" s="21">
        <f t="shared" si="160"/>
        <v>1000999</v>
      </c>
      <c r="AK152" s="58">
        <f t="shared" si="161"/>
        <v>1100</v>
      </c>
      <c r="AL152" s="58">
        <f t="shared" si="162"/>
        <v>440</v>
      </c>
      <c r="AM152" s="21">
        <f t="shared" si="163"/>
        <v>0</v>
      </c>
      <c r="AN152" s="58">
        <f t="shared" si="164"/>
        <v>1</v>
      </c>
      <c r="AO152" s="58" t="str">
        <f t="shared" si="165"/>
        <v>114</v>
      </c>
      <c r="AP152" s="58" t="str">
        <f t="shared" si="166"/>
        <v>164</v>
      </c>
      <c r="AQ152" s="21" t="e">
        <f t="shared" si="167"/>
        <v>#NUM!</v>
      </c>
      <c r="AR152" s="21" t="e">
        <f t="shared" si="168"/>
        <v>#NUM!</v>
      </c>
      <c r="AS152" s="136" t="e">
        <f t="shared" si="188"/>
        <v>#NUM!</v>
      </c>
      <c r="AT152" s="59" t="e">
        <f t="shared" si="169"/>
        <v>#NUM!</v>
      </c>
      <c r="AU152" s="21" t="e">
        <f t="shared" si="170"/>
        <v>#NUM!</v>
      </c>
      <c r="AV152" s="58">
        <f t="shared" si="171"/>
        <v>1500</v>
      </c>
      <c r="AW152" s="58">
        <f t="shared" si="172"/>
        <v>600</v>
      </c>
      <c r="AX152" s="60">
        <f t="shared" si="173"/>
        <v>0.11</v>
      </c>
      <c r="AY152" s="212">
        <f t="shared" si="189"/>
        <v>0</v>
      </c>
      <c r="AZ152" s="59">
        <f t="shared" si="174"/>
        <v>0</v>
      </c>
      <c r="BA152" s="21" t="e">
        <f t="shared" si="175"/>
        <v>#DIV/0!</v>
      </c>
      <c r="BB152" s="58">
        <f t="shared" si="176"/>
        <v>2900</v>
      </c>
      <c r="BC152" s="58">
        <f t="shared" si="177"/>
        <v>1160</v>
      </c>
      <c r="BD152" s="60">
        <f t="shared" si="178"/>
        <v>0.15</v>
      </c>
      <c r="BE152" s="212" t="e">
        <f t="shared" si="190"/>
        <v>#NUM!</v>
      </c>
      <c r="BF152" s="59" t="e">
        <f t="shared" si="179"/>
        <v>#NUM!</v>
      </c>
      <c r="BG152" s="21" t="e">
        <f t="shared" si="180"/>
        <v>#NUM!</v>
      </c>
      <c r="BH152" s="55">
        <f t="shared" ca="1" si="183"/>
        <v>0</v>
      </c>
    </row>
    <row r="153" spans="1:60" x14ac:dyDescent="0.2">
      <c r="A153" s="61">
        <f ca="1">RANK(W153,W$12:W$311,0)+COUNTIF(W$12:W153,W153)-1</f>
        <v>159</v>
      </c>
      <c r="B153" s="55">
        <f>'Etape 1'!A149</f>
        <v>142</v>
      </c>
      <c r="C153" s="55">
        <f>'Etape 1'!B149</f>
        <v>0</v>
      </c>
      <c r="D153" s="55">
        <f>'Etape 1'!C149</f>
        <v>0</v>
      </c>
      <c r="E153" s="55">
        <f>'Etape 1'!D149</f>
        <v>0</v>
      </c>
      <c r="F153" s="55">
        <f>'Etape 1'!E149</f>
        <v>0</v>
      </c>
      <c r="G153" s="55">
        <f>'Etape 1'!F149</f>
        <v>0</v>
      </c>
      <c r="H153" s="55">
        <f>'Etape 1'!G149</f>
        <v>0</v>
      </c>
      <c r="I153" s="209">
        <v>1</v>
      </c>
      <c r="J153" s="58">
        <f t="shared" si="191"/>
        <v>0</v>
      </c>
      <c r="K153" s="21">
        <f t="shared" si="143"/>
        <v>0</v>
      </c>
      <c r="L153" s="21">
        <f t="shared" si="144"/>
        <v>0</v>
      </c>
      <c r="M153" s="21">
        <f t="shared" ca="1" si="145"/>
        <v>3</v>
      </c>
      <c r="N153" s="21">
        <f t="shared" ca="1" si="146"/>
        <v>3</v>
      </c>
      <c r="O153" s="21">
        <f t="shared" ca="1" si="147"/>
        <v>0</v>
      </c>
      <c r="P153" s="262" t="str">
        <f>IF('Etape 1'!J149=999,"",IF('Etape 1'!J149=9999,txt_Schritt1.Angaben.fehlen,VLOOKUP(N153,Matrix_1.2.3.Test.Punkte.ID.Beurteilung,4,1)))</f>
        <v/>
      </c>
      <c r="Q153" s="21">
        <f t="shared" ca="1" si="148"/>
        <v>0</v>
      </c>
      <c r="R153" s="136">
        <f t="shared" si="184"/>
        <v>142</v>
      </c>
      <c r="S153" s="136">
        <f t="shared" ca="1" si="181"/>
        <v>162.4717607973422</v>
      </c>
      <c r="T153" s="136">
        <f t="shared" ca="1" si="185"/>
        <v>750.4717607973422</v>
      </c>
      <c r="U153" s="136">
        <f t="shared" ca="1" si="186"/>
        <v>1224000.4717607973</v>
      </c>
      <c r="V153" s="211">
        <f t="shared" ca="1" si="187"/>
        <v>235406.66380511675</v>
      </c>
      <c r="W153" s="136">
        <f t="shared" ca="1" si="182"/>
        <v>142</v>
      </c>
      <c r="X153" s="136">
        <f t="shared" ca="1" si="149"/>
        <v>162.999000999001</v>
      </c>
      <c r="Y153" s="21">
        <f t="shared" si="150"/>
        <v>1</v>
      </c>
      <c r="Z153" s="21" t="str">
        <f t="shared" si="151"/>
        <v>&lt;IE0</v>
      </c>
      <c r="AA153" s="21">
        <f t="shared" si="152"/>
        <v>1</v>
      </c>
      <c r="AB153" s="21" t="str">
        <f t="shared" si="153"/>
        <v>a - "&lt; 1990 (Eff3)"</v>
      </c>
      <c r="AC153" s="21">
        <f t="shared" si="154"/>
        <v>999999</v>
      </c>
      <c r="AD153" s="21" t="str">
        <f t="shared" si="155"/>
        <v/>
      </c>
      <c r="AE153" s="21" t="str">
        <f t="shared" si="156"/>
        <v/>
      </c>
      <c r="AF153" s="21" t="str">
        <f t="shared" si="157"/>
        <v/>
      </c>
      <c r="AG153" s="21">
        <f t="shared" si="158"/>
        <v>0</v>
      </c>
      <c r="AH153" s="21">
        <f>IF('Etape 1'!H149=St.Wert_Hacken,1,0)</f>
        <v>0</v>
      </c>
      <c r="AI153" s="21">
        <f t="shared" si="159"/>
        <v>0</v>
      </c>
      <c r="AJ153" s="21">
        <f t="shared" si="160"/>
        <v>1000999</v>
      </c>
      <c r="AK153" s="58">
        <f t="shared" si="161"/>
        <v>1100</v>
      </c>
      <c r="AL153" s="58">
        <f t="shared" si="162"/>
        <v>440</v>
      </c>
      <c r="AM153" s="21">
        <f t="shared" si="163"/>
        <v>0</v>
      </c>
      <c r="AN153" s="58">
        <f t="shared" si="164"/>
        <v>1</v>
      </c>
      <c r="AO153" s="58" t="str">
        <f t="shared" si="165"/>
        <v>114</v>
      </c>
      <c r="AP153" s="58" t="str">
        <f t="shared" si="166"/>
        <v>164</v>
      </c>
      <c r="AQ153" s="21" t="e">
        <f t="shared" si="167"/>
        <v>#NUM!</v>
      </c>
      <c r="AR153" s="21" t="e">
        <f t="shared" si="168"/>
        <v>#NUM!</v>
      </c>
      <c r="AS153" s="136" t="e">
        <f t="shared" si="188"/>
        <v>#NUM!</v>
      </c>
      <c r="AT153" s="59" t="e">
        <f t="shared" si="169"/>
        <v>#NUM!</v>
      </c>
      <c r="AU153" s="21" t="e">
        <f t="shared" si="170"/>
        <v>#NUM!</v>
      </c>
      <c r="AV153" s="58">
        <f t="shared" si="171"/>
        <v>1500</v>
      </c>
      <c r="AW153" s="58">
        <f t="shared" si="172"/>
        <v>600</v>
      </c>
      <c r="AX153" s="60">
        <f t="shared" si="173"/>
        <v>0.11</v>
      </c>
      <c r="AY153" s="212">
        <f t="shared" si="189"/>
        <v>0</v>
      </c>
      <c r="AZ153" s="59">
        <f t="shared" si="174"/>
        <v>0</v>
      </c>
      <c r="BA153" s="21" t="e">
        <f t="shared" si="175"/>
        <v>#DIV/0!</v>
      </c>
      <c r="BB153" s="58">
        <f t="shared" si="176"/>
        <v>2900</v>
      </c>
      <c r="BC153" s="58">
        <f t="shared" si="177"/>
        <v>1160</v>
      </c>
      <c r="BD153" s="60">
        <f t="shared" si="178"/>
        <v>0.15</v>
      </c>
      <c r="BE153" s="212" t="e">
        <f t="shared" si="190"/>
        <v>#NUM!</v>
      </c>
      <c r="BF153" s="59" t="e">
        <f t="shared" si="179"/>
        <v>#NUM!</v>
      </c>
      <c r="BG153" s="21" t="e">
        <f t="shared" si="180"/>
        <v>#NUM!</v>
      </c>
      <c r="BH153" s="55">
        <f t="shared" ca="1" si="183"/>
        <v>0</v>
      </c>
    </row>
    <row r="154" spans="1:60" x14ac:dyDescent="0.2">
      <c r="A154" s="61">
        <f ca="1">RANK(W154,W$12:W$311,0)+COUNTIF(W$12:W154,W154)-1</f>
        <v>158</v>
      </c>
      <c r="B154" s="55">
        <f>'Etape 1'!A150</f>
        <v>143</v>
      </c>
      <c r="C154" s="55">
        <f>'Etape 1'!B150</f>
        <v>0</v>
      </c>
      <c r="D154" s="55">
        <f>'Etape 1'!C150</f>
        <v>0</v>
      </c>
      <c r="E154" s="55">
        <f>'Etape 1'!D150</f>
        <v>0</v>
      </c>
      <c r="F154" s="55">
        <f>'Etape 1'!E150</f>
        <v>0</v>
      </c>
      <c r="G154" s="55">
        <f>'Etape 1'!F150</f>
        <v>0</v>
      </c>
      <c r="H154" s="55">
        <f>'Etape 1'!G150</f>
        <v>0</v>
      </c>
      <c r="I154" s="209">
        <v>1</v>
      </c>
      <c r="J154" s="58">
        <f t="shared" si="191"/>
        <v>0</v>
      </c>
      <c r="K154" s="21">
        <f t="shared" si="143"/>
        <v>0</v>
      </c>
      <c r="L154" s="21">
        <f t="shared" si="144"/>
        <v>0</v>
      </c>
      <c r="M154" s="21">
        <f t="shared" ca="1" si="145"/>
        <v>3</v>
      </c>
      <c r="N154" s="21">
        <f t="shared" ca="1" si="146"/>
        <v>3</v>
      </c>
      <c r="O154" s="21">
        <f t="shared" ca="1" si="147"/>
        <v>0</v>
      </c>
      <c r="P154" s="262" t="str">
        <f>IF('Etape 1'!J150=999,"",IF('Etape 1'!J150=9999,txt_Schritt1.Angaben.fehlen,VLOOKUP(N154,Matrix_1.2.3.Test.Punkte.ID.Beurteilung,4,1)))</f>
        <v/>
      </c>
      <c r="Q154" s="21">
        <f t="shared" ca="1" si="148"/>
        <v>0</v>
      </c>
      <c r="R154" s="136">
        <f t="shared" si="184"/>
        <v>143</v>
      </c>
      <c r="S154" s="136">
        <f t="shared" ca="1" si="181"/>
        <v>162.47508305647841</v>
      </c>
      <c r="T154" s="136">
        <f t="shared" ca="1" si="185"/>
        <v>750.47508305647841</v>
      </c>
      <c r="U154" s="136">
        <f t="shared" ca="1" si="186"/>
        <v>1224000.4750830564</v>
      </c>
      <c r="V154" s="211">
        <f t="shared" ca="1" si="187"/>
        <v>235406.6671273759</v>
      </c>
      <c r="W154" s="136">
        <f t="shared" ca="1" si="182"/>
        <v>143</v>
      </c>
      <c r="X154" s="136">
        <f t="shared" ca="1" si="149"/>
        <v>162.999000999001</v>
      </c>
      <c r="Y154" s="21">
        <f t="shared" si="150"/>
        <v>1</v>
      </c>
      <c r="Z154" s="21" t="str">
        <f t="shared" si="151"/>
        <v>&lt;IE0</v>
      </c>
      <c r="AA154" s="21">
        <f t="shared" si="152"/>
        <v>1</v>
      </c>
      <c r="AB154" s="21" t="str">
        <f t="shared" si="153"/>
        <v>a - "&lt; 1990 (Eff3)"</v>
      </c>
      <c r="AC154" s="21">
        <f t="shared" si="154"/>
        <v>999999</v>
      </c>
      <c r="AD154" s="21" t="str">
        <f t="shared" si="155"/>
        <v/>
      </c>
      <c r="AE154" s="21" t="str">
        <f t="shared" si="156"/>
        <v/>
      </c>
      <c r="AF154" s="21" t="str">
        <f t="shared" si="157"/>
        <v/>
      </c>
      <c r="AG154" s="21">
        <f t="shared" si="158"/>
        <v>0</v>
      </c>
      <c r="AH154" s="21">
        <f>IF('Etape 1'!H150=St.Wert_Hacken,1,0)</f>
        <v>0</v>
      </c>
      <c r="AI154" s="21">
        <f t="shared" si="159"/>
        <v>0</v>
      </c>
      <c r="AJ154" s="21">
        <f t="shared" si="160"/>
        <v>1000999</v>
      </c>
      <c r="AK154" s="58">
        <f t="shared" si="161"/>
        <v>1100</v>
      </c>
      <c r="AL154" s="58">
        <f t="shared" si="162"/>
        <v>440</v>
      </c>
      <c r="AM154" s="21">
        <f t="shared" si="163"/>
        <v>0</v>
      </c>
      <c r="AN154" s="58">
        <f t="shared" si="164"/>
        <v>1</v>
      </c>
      <c r="AO154" s="58" t="str">
        <f t="shared" si="165"/>
        <v>114</v>
      </c>
      <c r="AP154" s="58" t="str">
        <f t="shared" si="166"/>
        <v>164</v>
      </c>
      <c r="AQ154" s="21" t="e">
        <f t="shared" si="167"/>
        <v>#NUM!</v>
      </c>
      <c r="AR154" s="21" t="e">
        <f t="shared" si="168"/>
        <v>#NUM!</v>
      </c>
      <c r="AS154" s="136" t="e">
        <f t="shared" si="188"/>
        <v>#NUM!</v>
      </c>
      <c r="AT154" s="59" t="e">
        <f t="shared" si="169"/>
        <v>#NUM!</v>
      </c>
      <c r="AU154" s="21" t="e">
        <f t="shared" si="170"/>
        <v>#NUM!</v>
      </c>
      <c r="AV154" s="58">
        <f t="shared" si="171"/>
        <v>1500</v>
      </c>
      <c r="AW154" s="58">
        <f t="shared" si="172"/>
        <v>600</v>
      </c>
      <c r="AX154" s="60">
        <f t="shared" si="173"/>
        <v>0.11</v>
      </c>
      <c r="AY154" s="212">
        <f t="shared" si="189"/>
        <v>0</v>
      </c>
      <c r="AZ154" s="59">
        <f t="shared" si="174"/>
        <v>0</v>
      </c>
      <c r="BA154" s="21" t="e">
        <f t="shared" si="175"/>
        <v>#DIV/0!</v>
      </c>
      <c r="BB154" s="58">
        <f t="shared" si="176"/>
        <v>2900</v>
      </c>
      <c r="BC154" s="58">
        <f t="shared" si="177"/>
        <v>1160</v>
      </c>
      <c r="BD154" s="60">
        <f t="shared" si="178"/>
        <v>0.15</v>
      </c>
      <c r="BE154" s="212" t="e">
        <f t="shared" si="190"/>
        <v>#NUM!</v>
      </c>
      <c r="BF154" s="59" t="e">
        <f t="shared" si="179"/>
        <v>#NUM!</v>
      </c>
      <c r="BG154" s="21" t="e">
        <f t="shared" si="180"/>
        <v>#NUM!</v>
      </c>
      <c r="BH154" s="55">
        <f t="shared" ca="1" si="183"/>
        <v>0</v>
      </c>
    </row>
    <row r="155" spans="1:60" x14ac:dyDescent="0.2">
      <c r="A155" s="61">
        <f ca="1">RANK(W155,W$12:W$311,0)+COUNTIF(W$12:W155,W155)-1</f>
        <v>157</v>
      </c>
      <c r="B155" s="55">
        <f>'Etape 1'!A151</f>
        <v>144</v>
      </c>
      <c r="C155" s="55">
        <f>'Etape 1'!B151</f>
        <v>0</v>
      </c>
      <c r="D155" s="55">
        <f>'Etape 1'!C151</f>
        <v>0</v>
      </c>
      <c r="E155" s="55">
        <f>'Etape 1'!D151</f>
        <v>0</v>
      </c>
      <c r="F155" s="55">
        <f>'Etape 1'!E151</f>
        <v>0</v>
      </c>
      <c r="G155" s="55">
        <f>'Etape 1'!F151</f>
        <v>0</v>
      </c>
      <c r="H155" s="55">
        <f>'Etape 1'!G151</f>
        <v>0</v>
      </c>
      <c r="I155" s="209">
        <v>1</v>
      </c>
      <c r="J155" s="58">
        <f t="shared" si="191"/>
        <v>0</v>
      </c>
      <c r="K155" s="21">
        <f t="shared" si="143"/>
        <v>0</v>
      </c>
      <c r="L155" s="21">
        <f t="shared" si="144"/>
        <v>0</v>
      </c>
      <c r="M155" s="21">
        <f t="shared" ca="1" si="145"/>
        <v>3</v>
      </c>
      <c r="N155" s="21">
        <f t="shared" ca="1" si="146"/>
        <v>3</v>
      </c>
      <c r="O155" s="21">
        <f t="shared" ca="1" si="147"/>
        <v>0</v>
      </c>
      <c r="P155" s="262" t="str">
        <f>IF('Etape 1'!J151=999,"",IF('Etape 1'!J151=9999,txt_Schritt1.Angaben.fehlen,VLOOKUP(N155,Matrix_1.2.3.Test.Punkte.ID.Beurteilung,4,1)))</f>
        <v/>
      </c>
      <c r="Q155" s="21">
        <f t="shared" ca="1" si="148"/>
        <v>0</v>
      </c>
      <c r="R155" s="136">
        <f t="shared" si="184"/>
        <v>144</v>
      </c>
      <c r="S155" s="136">
        <f t="shared" ca="1" si="181"/>
        <v>162.47840531561462</v>
      </c>
      <c r="T155" s="136">
        <f t="shared" ca="1" si="185"/>
        <v>750.47840531561462</v>
      </c>
      <c r="U155" s="136">
        <f t="shared" ca="1" si="186"/>
        <v>1224000.4784053157</v>
      </c>
      <c r="V155" s="211">
        <f t="shared" ca="1" si="187"/>
        <v>235406.67044963501</v>
      </c>
      <c r="W155" s="136">
        <f t="shared" ca="1" si="182"/>
        <v>144</v>
      </c>
      <c r="X155" s="136">
        <f t="shared" ca="1" si="149"/>
        <v>162.999000999001</v>
      </c>
      <c r="Y155" s="21">
        <f t="shared" si="150"/>
        <v>1</v>
      </c>
      <c r="Z155" s="21" t="str">
        <f t="shared" si="151"/>
        <v>&lt;IE0</v>
      </c>
      <c r="AA155" s="21">
        <f t="shared" si="152"/>
        <v>1</v>
      </c>
      <c r="AB155" s="21" t="str">
        <f t="shared" si="153"/>
        <v>a - "&lt; 1990 (Eff3)"</v>
      </c>
      <c r="AC155" s="21">
        <f t="shared" si="154"/>
        <v>999999</v>
      </c>
      <c r="AD155" s="21" t="str">
        <f t="shared" si="155"/>
        <v/>
      </c>
      <c r="AE155" s="21" t="str">
        <f t="shared" si="156"/>
        <v/>
      </c>
      <c r="AF155" s="21" t="str">
        <f t="shared" si="157"/>
        <v/>
      </c>
      <c r="AG155" s="21">
        <f t="shared" si="158"/>
        <v>0</v>
      </c>
      <c r="AH155" s="21">
        <f>IF('Etape 1'!H151=St.Wert_Hacken,1,0)</f>
        <v>0</v>
      </c>
      <c r="AI155" s="21">
        <f t="shared" si="159"/>
        <v>0</v>
      </c>
      <c r="AJ155" s="21">
        <f t="shared" si="160"/>
        <v>1000999</v>
      </c>
      <c r="AK155" s="58">
        <f t="shared" si="161"/>
        <v>1100</v>
      </c>
      <c r="AL155" s="58">
        <f t="shared" si="162"/>
        <v>440</v>
      </c>
      <c r="AM155" s="21">
        <f t="shared" si="163"/>
        <v>0</v>
      </c>
      <c r="AN155" s="58">
        <f t="shared" si="164"/>
        <v>1</v>
      </c>
      <c r="AO155" s="58" t="str">
        <f t="shared" si="165"/>
        <v>114</v>
      </c>
      <c r="AP155" s="58" t="str">
        <f t="shared" si="166"/>
        <v>164</v>
      </c>
      <c r="AQ155" s="21" t="e">
        <f t="shared" si="167"/>
        <v>#NUM!</v>
      </c>
      <c r="AR155" s="21" t="e">
        <f t="shared" si="168"/>
        <v>#NUM!</v>
      </c>
      <c r="AS155" s="136" t="e">
        <f t="shared" si="188"/>
        <v>#NUM!</v>
      </c>
      <c r="AT155" s="59" t="e">
        <f t="shared" si="169"/>
        <v>#NUM!</v>
      </c>
      <c r="AU155" s="21" t="e">
        <f t="shared" si="170"/>
        <v>#NUM!</v>
      </c>
      <c r="AV155" s="58">
        <f t="shared" si="171"/>
        <v>1500</v>
      </c>
      <c r="AW155" s="58">
        <f t="shared" si="172"/>
        <v>600</v>
      </c>
      <c r="AX155" s="60">
        <f t="shared" si="173"/>
        <v>0.11</v>
      </c>
      <c r="AY155" s="212">
        <f t="shared" si="189"/>
        <v>0</v>
      </c>
      <c r="AZ155" s="59">
        <f t="shared" si="174"/>
        <v>0</v>
      </c>
      <c r="BA155" s="21" t="e">
        <f t="shared" si="175"/>
        <v>#DIV/0!</v>
      </c>
      <c r="BB155" s="58">
        <f t="shared" si="176"/>
        <v>2900</v>
      </c>
      <c r="BC155" s="58">
        <f t="shared" si="177"/>
        <v>1160</v>
      </c>
      <c r="BD155" s="60">
        <f t="shared" si="178"/>
        <v>0.15</v>
      </c>
      <c r="BE155" s="212" t="e">
        <f t="shared" si="190"/>
        <v>#NUM!</v>
      </c>
      <c r="BF155" s="59" t="e">
        <f t="shared" si="179"/>
        <v>#NUM!</v>
      </c>
      <c r="BG155" s="21" t="e">
        <f t="shared" si="180"/>
        <v>#NUM!</v>
      </c>
      <c r="BH155" s="55">
        <f t="shared" ca="1" si="183"/>
        <v>0</v>
      </c>
    </row>
    <row r="156" spans="1:60" x14ac:dyDescent="0.2">
      <c r="A156" s="61">
        <f ca="1">RANK(W156,W$12:W$311,0)+COUNTIF(W$12:W156,W156)-1</f>
        <v>156</v>
      </c>
      <c r="B156" s="55">
        <f>'Etape 1'!A152</f>
        <v>145</v>
      </c>
      <c r="C156" s="55">
        <f>'Etape 1'!B152</f>
        <v>0</v>
      </c>
      <c r="D156" s="55">
        <f>'Etape 1'!C152</f>
        <v>0</v>
      </c>
      <c r="E156" s="55">
        <f>'Etape 1'!D152</f>
        <v>0</v>
      </c>
      <c r="F156" s="55">
        <f>'Etape 1'!E152</f>
        <v>0</v>
      </c>
      <c r="G156" s="55">
        <f>'Etape 1'!F152</f>
        <v>0</v>
      </c>
      <c r="H156" s="55">
        <f>'Etape 1'!G152</f>
        <v>0</v>
      </c>
      <c r="I156" s="209">
        <v>1</v>
      </c>
      <c r="J156" s="58">
        <f t="shared" si="191"/>
        <v>0</v>
      </c>
      <c r="K156" s="21">
        <f t="shared" si="143"/>
        <v>0</v>
      </c>
      <c r="L156" s="21">
        <f t="shared" si="144"/>
        <v>0</v>
      </c>
      <c r="M156" s="21">
        <f t="shared" ca="1" si="145"/>
        <v>3</v>
      </c>
      <c r="N156" s="21">
        <f t="shared" ca="1" si="146"/>
        <v>3</v>
      </c>
      <c r="O156" s="21">
        <f t="shared" ca="1" si="147"/>
        <v>0</v>
      </c>
      <c r="P156" s="262" t="str">
        <f>IF('Etape 1'!J152=999,"",IF('Etape 1'!J152=9999,txt_Schritt1.Angaben.fehlen,VLOOKUP(N156,Matrix_1.2.3.Test.Punkte.ID.Beurteilung,4,1)))</f>
        <v/>
      </c>
      <c r="Q156" s="21">
        <f t="shared" ca="1" si="148"/>
        <v>0</v>
      </c>
      <c r="R156" s="136">
        <f t="shared" si="184"/>
        <v>145</v>
      </c>
      <c r="S156" s="136">
        <f t="shared" ca="1" si="181"/>
        <v>162.48172757475083</v>
      </c>
      <c r="T156" s="136">
        <f t="shared" ca="1" si="185"/>
        <v>750.48172757475083</v>
      </c>
      <c r="U156" s="136">
        <f t="shared" ca="1" si="186"/>
        <v>1224000.4817275747</v>
      </c>
      <c r="V156" s="211">
        <f t="shared" ca="1" si="187"/>
        <v>235406.67377189416</v>
      </c>
      <c r="W156" s="136">
        <f t="shared" ca="1" si="182"/>
        <v>145</v>
      </c>
      <c r="X156" s="136">
        <f t="shared" ca="1" si="149"/>
        <v>162.999000999001</v>
      </c>
      <c r="Y156" s="21">
        <f t="shared" si="150"/>
        <v>1</v>
      </c>
      <c r="Z156" s="21" t="str">
        <f t="shared" si="151"/>
        <v>&lt;IE0</v>
      </c>
      <c r="AA156" s="21">
        <f t="shared" si="152"/>
        <v>1</v>
      </c>
      <c r="AB156" s="21" t="str">
        <f t="shared" si="153"/>
        <v>a - "&lt; 1990 (Eff3)"</v>
      </c>
      <c r="AC156" s="21">
        <f t="shared" si="154"/>
        <v>999999</v>
      </c>
      <c r="AD156" s="21" t="str">
        <f t="shared" si="155"/>
        <v/>
      </c>
      <c r="AE156" s="21" t="str">
        <f t="shared" si="156"/>
        <v/>
      </c>
      <c r="AF156" s="21" t="str">
        <f t="shared" si="157"/>
        <v/>
      </c>
      <c r="AG156" s="21">
        <f t="shared" si="158"/>
        <v>0</v>
      </c>
      <c r="AH156" s="21">
        <f>IF('Etape 1'!H152=St.Wert_Hacken,1,0)</f>
        <v>0</v>
      </c>
      <c r="AI156" s="21">
        <f t="shared" si="159"/>
        <v>0</v>
      </c>
      <c r="AJ156" s="21">
        <f t="shared" si="160"/>
        <v>1000999</v>
      </c>
      <c r="AK156" s="58">
        <f t="shared" si="161"/>
        <v>1100</v>
      </c>
      <c r="AL156" s="58">
        <f t="shared" si="162"/>
        <v>440</v>
      </c>
      <c r="AM156" s="21">
        <f t="shared" si="163"/>
        <v>0</v>
      </c>
      <c r="AN156" s="58">
        <f t="shared" si="164"/>
        <v>1</v>
      </c>
      <c r="AO156" s="58" t="str">
        <f t="shared" si="165"/>
        <v>114</v>
      </c>
      <c r="AP156" s="58" t="str">
        <f t="shared" si="166"/>
        <v>164</v>
      </c>
      <c r="AQ156" s="21" t="e">
        <f t="shared" si="167"/>
        <v>#NUM!</v>
      </c>
      <c r="AR156" s="21" t="e">
        <f t="shared" si="168"/>
        <v>#NUM!</v>
      </c>
      <c r="AS156" s="136" t="e">
        <f t="shared" si="188"/>
        <v>#NUM!</v>
      </c>
      <c r="AT156" s="59" t="e">
        <f t="shared" si="169"/>
        <v>#NUM!</v>
      </c>
      <c r="AU156" s="21" t="e">
        <f t="shared" si="170"/>
        <v>#NUM!</v>
      </c>
      <c r="AV156" s="58">
        <f t="shared" si="171"/>
        <v>1500</v>
      </c>
      <c r="AW156" s="58">
        <f t="shared" si="172"/>
        <v>600</v>
      </c>
      <c r="AX156" s="60">
        <f t="shared" si="173"/>
        <v>0.11</v>
      </c>
      <c r="AY156" s="212">
        <f t="shared" si="189"/>
        <v>0</v>
      </c>
      <c r="AZ156" s="59">
        <f t="shared" si="174"/>
        <v>0</v>
      </c>
      <c r="BA156" s="21" t="e">
        <f t="shared" si="175"/>
        <v>#DIV/0!</v>
      </c>
      <c r="BB156" s="58">
        <f t="shared" si="176"/>
        <v>2900</v>
      </c>
      <c r="BC156" s="58">
        <f t="shared" si="177"/>
        <v>1160</v>
      </c>
      <c r="BD156" s="60">
        <f t="shared" si="178"/>
        <v>0.15</v>
      </c>
      <c r="BE156" s="212" t="e">
        <f t="shared" si="190"/>
        <v>#NUM!</v>
      </c>
      <c r="BF156" s="59" t="e">
        <f t="shared" si="179"/>
        <v>#NUM!</v>
      </c>
      <c r="BG156" s="21" t="e">
        <f t="shared" si="180"/>
        <v>#NUM!</v>
      </c>
      <c r="BH156" s="55">
        <f t="shared" ca="1" si="183"/>
        <v>0</v>
      </c>
    </row>
    <row r="157" spans="1:60" x14ac:dyDescent="0.2">
      <c r="A157" s="61">
        <f ca="1">RANK(W157,W$12:W$311,0)+COUNTIF(W$12:W157,W157)-1</f>
        <v>155</v>
      </c>
      <c r="B157" s="55">
        <f>'Etape 1'!A153</f>
        <v>146</v>
      </c>
      <c r="C157" s="55">
        <f>'Etape 1'!B153</f>
        <v>0</v>
      </c>
      <c r="D157" s="55">
        <f>'Etape 1'!C153</f>
        <v>0</v>
      </c>
      <c r="E157" s="55">
        <f>'Etape 1'!D153</f>
        <v>0</v>
      </c>
      <c r="F157" s="55">
        <f>'Etape 1'!E153</f>
        <v>0</v>
      </c>
      <c r="G157" s="55">
        <f>'Etape 1'!F153</f>
        <v>0</v>
      </c>
      <c r="H157" s="55">
        <f>'Etape 1'!G153</f>
        <v>0</v>
      </c>
      <c r="I157" s="209">
        <v>1</v>
      </c>
      <c r="J157" s="58">
        <f t="shared" si="191"/>
        <v>0</v>
      </c>
      <c r="K157" s="21">
        <f t="shared" si="143"/>
        <v>0</v>
      </c>
      <c r="L157" s="21">
        <f t="shared" si="144"/>
        <v>0</v>
      </c>
      <c r="M157" s="21">
        <f t="shared" ca="1" si="145"/>
        <v>3</v>
      </c>
      <c r="N157" s="21">
        <f t="shared" ca="1" si="146"/>
        <v>3</v>
      </c>
      <c r="O157" s="21">
        <f t="shared" ca="1" si="147"/>
        <v>0</v>
      </c>
      <c r="P157" s="262" t="str">
        <f>IF('Etape 1'!J153=999,"",IF('Etape 1'!J153=9999,txt_Schritt1.Angaben.fehlen,VLOOKUP(N157,Matrix_1.2.3.Test.Punkte.ID.Beurteilung,4,1)))</f>
        <v/>
      </c>
      <c r="Q157" s="21">
        <f t="shared" ca="1" si="148"/>
        <v>0</v>
      </c>
      <c r="R157" s="136">
        <f t="shared" si="184"/>
        <v>146</v>
      </c>
      <c r="S157" s="136">
        <f t="shared" ca="1" si="181"/>
        <v>162.48504983388705</v>
      </c>
      <c r="T157" s="136">
        <f t="shared" ca="1" si="185"/>
        <v>750.48504983388705</v>
      </c>
      <c r="U157" s="136">
        <f t="shared" ca="1" si="186"/>
        <v>1224000.4850498338</v>
      </c>
      <c r="V157" s="211">
        <f t="shared" ca="1" si="187"/>
        <v>235406.6770941533</v>
      </c>
      <c r="W157" s="136">
        <f t="shared" ca="1" si="182"/>
        <v>146</v>
      </c>
      <c r="X157" s="136">
        <f t="shared" ca="1" si="149"/>
        <v>162.999000999001</v>
      </c>
      <c r="Y157" s="21">
        <f t="shared" si="150"/>
        <v>1</v>
      </c>
      <c r="Z157" s="21" t="str">
        <f t="shared" si="151"/>
        <v>&lt;IE0</v>
      </c>
      <c r="AA157" s="21">
        <f t="shared" si="152"/>
        <v>1</v>
      </c>
      <c r="AB157" s="21" t="str">
        <f t="shared" si="153"/>
        <v>a - "&lt; 1990 (Eff3)"</v>
      </c>
      <c r="AC157" s="21">
        <f t="shared" si="154"/>
        <v>999999</v>
      </c>
      <c r="AD157" s="21" t="str">
        <f t="shared" si="155"/>
        <v/>
      </c>
      <c r="AE157" s="21" t="str">
        <f t="shared" si="156"/>
        <v/>
      </c>
      <c r="AF157" s="21" t="str">
        <f t="shared" si="157"/>
        <v/>
      </c>
      <c r="AG157" s="21">
        <f t="shared" si="158"/>
        <v>0</v>
      </c>
      <c r="AH157" s="21">
        <f>IF('Etape 1'!H153=St.Wert_Hacken,1,0)</f>
        <v>0</v>
      </c>
      <c r="AI157" s="21">
        <f t="shared" si="159"/>
        <v>0</v>
      </c>
      <c r="AJ157" s="21">
        <f t="shared" si="160"/>
        <v>1000999</v>
      </c>
      <c r="AK157" s="58">
        <f t="shared" si="161"/>
        <v>1100</v>
      </c>
      <c r="AL157" s="58">
        <f t="shared" si="162"/>
        <v>440</v>
      </c>
      <c r="AM157" s="21">
        <f t="shared" si="163"/>
        <v>0</v>
      </c>
      <c r="AN157" s="58">
        <f t="shared" si="164"/>
        <v>1</v>
      </c>
      <c r="AO157" s="58" t="str">
        <f t="shared" si="165"/>
        <v>114</v>
      </c>
      <c r="AP157" s="58" t="str">
        <f t="shared" si="166"/>
        <v>164</v>
      </c>
      <c r="AQ157" s="21" t="e">
        <f t="shared" si="167"/>
        <v>#NUM!</v>
      </c>
      <c r="AR157" s="21" t="e">
        <f t="shared" si="168"/>
        <v>#NUM!</v>
      </c>
      <c r="AS157" s="136" t="e">
        <f t="shared" si="188"/>
        <v>#NUM!</v>
      </c>
      <c r="AT157" s="59" t="e">
        <f t="shared" si="169"/>
        <v>#NUM!</v>
      </c>
      <c r="AU157" s="21" t="e">
        <f t="shared" si="170"/>
        <v>#NUM!</v>
      </c>
      <c r="AV157" s="58">
        <f t="shared" si="171"/>
        <v>1500</v>
      </c>
      <c r="AW157" s="58">
        <f t="shared" si="172"/>
        <v>600</v>
      </c>
      <c r="AX157" s="60">
        <f t="shared" si="173"/>
        <v>0.11</v>
      </c>
      <c r="AY157" s="212">
        <f t="shared" si="189"/>
        <v>0</v>
      </c>
      <c r="AZ157" s="59">
        <f t="shared" si="174"/>
        <v>0</v>
      </c>
      <c r="BA157" s="21" t="e">
        <f t="shared" si="175"/>
        <v>#DIV/0!</v>
      </c>
      <c r="BB157" s="58">
        <f t="shared" si="176"/>
        <v>2900</v>
      </c>
      <c r="BC157" s="58">
        <f t="shared" si="177"/>
        <v>1160</v>
      </c>
      <c r="BD157" s="60">
        <f t="shared" si="178"/>
        <v>0.15</v>
      </c>
      <c r="BE157" s="212" t="e">
        <f t="shared" si="190"/>
        <v>#NUM!</v>
      </c>
      <c r="BF157" s="59" t="e">
        <f t="shared" si="179"/>
        <v>#NUM!</v>
      </c>
      <c r="BG157" s="21" t="e">
        <f t="shared" si="180"/>
        <v>#NUM!</v>
      </c>
      <c r="BH157" s="55">
        <f t="shared" ca="1" si="183"/>
        <v>0</v>
      </c>
    </row>
    <row r="158" spans="1:60" x14ac:dyDescent="0.2">
      <c r="A158" s="61">
        <f ca="1">RANK(W158,W$12:W$311,0)+COUNTIF(W$12:W158,W158)-1</f>
        <v>154</v>
      </c>
      <c r="B158" s="55">
        <f>'Etape 1'!A154</f>
        <v>147</v>
      </c>
      <c r="C158" s="55">
        <f>'Etape 1'!B154</f>
        <v>0</v>
      </c>
      <c r="D158" s="55">
        <f>'Etape 1'!C154</f>
        <v>0</v>
      </c>
      <c r="E158" s="55">
        <f>'Etape 1'!D154</f>
        <v>0</v>
      </c>
      <c r="F158" s="55">
        <f>'Etape 1'!E154</f>
        <v>0</v>
      </c>
      <c r="G158" s="55">
        <f>'Etape 1'!F154</f>
        <v>0</v>
      </c>
      <c r="H158" s="55">
        <f>'Etape 1'!G154</f>
        <v>0</v>
      </c>
      <c r="I158" s="209">
        <v>1</v>
      </c>
      <c r="J158" s="58">
        <f t="shared" si="191"/>
        <v>0</v>
      </c>
      <c r="K158" s="21">
        <f t="shared" si="143"/>
        <v>0</v>
      </c>
      <c r="L158" s="21">
        <f t="shared" si="144"/>
        <v>0</v>
      </c>
      <c r="M158" s="21">
        <f t="shared" ca="1" si="145"/>
        <v>3</v>
      </c>
      <c r="N158" s="21">
        <f t="shared" ca="1" si="146"/>
        <v>3</v>
      </c>
      <c r="O158" s="21">
        <f t="shared" ca="1" si="147"/>
        <v>0</v>
      </c>
      <c r="P158" s="262" t="str">
        <f>IF('Etape 1'!J154=999,"",IF('Etape 1'!J154=9999,txt_Schritt1.Angaben.fehlen,VLOOKUP(N158,Matrix_1.2.3.Test.Punkte.ID.Beurteilung,4,1)))</f>
        <v/>
      </c>
      <c r="Q158" s="21">
        <f t="shared" ca="1" si="148"/>
        <v>0</v>
      </c>
      <c r="R158" s="136">
        <f t="shared" si="184"/>
        <v>147</v>
      </c>
      <c r="S158" s="136">
        <f t="shared" ca="1" si="181"/>
        <v>162.48837209302326</v>
      </c>
      <c r="T158" s="136">
        <f t="shared" ca="1" si="185"/>
        <v>750.48837209302326</v>
      </c>
      <c r="U158" s="136">
        <f t="shared" ca="1" si="186"/>
        <v>1224000.4883720931</v>
      </c>
      <c r="V158" s="211">
        <f t="shared" ca="1" si="187"/>
        <v>235406.68041641245</v>
      </c>
      <c r="W158" s="136">
        <f t="shared" ca="1" si="182"/>
        <v>147</v>
      </c>
      <c r="X158" s="136">
        <f t="shared" ca="1" si="149"/>
        <v>162.999000999001</v>
      </c>
      <c r="Y158" s="21">
        <f t="shared" si="150"/>
        <v>1</v>
      </c>
      <c r="Z158" s="21" t="str">
        <f t="shared" si="151"/>
        <v>&lt;IE0</v>
      </c>
      <c r="AA158" s="21">
        <f t="shared" si="152"/>
        <v>1</v>
      </c>
      <c r="AB158" s="21" t="str">
        <f t="shared" si="153"/>
        <v>a - "&lt; 1990 (Eff3)"</v>
      </c>
      <c r="AC158" s="21">
        <f t="shared" si="154"/>
        <v>999999</v>
      </c>
      <c r="AD158" s="21" t="str">
        <f t="shared" si="155"/>
        <v/>
      </c>
      <c r="AE158" s="21" t="str">
        <f t="shared" si="156"/>
        <v/>
      </c>
      <c r="AF158" s="21" t="str">
        <f t="shared" si="157"/>
        <v/>
      </c>
      <c r="AG158" s="21">
        <f t="shared" si="158"/>
        <v>0</v>
      </c>
      <c r="AH158" s="21">
        <f>IF('Etape 1'!H154=St.Wert_Hacken,1,0)</f>
        <v>0</v>
      </c>
      <c r="AI158" s="21">
        <f t="shared" si="159"/>
        <v>0</v>
      </c>
      <c r="AJ158" s="21">
        <f t="shared" si="160"/>
        <v>1000999</v>
      </c>
      <c r="AK158" s="58">
        <f t="shared" si="161"/>
        <v>1100</v>
      </c>
      <c r="AL158" s="58">
        <f t="shared" si="162"/>
        <v>440</v>
      </c>
      <c r="AM158" s="21">
        <f t="shared" si="163"/>
        <v>0</v>
      </c>
      <c r="AN158" s="58">
        <f t="shared" si="164"/>
        <v>1</v>
      </c>
      <c r="AO158" s="58" t="str">
        <f t="shared" si="165"/>
        <v>114</v>
      </c>
      <c r="AP158" s="58" t="str">
        <f t="shared" si="166"/>
        <v>164</v>
      </c>
      <c r="AQ158" s="21" t="e">
        <f t="shared" si="167"/>
        <v>#NUM!</v>
      </c>
      <c r="AR158" s="21" t="e">
        <f t="shared" si="168"/>
        <v>#NUM!</v>
      </c>
      <c r="AS158" s="136" t="e">
        <f t="shared" si="188"/>
        <v>#NUM!</v>
      </c>
      <c r="AT158" s="59" t="e">
        <f t="shared" si="169"/>
        <v>#NUM!</v>
      </c>
      <c r="AU158" s="21" t="e">
        <f t="shared" si="170"/>
        <v>#NUM!</v>
      </c>
      <c r="AV158" s="58">
        <f t="shared" si="171"/>
        <v>1500</v>
      </c>
      <c r="AW158" s="58">
        <f t="shared" si="172"/>
        <v>600</v>
      </c>
      <c r="AX158" s="60">
        <f t="shared" si="173"/>
        <v>0.11</v>
      </c>
      <c r="AY158" s="212">
        <f t="shared" si="189"/>
        <v>0</v>
      </c>
      <c r="AZ158" s="59">
        <f t="shared" si="174"/>
        <v>0</v>
      </c>
      <c r="BA158" s="21" t="e">
        <f t="shared" si="175"/>
        <v>#DIV/0!</v>
      </c>
      <c r="BB158" s="58">
        <f t="shared" si="176"/>
        <v>2900</v>
      </c>
      <c r="BC158" s="58">
        <f t="shared" si="177"/>
        <v>1160</v>
      </c>
      <c r="BD158" s="60">
        <f t="shared" si="178"/>
        <v>0.15</v>
      </c>
      <c r="BE158" s="212" t="e">
        <f t="shared" si="190"/>
        <v>#NUM!</v>
      </c>
      <c r="BF158" s="59" t="e">
        <f t="shared" si="179"/>
        <v>#NUM!</v>
      </c>
      <c r="BG158" s="21" t="e">
        <f t="shared" si="180"/>
        <v>#NUM!</v>
      </c>
      <c r="BH158" s="55">
        <f t="shared" ca="1" si="183"/>
        <v>0</v>
      </c>
    </row>
    <row r="159" spans="1:60" x14ac:dyDescent="0.2">
      <c r="A159" s="61">
        <f ca="1">RANK(W159,W$12:W$311,0)+COUNTIF(W$12:W159,W159)-1</f>
        <v>153</v>
      </c>
      <c r="B159" s="55">
        <f>'Etape 1'!A155</f>
        <v>148</v>
      </c>
      <c r="C159" s="55">
        <f>'Etape 1'!B155</f>
        <v>0</v>
      </c>
      <c r="D159" s="55">
        <f>'Etape 1'!C155</f>
        <v>0</v>
      </c>
      <c r="E159" s="55">
        <f>'Etape 1'!D155</f>
        <v>0</v>
      </c>
      <c r="F159" s="55">
        <f>'Etape 1'!E155</f>
        <v>0</v>
      </c>
      <c r="G159" s="55">
        <f>'Etape 1'!F155</f>
        <v>0</v>
      </c>
      <c r="H159" s="55">
        <f>'Etape 1'!G155</f>
        <v>0</v>
      </c>
      <c r="I159" s="209">
        <v>1</v>
      </c>
      <c r="J159" s="58">
        <f t="shared" si="191"/>
        <v>0</v>
      </c>
      <c r="K159" s="21">
        <f t="shared" si="143"/>
        <v>0</v>
      </c>
      <c r="L159" s="21">
        <f t="shared" si="144"/>
        <v>0</v>
      </c>
      <c r="M159" s="21">
        <f t="shared" ca="1" si="145"/>
        <v>3</v>
      </c>
      <c r="N159" s="21">
        <f t="shared" ca="1" si="146"/>
        <v>3</v>
      </c>
      <c r="O159" s="21">
        <f t="shared" ca="1" si="147"/>
        <v>0</v>
      </c>
      <c r="P159" s="262" t="str">
        <f>IF('Etape 1'!J155=999,"",IF('Etape 1'!J155=9999,txt_Schritt1.Angaben.fehlen,VLOOKUP(N159,Matrix_1.2.3.Test.Punkte.ID.Beurteilung,4,1)))</f>
        <v/>
      </c>
      <c r="Q159" s="21">
        <f t="shared" ca="1" si="148"/>
        <v>0</v>
      </c>
      <c r="R159" s="136">
        <f t="shared" si="184"/>
        <v>148</v>
      </c>
      <c r="S159" s="136">
        <f t="shared" ca="1" si="181"/>
        <v>162.49169435215947</v>
      </c>
      <c r="T159" s="136">
        <f t="shared" ca="1" si="185"/>
        <v>750.49169435215947</v>
      </c>
      <c r="U159" s="136">
        <f t="shared" ca="1" si="186"/>
        <v>1224000.4916943521</v>
      </c>
      <c r="V159" s="211">
        <f t="shared" ca="1" si="187"/>
        <v>235406.68373867156</v>
      </c>
      <c r="W159" s="136">
        <f t="shared" ca="1" si="182"/>
        <v>148</v>
      </c>
      <c r="X159" s="136">
        <f t="shared" ca="1" si="149"/>
        <v>162.999000999001</v>
      </c>
      <c r="Y159" s="21">
        <f t="shared" si="150"/>
        <v>1</v>
      </c>
      <c r="Z159" s="21" t="str">
        <f t="shared" si="151"/>
        <v>&lt;IE0</v>
      </c>
      <c r="AA159" s="21">
        <f t="shared" si="152"/>
        <v>1</v>
      </c>
      <c r="AB159" s="21" t="str">
        <f t="shared" si="153"/>
        <v>a - "&lt; 1990 (Eff3)"</v>
      </c>
      <c r="AC159" s="21">
        <f t="shared" si="154"/>
        <v>999999</v>
      </c>
      <c r="AD159" s="21" t="str">
        <f t="shared" si="155"/>
        <v/>
      </c>
      <c r="AE159" s="21" t="str">
        <f t="shared" si="156"/>
        <v/>
      </c>
      <c r="AF159" s="21" t="str">
        <f t="shared" si="157"/>
        <v/>
      </c>
      <c r="AG159" s="21">
        <f t="shared" si="158"/>
        <v>0</v>
      </c>
      <c r="AH159" s="21">
        <f>IF('Etape 1'!H155=St.Wert_Hacken,1,0)</f>
        <v>0</v>
      </c>
      <c r="AI159" s="21">
        <f t="shared" si="159"/>
        <v>0</v>
      </c>
      <c r="AJ159" s="21">
        <f t="shared" si="160"/>
        <v>1000999</v>
      </c>
      <c r="AK159" s="58">
        <f t="shared" si="161"/>
        <v>1100</v>
      </c>
      <c r="AL159" s="58">
        <f t="shared" si="162"/>
        <v>440</v>
      </c>
      <c r="AM159" s="21">
        <f t="shared" si="163"/>
        <v>0</v>
      </c>
      <c r="AN159" s="58">
        <f t="shared" si="164"/>
        <v>1</v>
      </c>
      <c r="AO159" s="58" t="str">
        <f t="shared" si="165"/>
        <v>114</v>
      </c>
      <c r="AP159" s="58" t="str">
        <f t="shared" si="166"/>
        <v>164</v>
      </c>
      <c r="AQ159" s="21" t="e">
        <f t="shared" si="167"/>
        <v>#NUM!</v>
      </c>
      <c r="AR159" s="21" t="e">
        <f t="shared" si="168"/>
        <v>#NUM!</v>
      </c>
      <c r="AS159" s="136" t="e">
        <f t="shared" si="188"/>
        <v>#NUM!</v>
      </c>
      <c r="AT159" s="59" t="e">
        <f t="shared" si="169"/>
        <v>#NUM!</v>
      </c>
      <c r="AU159" s="21" t="e">
        <f t="shared" si="170"/>
        <v>#NUM!</v>
      </c>
      <c r="AV159" s="58">
        <f t="shared" si="171"/>
        <v>1500</v>
      </c>
      <c r="AW159" s="58">
        <f t="shared" si="172"/>
        <v>600</v>
      </c>
      <c r="AX159" s="60">
        <f t="shared" si="173"/>
        <v>0.11</v>
      </c>
      <c r="AY159" s="212">
        <f t="shared" si="189"/>
        <v>0</v>
      </c>
      <c r="AZ159" s="59">
        <f t="shared" si="174"/>
        <v>0</v>
      </c>
      <c r="BA159" s="21" t="e">
        <f t="shared" si="175"/>
        <v>#DIV/0!</v>
      </c>
      <c r="BB159" s="58">
        <f t="shared" si="176"/>
        <v>2900</v>
      </c>
      <c r="BC159" s="58">
        <f t="shared" si="177"/>
        <v>1160</v>
      </c>
      <c r="BD159" s="60">
        <f t="shared" si="178"/>
        <v>0.15</v>
      </c>
      <c r="BE159" s="212" t="e">
        <f t="shared" si="190"/>
        <v>#NUM!</v>
      </c>
      <c r="BF159" s="59" t="e">
        <f t="shared" si="179"/>
        <v>#NUM!</v>
      </c>
      <c r="BG159" s="21" t="e">
        <f t="shared" si="180"/>
        <v>#NUM!</v>
      </c>
      <c r="BH159" s="55">
        <f t="shared" ca="1" si="183"/>
        <v>0</v>
      </c>
    </row>
    <row r="160" spans="1:60" x14ac:dyDescent="0.2">
      <c r="A160" s="61">
        <f ca="1">RANK(W160,W$12:W$311,0)+COUNTIF(W$12:W160,W160)-1</f>
        <v>152</v>
      </c>
      <c r="B160" s="55">
        <f>'Etape 1'!A156</f>
        <v>149</v>
      </c>
      <c r="C160" s="55">
        <f>'Etape 1'!B156</f>
        <v>0</v>
      </c>
      <c r="D160" s="55">
        <f>'Etape 1'!C156</f>
        <v>0</v>
      </c>
      <c r="E160" s="55">
        <f>'Etape 1'!D156</f>
        <v>0</v>
      </c>
      <c r="F160" s="55">
        <f>'Etape 1'!E156</f>
        <v>0</v>
      </c>
      <c r="G160" s="55">
        <f>'Etape 1'!F156</f>
        <v>0</v>
      </c>
      <c r="H160" s="55">
        <f>'Etape 1'!G156</f>
        <v>0</v>
      </c>
      <c r="I160" s="209">
        <v>1</v>
      </c>
      <c r="J160" s="58">
        <f t="shared" si="191"/>
        <v>0</v>
      </c>
      <c r="K160" s="21">
        <f t="shared" si="143"/>
        <v>0</v>
      </c>
      <c r="L160" s="21">
        <f t="shared" si="144"/>
        <v>0</v>
      </c>
      <c r="M160" s="21">
        <f t="shared" ca="1" si="145"/>
        <v>3</v>
      </c>
      <c r="N160" s="21">
        <f t="shared" ca="1" si="146"/>
        <v>3</v>
      </c>
      <c r="O160" s="21">
        <f t="shared" ca="1" si="147"/>
        <v>0</v>
      </c>
      <c r="P160" s="262" t="str">
        <f>IF('Etape 1'!J156=999,"",IF('Etape 1'!J156=9999,txt_Schritt1.Angaben.fehlen,VLOOKUP(N160,Matrix_1.2.3.Test.Punkte.ID.Beurteilung,4,1)))</f>
        <v/>
      </c>
      <c r="Q160" s="21">
        <f t="shared" ca="1" si="148"/>
        <v>0</v>
      </c>
      <c r="R160" s="136">
        <f t="shared" si="184"/>
        <v>149</v>
      </c>
      <c r="S160" s="136">
        <f t="shared" ca="1" si="181"/>
        <v>162.49501661129568</v>
      </c>
      <c r="T160" s="136">
        <f t="shared" ca="1" si="185"/>
        <v>750.49501661129568</v>
      </c>
      <c r="U160" s="136">
        <f t="shared" ca="1" si="186"/>
        <v>1224000.4950166112</v>
      </c>
      <c r="V160" s="211">
        <f t="shared" ca="1" si="187"/>
        <v>235406.68706093071</v>
      </c>
      <c r="W160" s="136">
        <f t="shared" ca="1" si="182"/>
        <v>149</v>
      </c>
      <c r="X160" s="136">
        <f t="shared" ca="1" si="149"/>
        <v>162.999000999001</v>
      </c>
      <c r="Y160" s="21">
        <f t="shared" si="150"/>
        <v>1</v>
      </c>
      <c r="Z160" s="21" t="str">
        <f t="shared" si="151"/>
        <v>&lt;IE0</v>
      </c>
      <c r="AA160" s="21">
        <f t="shared" si="152"/>
        <v>1</v>
      </c>
      <c r="AB160" s="21" t="str">
        <f t="shared" si="153"/>
        <v>a - "&lt; 1990 (Eff3)"</v>
      </c>
      <c r="AC160" s="21">
        <f t="shared" si="154"/>
        <v>999999</v>
      </c>
      <c r="AD160" s="21" t="str">
        <f t="shared" si="155"/>
        <v/>
      </c>
      <c r="AE160" s="21" t="str">
        <f t="shared" si="156"/>
        <v/>
      </c>
      <c r="AF160" s="21" t="str">
        <f t="shared" si="157"/>
        <v/>
      </c>
      <c r="AG160" s="21">
        <f t="shared" si="158"/>
        <v>0</v>
      </c>
      <c r="AH160" s="21">
        <f>IF('Etape 1'!H156=St.Wert_Hacken,1,0)</f>
        <v>0</v>
      </c>
      <c r="AI160" s="21">
        <f t="shared" si="159"/>
        <v>0</v>
      </c>
      <c r="AJ160" s="21">
        <f t="shared" si="160"/>
        <v>1000999</v>
      </c>
      <c r="AK160" s="58">
        <f t="shared" si="161"/>
        <v>1100</v>
      </c>
      <c r="AL160" s="58">
        <f t="shared" si="162"/>
        <v>440</v>
      </c>
      <c r="AM160" s="21">
        <f t="shared" si="163"/>
        <v>0</v>
      </c>
      <c r="AN160" s="58">
        <f t="shared" si="164"/>
        <v>1</v>
      </c>
      <c r="AO160" s="58" t="str">
        <f t="shared" si="165"/>
        <v>114</v>
      </c>
      <c r="AP160" s="58" t="str">
        <f t="shared" si="166"/>
        <v>164</v>
      </c>
      <c r="AQ160" s="21" t="e">
        <f t="shared" si="167"/>
        <v>#NUM!</v>
      </c>
      <c r="AR160" s="21" t="e">
        <f t="shared" si="168"/>
        <v>#NUM!</v>
      </c>
      <c r="AS160" s="136" t="e">
        <f t="shared" si="188"/>
        <v>#NUM!</v>
      </c>
      <c r="AT160" s="59" t="e">
        <f t="shared" si="169"/>
        <v>#NUM!</v>
      </c>
      <c r="AU160" s="21" t="e">
        <f t="shared" si="170"/>
        <v>#NUM!</v>
      </c>
      <c r="AV160" s="58">
        <f t="shared" si="171"/>
        <v>1500</v>
      </c>
      <c r="AW160" s="58">
        <f t="shared" si="172"/>
        <v>600</v>
      </c>
      <c r="AX160" s="60">
        <f t="shared" si="173"/>
        <v>0.11</v>
      </c>
      <c r="AY160" s="212">
        <f t="shared" si="189"/>
        <v>0</v>
      </c>
      <c r="AZ160" s="59">
        <f t="shared" si="174"/>
        <v>0</v>
      </c>
      <c r="BA160" s="21" t="e">
        <f t="shared" si="175"/>
        <v>#DIV/0!</v>
      </c>
      <c r="BB160" s="58">
        <f t="shared" si="176"/>
        <v>2900</v>
      </c>
      <c r="BC160" s="58">
        <f t="shared" si="177"/>
        <v>1160</v>
      </c>
      <c r="BD160" s="60">
        <f t="shared" si="178"/>
        <v>0.15</v>
      </c>
      <c r="BE160" s="212" t="e">
        <f t="shared" si="190"/>
        <v>#NUM!</v>
      </c>
      <c r="BF160" s="59" t="e">
        <f t="shared" si="179"/>
        <v>#NUM!</v>
      </c>
      <c r="BG160" s="21" t="e">
        <f t="shared" si="180"/>
        <v>#NUM!</v>
      </c>
      <c r="BH160" s="55">
        <f t="shared" ca="1" si="183"/>
        <v>0</v>
      </c>
    </row>
    <row r="161" spans="1:60" x14ac:dyDescent="0.2">
      <c r="A161" s="61">
        <f ca="1">RANK(W161,W$12:W$311,0)+COUNTIF(W$12:W161,W161)-1</f>
        <v>151</v>
      </c>
      <c r="B161" s="55">
        <f>'Etape 1'!A157</f>
        <v>150</v>
      </c>
      <c r="C161" s="55">
        <f>'Etape 1'!B157</f>
        <v>0</v>
      </c>
      <c r="D161" s="55">
        <f>'Etape 1'!C157</f>
        <v>0</v>
      </c>
      <c r="E161" s="55">
        <f>'Etape 1'!D157</f>
        <v>0</v>
      </c>
      <c r="F161" s="55">
        <f>'Etape 1'!E157</f>
        <v>0</v>
      </c>
      <c r="G161" s="55">
        <f>'Etape 1'!F157</f>
        <v>0</v>
      </c>
      <c r="H161" s="55">
        <f>'Etape 1'!G157</f>
        <v>0</v>
      </c>
      <c r="I161" s="209">
        <v>1</v>
      </c>
      <c r="J161" s="58">
        <f t="shared" si="191"/>
        <v>0</v>
      </c>
      <c r="K161" s="21">
        <f t="shared" si="143"/>
        <v>0</v>
      </c>
      <c r="L161" s="21">
        <f t="shared" si="144"/>
        <v>0</v>
      </c>
      <c r="M161" s="21">
        <f t="shared" ca="1" si="145"/>
        <v>3</v>
      </c>
      <c r="N161" s="21">
        <f t="shared" ca="1" si="146"/>
        <v>3</v>
      </c>
      <c r="O161" s="21">
        <f t="shared" ca="1" si="147"/>
        <v>0</v>
      </c>
      <c r="P161" s="262" t="str">
        <f>IF('Etape 1'!J157=999,"",IF('Etape 1'!J157=9999,txt_Schritt1.Angaben.fehlen,VLOOKUP(N161,Matrix_1.2.3.Test.Punkte.ID.Beurteilung,4,1)))</f>
        <v/>
      </c>
      <c r="Q161" s="21">
        <f t="shared" ca="1" si="148"/>
        <v>0</v>
      </c>
      <c r="R161" s="136">
        <f t="shared" si="184"/>
        <v>150</v>
      </c>
      <c r="S161" s="136">
        <f t="shared" ca="1" si="181"/>
        <v>162.49833887043189</v>
      </c>
      <c r="T161" s="136">
        <f t="shared" ca="1" si="185"/>
        <v>750.49833887043189</v>
      </c>
      <c r="U161" s="136">
        <f t="shared" ca="1" si="186"/>
        <v>1224000.4983388705</v>
      </c>
      <c r="V161" s="211">
        <f t="shared" ca="1" si="187"/>
        <v>235406.69038318985</v>
      </c>
      <c r="W161" s="136">
        <f t="shared" ca="1" si="182"/>
        <v>150</v>
      </c>
      <c r="X161" s="136">
        <f t="shared" ca="1" si="149"/>
        <v>162.999000999001</v>
      </c>
      <c r="Y161" s="21">
        <f t="shared" si="150"/>
        <v>1</v>
      </c>
      <c r="Z161" s="21" t="str">
        <f t="shared" si="151"/>
        <v>&lt;IE0</v>
      </c>
      <c r="AA161" s="21">
        <f t="shared" si="152"/>
        <v>1</v>
      </c>
      <c r="AB161" s="21" t="str">
        <f t="shared" si="153"/>
        <v>a - "&lt; 1990 (Eff3)"</v>
      </c>
      <c r="AC161" s="21">
        <f t="shared" si="154"/>
        <v>999999</v>
      </c>
      <c r="AD161" s="21" t="str">
        <f t="shared" si="155"/>
        <v/>
      </c>
      <c r="AE161" s="21" t="str">
        <f t="shared" si="156"/>
        <v/>
      </c>
      <c r="AF161" s="21" t="str">
        <f t="shared" si="157"/>
        <v/>
      </c>
      <c r="AG161" s="21">
        <f t="shared" si="158"/>
        <v>0</v>
      </c>
      <c r="AH161" s="21">
        <f>IF('Etape 1'!H157=St.Wert_Hacken,1,0)</f>
        <v>0</v>
      </c>
      <c r="AI161" s="21">
        <f t="shared" si="159"/>
        <v>0</v>
      </c>
      <c r="AJ161" s="21">
        <f t="shared" si="160"/>
        <v>1000999</v>
      </c>
      <c r="AK161" s="58">
        <f t="shared" si="161"/>
        <v>1100</v>
      </c>
      <c r="AL161" s="58">
        <f t="shared" si="162"/>
        <v>440</v>
      </c>
      <c r="AM161" s="21">
        <f t="shared" si="163"/>
        <v>0</v>
      </c>
      <c r="AN161" s="58">
        <f t="shared" si="164"/>
        <v>1</v>
      </c>
      <c r="AO161" s="58" t="str">
        <f t="shared" si="165"/>
        <v>114</v>
      </c>
      <c r="AP161" s="58" t="str">
        <f t="shared" si="166"/>
        <v>164</v>
      </c>
      <c r="AQ161" s="21" t="e">
        <f t="shared" si="167"/>
        <v>#NUM!</v>
      </c>
      <c r="AR161" s="21" t="e">
        <f t="shared" si="168"/>
        <v>#NUM!</v>
      </c>
      <c r="AS161" s="136" t="e">
        <f t="shared" si="188"/>
        <v>#NUM!</v>
      </c>
      <c r="AT161" s="59" t="e">
        <f t="shared" si="169"/>
        <v>#NUM!</v>
      </c>
      <c r="AU161" s="21" t="e">
        <f t="shared" si="170"/>
        <v>#NUM!</v>
      </c>
      <c r="AV161" s="58">
        <f t="shared" si="171"/>
        <v>1500</v>
      </c>
      <c r="AW161" s="58">
        <f t="shared" si="172"/>
        <v>600</v>
      </c>
      <c r="AX161" s="60">
        <f t="shared" si="173"/>
        <v>0.11</v>
      </c>
      <c r="AY161" s="212">
        <f t="shared" si="189"/>
        <v>0</v>
      </c>
      <c r="AZ161" s="59">
        <f t="shared" si="174"/>
        <v>0</v>
      </c>
      <c r="BA161" s="21" t="e">
        <f t="shared" si="175"/>
        <v>#DIV/0!</v>
      </c>
      <c r="BB161" s="58">
        <f t="shared" si="176"/>
        <v>2900</v>
      </c>
      <c r="BC161" s="58">
        <f t="shared" si="177"/>
        <v>1160</v>
      </c>
      <c r="BD161" s="60">
        <f t="shared" si="178"/>
        <v>0.15</v>
      </c>
      <c r="BE161" s="212" t="e">
        <f t="shared" si="190"/>
        <v>#NUM!</v>
      </c>
      <c r="BF161" s="59" t="e">
        <f t="shared" si="179"/>
        <v>#NUM!</v>
      </c>
      <c r="BG161" s="21" t="e">
        <f t="shared" si="180"/>
        <v>#NUM!</v>
      </c>
      <c r="BH161" s="55">
        <f t="shared" ca="1" si="183"/>
        <v>0</v>
      </c>
    </row>
    <row r="162" spans="1:60" x14ac:dyDescent="0.2">
      <c r="A162" s="61">
        <f ca="1">RANK(W162,W$12:W$311,0)+COUNTIF(W$12:W162,W162)-1</f>
        <v>150</v>
      </c>
      <c r="B162" s="55">
        <f>'Etape 1'!A158</f>
        <v>151</v>
      </c>
      <c r="C162" s="55">
        <f>'Etape 1'!B158</f>
        <v>0</v>
      </c>
      <c r="D162" s="55">
        <f>'Etape 1'!C158</f>
        <v>0</v>
      </c>
      <c r="E162" s="55">
        <f>'Etape 1'!D158</f>
        <v>0</v>
      </c>
      <c r="F162" s="55">
        <f>'Etape 1'!E158</f>
        <v>0</v>
      </c>
      <c r="G162" s="55">
        <f>'Etape 1'!F158</f>
        <v>0</v>
      </c>
      <c r="H162" s="55">
        <f>'Etape 1'!G158</f>
        <v>0</v>
      </c>
      <c r="I162" s="209">
        <v>1</v>
      </c>
      <c r="J162" s="58">
        <f t="shared" si="191"/>
        <v>0</v>
      </c>
      <c r="K162" s="21">
        <f t="shared" si="143"/>
        <v>0</v>
      </c>
      <c r="L162" s="21">
        <f t="shared" si="144"/>
        <v>0</v>
      </c>
      <c r="M162" s="21">
        <f t="shared" ca="1" si="145"/>
        <v>3</v>
      </c>
      <c r="N162" s="21">
        <f t="shared" ca="1" si="146"/>
        <v>3</v>
      </c>
      <c r="O162" s="21">
        <f t="shared" ca="1" si="147"/>
        <v>0</v>
      </c>
      <c r="P162" s="262" t="str">
        <f>IF('Etape 1'!J158=999,"",IF('Etape 1'!J158=9999,txt_Schritt1.Angaben.fehlen,VLOOKUP(N162,Matrix_1.2.3.Test.Punkte.ID.Beurteilung,4,1)))</f>
        <v/>
      </c>
      <c r="Q162" s="21">
        <f t="shared" ca="1" si="148"/>
        <v>0</v>
      </c>
      <c r="R162" s="136">
        <f t="shared" si="184"/>
        <v>151</v>
      </c>
      <c r="S162" s="136">
        <f t="shared" ca="1" si="181"/>
        <v>162.50166112956811</v>
      </c>
      <c r="T162" s="136">
        <f t="shared" ca="1" si="185"/>
        <v>750.50166112956811</v>
      </c>
      <c r="U162" s="136">
        <f t="shared" ca="1" si="186"/>
        <v>1224000.5016611295</v>
      </c>
      <c r="V162" s="211">
        <f t="shared" ca="1" si="187"/>
        <v>235406.69370544897</v>
      </c>
      <c r="W162" s="136">
        <f t="shared" ca="1" si="182"/>
        <v>151</v>
      </c>
      <c r="X162" s="136">
        <f t="shared" ca="1" si="149"/>
        <v>162.999000999001</v>
      </c>
      <c r="Y162" s="21">
        <f t="shared" si="150"/>
        <v>1</v>
      </c>
      <c r="Z162" s="21" t="str">
        <f t="shared" si="151"/>
        <v>&lt;IE0</v>
      </c>
      <c r="AA162" s="21">
        <f t="shared" si="152"/>
        <v>1</v>
      </c>
      <c r="AB162" s="21" t="str">
        <f t="shared" si="153"/>
        <v>a - "&lt; 1990 (Eff3)"</v>
      </c>
      <c r="AC162" s="21">
        <f t="shared" si="154"/>
        <v>999999</v>
      </c>
      <c r="AD162" s="21" t="str">
        <f t="shared" si="155"/>
        <v/>
      </c>
      <c r="AE162" s="21" t="str">
        <f t="shared" si="156"/>
        <v/>
      </c>
      <c r="AF162" s="21" t="str">
        <f t="shared" si="157"/>
        <v/>
      </c>
      <c r="AG162" s="21">
        <f t="shared" si="158"/>
        <v>0</v>
      </c>
      <c r="AH162" s="21">
        <f>IF('Etape 1'!H158=St.Wert_Hacken,1,0)</f>
        <v>0</v>
      </c>
      <c r="AI162" s="21">
        <f t="shared" si="159"/>
        <v>0</v>
      </c>
      <c r="AJ162" s="21">
        <f t="shared" si="160"/>
        <v>1000999</v>
      </c>
      <c r="AK162" s="58">
        <f t="shared" si="161"/>
        <v>1100</v>
      </c>
      <c r="AL162" s="58">
        <f t="shared" si="162"/>
        <v>440</v>
      </c>
      <c r="AM162" s="21">
        <f t="shared" si="163"/>
        <v>0</v>
      </c>
      <c r="AN162" s="58">
        <f t="shared" si="164"/>
        <v>1</v>
      </c>
      <c r="AO162" s="58" t="str">
        <f t="shared" si="165"/>
        <v>114</v>
      </c>
      <c r="AP162" s="58" t="str">
        <f t="shared" si="166"/>
        <v>164</v>
      </c>
      <c r="AQ162" s="21" t="e">
        <f t="shared" si="167"/>
        <v>#NUM!</v>
      </c>
      <c r="AR162" s="21" t="e">
        <f t="shared" si="168"/>
        <v>#NUM!</v>
      </c>
      <c r="AS162" s="136" t="e">
        <f t="shared" si="188"/>
        <v>#NUM!</v>
      </c>
      <c r="AT162" s="59" t="e">
        <f t="shared" si="169"/>
        <v>#NUM!</v>
      </c>
      <c r="AU162" s="21" t="e">
        <f t="shared" si="170"/>
        <v>#NUM!</v>
      </c>
      <c r="AV162" s="58">
        <f t="shared" si="171"/>
        <v>1500</v>
      </c>
      <c r="AW162" s="58">
        <f t="shared" si="172"/>
        <v>600</v>
      </c>
      <c r="AX162" s="60">
        <f t="shared" si="173"/>
        <v>0.11</v>
      </c>
      <c r="AY162" s="212">
        <f t="shared" si="189"/>
        <v>0</v>
      </c>
      <c r="AZ162" s="59">
        <f t="shared" si="174"/>
        <v>0</v>
      </c>
      <c r="BA162" s="21" t="e">
        <f t="shared" si="175"/>
        <v>#DIV/0!</v>
      </c>
      <c r="BB162" s="58">
        <f t="shared" si="176"/>
        <v>2900</v>
      </c>
      <c r="BC162" s="58">
        <f t="shared" si="177"/>
        <v>1160</v>
      </c>
      <c r="BD162" s="60">
        <f t="shared" si="178"/>
        <v>0.15</v>
      </c>
      <c r="BE162" s="212" t="e">
        <f t="shared" si="190"/>
        <v>#NUM!</v>
      </c>
      <c r="BF162" s="59" t="e">
        <f t="shared" si="179"/>
        <v>#NUM!</v>
      </c>
      <c r="BG162" s="21" t="e">
        <f t="shared" si="180"/>
        <v>#NUM!</v>
      </c>
      <c r="BH162" s="55">
        <f t="shared" ca="1" si="183"/>
        <v>0</v>
      </c>
    </row>
    <row r="163" spans="1:60" x14ac:dyDescent="0.2">
      <c r="A163" s="61">
        <f ca="1">RANK(W163,W$12:W$311,0)+COUNTIF(W$12:W163,W163)-1</f>
        <v>149</v>
      </c>
      <c r="B163" s="55">
        <f>'Etape 1'!A159</f>
        <v>152</v>
      </c>
      <c r="C163" s="55">
        <f>'Etape 1'!B159</f>
        <v>0</v>
      </c>
      <c r="D163" s="55">
        <f>'Etape 1'!C159</f>
        <v>0</v>
      </c>
      <c r="E163" s="55">
        <f>'Etape 1'!D159</f>
        <v>0</v>
      </c>
      <c r="F163" s="55">
        <f>'Etape 1'!E159</f>
        <v>0</v>
      </c>
      <c r="G163" s="55">
        <f>'Etape 1'!F159</f>
        <v>0</v>
      </c>
      <c r="H163" s="55">
        <f>'Etape 1'!G159</f>
        <v>0</v>
      </c>
      <c r="I163" s="209">
        <v>1</v>
      </c>
      <c r="J163" s="58">
        <f t="shared" si="191"/>
        <v>0</v>
      </c>
      <c r="K163" s="21">
        <f t="shared" si="143"/>
        <v>0</v>
      </c>
      <c r="L163" s="21">
        <f t="shared" si="144"/>
        <v>0</v>
      </c>
      <c r="M163" s="21">
        <f t="shared" ca="1" si="145"/>
        <v>3</v>
      </c>
      <c r="N163" s="21">
        <f t="shared" ca="1" si="146"/>
        <v>3</v>
      </c>
      <c r="O163" s="21">
        <f t="shared" ca="1" si="147"/>
        <v>0</v>
      </c>
      <c r="P163" s="262" t="str">
        <f>IF('Etape 1'!J159=999,"",IF('Etape 1'!J159=9999,txt_Schritt1.Angaben.fehlen,VLOOKUP(N163,Matrix_1.2.3.Test.Punkte.ID.Beurteilung,4,1)))</f>
        <v/>
      </c>
      <c r="Q163" s="21">
        <f t="shared" ca="1" si="148"/>
        <v>0</v>
      </c>
      <c r="R163" s="136">
        <f t="shared" si="184"/>
        <v>152</v>
      </c>
      <c r="S163" s="136">
        <f t="shared" ca="1" si="181"/>
        <v>162.50498338870432</v>
      </c>
      <c r="T163" s="136">
        <f t="shared" ca="1" si="185"/>
        <v>750.50498338870432</v>
      </c>
      <c r="U163" s="136">
        <f t="shared" ca="1" si="186"/>
        <v>1224000.5049833888</v>
      </c>
      <c r="V163" s="211">
        <f t="shared" ca="1" si="187"/>
        <v>235406.69702770811</v>
      </c>
      <c r="W163" s="136">
        <f t="shared" ca="1" si="182"/>
        <v>152</v>
      </c>
      <c r="X163" s="136">
        <f t="shared" ca="1" si="149"/>
        <v>162.999000999001</v>
      </c>
      <c r="Y163" s="21">
        <f t="shared" si="150"/>
        <v>1</v>
      </c>
      <c r="Z163" s="21" t="str">
        <f t="shared" si="151"/>
        <v>&lt;IE0</v>
      </c>
      <c r="AA163" s="21">
        <f t="shared" si="152"/>
        <v>1</v>
      </c>
      <c r="AB163" s="21" t="str">
        <f t="shared" si="153"/>
        <v>a - "&lt; 1990 (Eff3)"</v>
      </c>
      <c r="AC163" s="21">
        <f t="shared" si="154"/>
        <v>999999</v>
      </c>
      <c r="AD163" s="21" t="str">
        <f t="shared" si="155"/>
        <v/>
      </c>
      <c r="AE163" s="21" t="str">
        <f t="shared" si="156"/>
        <v/>
      </c>
      <c r="AF163" s="21" t="str">
        <f t="shared" si="157"/>
        <v/>
      </c>
      <c r="AG163" s="21">
        <f t="shared" si="158"/>
        <v>0</v>
      </c>
      <c r="AH163" s="21">
        <f>IF('Etape 1'!H159=St.Wert_Hacken,1,0)</f>
        <v>0</v>
      </c>
      <c r="AI163" s="21">
        <f t="shared" si="159"/>
        <v>0</v>
      </c>
      <c r="AJ163" s="21">
        <f t="shared" si="160"/>
        <v>1000999</v>
      </c>
      <c r="AK163" s="58">
        <f t="shared" si="161"/>
        <v>1100</v>
      </c>
      <c r="AL163" s="58">
        <f t="shared" si="162"/>
        <v>440</v>
      </c>
      <c r="AM163" s="21">
        <f t="shared" si="163"/>
        <v>0</v>
      </c>
      <c r="AN163" s="58">
        <f t="shared" si="164"/>
        <v>1</v>
      </c>
      <c r="AO163" s="58" t="str">
        <f t="shared" si="165"/>
        <v>114</v>
      </c>
      <c r="AP163" s="58" t="str">
        <f t="shared" si="166"/>
        <v>164</v>
      </c>
      <c r="AQ163" s="21" t="e">
        <f t="shared" si="167"/>
        <v>#NUM!</v>
      </c>
      <c r="AR163" s="21" t="e">
        <f t="shared" si="168"/>
        <v>#NUM!</v>
      </c>
      <c r="AS163" s="136" t="e">
        <f t="shared" si="188"/>
        <v>#NUM!</v>
      </c>
      <c r="AT163" s="59" t="e">
        <f t="shared" si="169"/>
        <v>#NUM!</v>
      </c>
      <c r="AU163" s="21" t="e">
        <f t="shared" si="170"/>
        <v>#NUM!</v>
      </c>
      <c r="AV163" s="58">
        <f t="shared" si="171"/>
        <v>1500</v>
      </c>
      <c r="AW163" s="58">
        <f t="shared" si="172"/>
        <v>600</v>
      </c>
      <c r="AX163" s="60">
        <f t="shared" si="173"/>
        <v>0.11</v>
      </c>
      <c r="AY163" s="212">
        <f t="shared" si="189"/>
        <v>0</v>
      </c>
      <c r="AZ163" s="59">
        <f t="shared" si="174"/>
        <v>0</v>
      </c>
      <c r="BA163" s="21" t="e">
        <f t="shared" si="175"/>
        <v>#DIV/0!</v>
      </c>
      <c r="BB163" s="58">
        <f t="shared" si="176"/>
        <v>2900</v>
      </c>
      <c r="BC163" s="58">
        <f t="shared" si="177"/>
        <v>1160</v>
      </c>
      <c r="BD163" s="60">
        <f t="shared" si="178"/>
        <v>0.15</v>
      </c>
      <c r="BE163" s="212" t="e">
        <f t="shared" si="190"/>
        <v>#NUM!</v>
      </c>
      <c r="BF163" s="59" t="e">
        <f t="shared" si="179"/>
        <v>#NUM!</v>
      </c>
      <c r="BG163" s="21" t="e">
        <f t="shared" si="180"/>
        <v>#NUM!</v>
      </c>
      <c r="BH163" s="55">
        <f t="shared" ca="1" si="183"/>
        <v>0</v>
      </c>
    </row>
    <row r="164" spans="1:60" x14ac:dyDescent="0.2">
      <c r="A164" s="61">
        <f ca="1">RANK(W164,W$12:W$311,0)+COUNTIF(W$12:W164,W164)-1</f>
        <v>148</v>
      </c>
      <c r="B164" s="55">
        <f>'Etape 1'!A160</f>
        <v>153</v>
      </c>
      <c r="C164" s="55">
        <f>'Etape 1'!B160</f>
        <v>0</v>
      </c>
      <c r="D164" s="55">
        <f>'Etape 1'!C160</f>
        <v>0</v>
      </c>
      <c r="E164" s="55">
        <f>'Etape 1'!D160</f>
        <v>0</v>
      </c>
      <c r="F164" s="55">
        <f>'Etape 1'!E160</f>
        <v>0</v>
      </c>
      <c r="G164" s="55">
        <f>'Etape 1'!F160</f>
        <v>0</v>
      </c>
      <c r="H164" s="55">
        <f>'Etape 1'!G160</f>
        <v>0</v>
      </c>
      <c r="I164" s="209">
        <v>1</v>
      </c>
      <c r="J164" s="58">
        <f t="shared" si="191"/>
        <v>0</v>
      </c>
      <c r="K164" s="21">
        <f t="shared" si="143"/>
        <v>0</v>
      </c>
      <c r="L164" s="21">
        <f t="shared" si="144"/>
        <v>0</v>
      </c>
      <c r="M164" s="21">
        <f t="shared" ca="1" si="145"/>
        <v>3</v>
      </c>
      <c r="N164" s="21">
        <f t="shared" ca="1" si="146"/>
        <v>3</v>
      </c>
      <c r="O164" s="21">
        <f t="shared" ca="1" si="147"/>
        <v>0</v>
      </c>
      <c r="P164" s="262" t="str">
        <f>IF('Etape 1'!J160=999,"",IF('Etape 1'!J160=9999,txt_Schritt1.Angaben.fehlen,VLOOKUP(N164,Matrix_1.2.3.Test.Punkte.ID.Beurteilung,4,1)))</f>
        <v/>
      </c>
      <c r="Q164" s="21">
        <f t="shared" ca="1" si="148"/>
        <v>0</v>
      </c>
      <c r="R164" s="136">
        <f t="shared" si="184"/>
        <v>153</v>
      </c>
      <c r="S164" s="136">
        <f t="shared" ca="1" si="181"/>
        <v>162.50830564784053</v>
      </c>
      <c r="T164" s="136">
        <f t="shared" ca="1" si="185"/>
        <v>750.50830564784053</v>
      </c>
      <c r="U164" s="136">
        <f t="shared" ca="1" si="186"/>
        <v>1224000.5083056479</v>
      </c>
      <c r="V164" s="211">
        <f t="shared" ca="1" si="187"/>
        <v>235406.70034996726</v>
      </c>
      <c r="W164" s="136">
        <f t="shared" ca="1" si="182"/>
        <v>153</v>
      </c>
      <c r="X164" s="136">
        <f t="shared" ca="1" si="149"/>
        <v>162.999000999001</v>
      </c>
      <c r="Y164" s="21">
        <f t="shared" si="150"/>
        <v>1</v>
      </c>
      <c r="Z164" s="21" t="str">
        <f t="shared" si="151"/>
        <v>&lt;IE0</v>
      </c>
      <c r="AA164" s="21">
        <f t="shared" si="152"/>
        <v>1</v>
      </c>
      <c r="AB164" s="21" t="str">
        <f t="shared" si="153"/>
        <v>a - "&lt; 1990 (Eff3)"</v>
      </c>
      <c r="AC164" s="21">
        <f t="shared" si="154"/>
        <v>999999</v>
      </c>
      <c r="AD164" s="21" t="str">
        <f t="shared" si="155"/>
        <v/>
      </c>
      <c r="AE164" s="21" t="str">
        <f t="shared" si="156"/>
        <v/>
      </c>
      <c r="AF164" s="21" t="str">
        <f t="shared" si="157"/>
        <v/>
      </c>
      <c r="AG164" s="21">
        <f t="shared" si="158"/>
        <v>0</v>
      </c>
      <c r="AH164" s="21">
        <f>IF('Etape 1'!H160=St.Wert_Hacken,1,0)</f>
        <v>0</v>
      </c>
      <c r="AI164" s="21">
        <f t="shared" si="159"/>
        <v>0</v>
      </c>
      <c r="AJ164" s="21">
        <f t="shared" si="160"/>
        <v>1000999</v>
      </c>
      <c r="AK164" s="58">
        <f t="shared" si="161"/>
        <v>1100</v>
      </c>
      <c r="AL164" s="58">
        <f t="shared" si="162"/>
        <v>440</v>
      </c>
      <c r="AM164" s="21">
        <f t="shared" si="163"/>
        <v>0</v>
      </c>
      <c r="AN164" s="58">
        <f t="shared" si="164"/>
        <v>1</v>
      </c>
      <c r="AO164" s="58" t="str">
        <f t="shared" si="165"/>
        <v>114</v>
      </c>
      <c r="AP164" s="58" t="str">
        <f t="shared" si="166"/>
        <v>164</v>
      </c>
      <c r="AQ164" s="21" t="e">
        <f t="shared" si="167"/>
        <v>#NUM!</v>
      </c>
      <c r="AR164" s="21" t="e">
        <f t="shared" si="168"/>
        <v>#NUM!</v>
      </c>
      <c r="AS164" s="136" t="e">
        <f t="shared" si="188"/>
        <v>#NUM!</v>
      </c>
      <c r="AT164" s="59" t="e">
        <f t="shared" si="169"/>
        <v>#NUM!</v>
      </c>
      <c r="AU164" s="21" t="e">
        <f t="shared" si="170"/>
        <v>#NUM!</v>
      </c>
      <c r="AV164" s="58">
        <f t="shared" si="171"/>
        <v>1500</v>
      </c>
      <c r="AW164" s="58">
        <f t="shared" si="172"/>
        <v>600</v>
      </c>
      <c r="AX164" s="60">
        <f t="shared" si="173"/>
        <v>0.11</v>
      </c>
      <c r="AY164" s="212">
        <f t="shared" si="189"/>
        <v>0</v>
      </c>
      <c r="AZ164" s="59">
        <f t="shared" si="174"/>
        <v>0</v>
      </c>
      <c r="BA164" s="21" t="e">
        <f t="shared" si="175"/>
        <v>#DIV/0!</v>
      </c>
      <c r="BB164" s="58">
        <f t="shared" si="176"/>
        <v>2900</v>
      </c>
      <c r="BC164" s="58">
        <f t="shared" si="177"/>
        <v>1160</v>
      </c>
      <c r="BD164" s="60">
        <f t="shared" si="178"/>
        <v>0.15</v>
      </c>
      <c r="BE164" s="212" t="e">
        <f t="shared" si="190"/>
        <v>#NUM!</v>
      </c>
      <c r="BF164" s="59" t="e">
        <f t="shared" si="179"/>
        <v>#NUM!</v>
      </c>
      <c r="BG164" s="21" t="e">
        <f t="shared" si="180"/>
        <v>#NUM!</v>
      </c>
      <c r="BH164" s="55">
        <f t="shared" ca="1" si="183"/>
        <v>0</v>
      </c>
    </row>
    <row r="165" spans="1:60" x14ac:dyDescent="0.2">
      <c r="A165" s="61">
        <f ca="1">RANK(W165,W$12:W$311,0)+COUNTIF(W$12:W165,W165)-1</f>
        <v>147</v>
      </c>
      <c r="B165" s="55">
        <f>'Etape 1'!A161</f>
        <v>154</v>
      </c>
      <c r="C165" s="55">
        <f>'Etape 1'!B161</f>
        <v>0</v>
      </c>
      <c r="D165" s="55">
        <f>'Etape 1'!C161</f>
        <v>0</v>
      </c>
      <c r="E165" s="55">
        <f>'Etape 1'!D161</f>
        <v>0</v>
      </c>
      <c r="F165" s="55">
        <f>'Etape 1'!E161</f>
        <v>0</v>
      </c>
      <c r="G165" s="55">
        <f>'Etape 1'!F161</f>
        <v>0</v>
      </c>
      <c r="H165" s="55">
        <f>'Etape 1'!G161</f>
        <v>0</v>
      </c>
      <c r="I165" s="209">
        <v>1</v>
      </c>
      <c r="J165" s="58">
        <f t="shared" si="191"/>
        <v>0</v>
      </c>
      <c r="K165" s="21">
        <f t="shared" si="143"/>
        <v>0</v>
      </c>
      <c r="L165" s="21">
        <f t="shared" si="144"/>
        <v>0</v>
      </c>
      <c r="M165" s="21">
        <f t="shared" ca="1" si="145"/>
        <v>3</v>
      </c>
      <c r="N165" s="21">
        <f t="shared" ca="1" si="146"/>
        <v>3</v>
      </c>
      <c r="O165" s="21">
        <f t="shared" ca="1" si="147"/>
        <v>0</v>
      </c>
      <c r="P165" s="262" t="str">
        <f>IF('Etape 1'!J161=999,"",IF('Etape 1'!J161=9999,txt_Schritt1.Angaben.fehlen,VLOOKUP(N165,Matrix_1.2.3.Test.Punkte.ID.Beurteilung,4,1)))</f>
        <v/>
      </c>
      <c r="Q165" s="21">
        <f t="shared" ca="1" si="148"/>
        <v>0</v>
      </c>
      <c r="R165" s="136">
        <f t="shared" si="184"/>
        <v>154</v>
      </c>
      <c r="S165" s="136">
        <f t="shared" ca="1" si="181"/>
        <v>162.51162790697674</v>
      </c>
      <c r="T165" s="136">
        <f t="shared" ca="1" si="185"/>
        <v>750.51162790697674</v>
      </c>
      <c r="U165" s="136">
        <f t="shared" ca="1" si="186"/>
        <v>1224000.5116279069</v>
      </c>
      <c r="V165" s="211">
        <f t="shared" ca="1" si="187"/>
        <v>235406.70367222637</v>
      </c>
      <c r="W165" s="136">
        <f t="shared" ca="1" si="182"/>
        <v>154</v>
      </c>
      <c r="X165" s="136">
        <f t="shared" ca="1" si="149"/>
        <v>162.999000999001</v>
      </c>
      <c r="Y165" s="21">
        <f t="shared" si="150"/>
        <v>1</v>
      </c>
      <c r="Z165" s="21" t="str">
        <f t="shared" si="151"/>
        <v>&lt;IE0</v>
      </c>
      <c r="AA165" s="21">
        <f t="shared" si="152"/>
        <v>1</v>
      </c>
      <c r="AB165" s="21" t="str">
        <f t="shared" si="153"/>
        <v>a - "&lt; 1990 (Eff3)"</v>
      </c>
      <c r="AC165" s="21">
        <f t="shared" si="154"/>
        <v>999999</v>
      </c>
      <c r="AD165" s="21" t="str">
        <f t="shared" si="155"/>
        <v/>
      </c>
      <c r="AE165" s="21" t="str">
        <f t="shared" si="156"/>
        <v/>
      </c>
      <c r="AF165" s="21" t="str">
        <f t="shared" si="157"/>
        <v/>
      </c>
      <c r="AG165" s="21">
        <f t="shared" si="158"/>
        <v>0</v>
      </c>
      <c r="AH165" s="21">
        <f>IF('Etape 1'!H161=St.Wert_Hacken,1,0)</f>
        <v>0</v>
      </c>
      <c r="AI165" s="21">
        <f t="shared" si="159"/>
        <v>0</v>
      </c>
      <c r="AJ165" s="21">
        <f t="shared" si="160"/>
        <v>1000999</v>
      </c>
      <c r="AK165" s="58">
        <f t="shared" si="161"/>
        <v>1100</v>
      </c>
      <c r="AL165" s="58">
        <f t="shared" si="162"/>
        <v>440</v>
      </c>
      <c r="AM165" s="21">
        <f t="shared" si="163"/>
        <v>0</v>
      </c>
      <c r="AN165" s="58">
        <f t="shared" si="164"/>
        <v>1</v>
      </c>
      <c r="AO165" s="58" t="str">
        <f t="shared" si="165"/>
        <v>114</v>
      </c>
      <c r="AP165" s="58" t="str">
        <f t="shared" si="166"/>
        <v>164</v>
      </c>
      <c r="AQ165" s="21" t="e">
        <f t="shared" si="167"/>
        <v>#NUM!</v>
      </c>
      <c r="AR165" s="21" t="e">
        <f t="shared" si="168"/>
        <v>#NUM!</v>
      </c>
      <c r="AS165" s="136" t="e">
        <f t="shared" si="188"/>
        <v>#NUM!</v>
      </c>
      <c r="AT165" s="59" t="e">
        <f t="shared" si="169"/>
        <v>#NUM!</v>
      </c>
      <c r="AU165" s="21" t="e">
        <f t="shared" si="170"/>
        <v>#NUM!</v>
      </c>
      <c r="AV165" s="58">
        <f t="shared" si="171"/>
        <v>1500</v>
      </c>
      <c r="AW165" s="58">
        <f t="shared" si="172"/>
        <v>600</v>
      </c>
      <c r="AX165" s="60">
        <f t="shared" si="173"/>
        <v>0.11</v>
      </c>
      <c r="AY165" s="212">
        <f t="shared" si="189"/>
        <v>0</v>
      </c>
      <c r="AZ165" s="59">
        <f t="shared" si="174"/>
        <v>0</v>
      </c>
      <c r="BA165" s="21" t="e">
        <f t="shared" si="175"/>
        <v>#DIV/0!</v>
      </c>
      <c r="BB165" s="58">
        <f t="shared" si="176"/>
        <v>2900</v>
      </c>
      <c r="BC165" s="58">
        <f t="shared" si="177"/>
        <v>1160</v>
      </c>
      <c r="BD165" s="60">
        <f t="shared" si="178"/>
        <v>0.15</v>
      </c>
      <c r="BE165" s="212" t="e">
        <f t="shared" si="190"/>
        <v>#NUM!</v>
      </c>
      <c r="BF165" s="59" t="e">
        <f t="shared" si="179"/>
        <v>#NUM!</v>
      </c>
      <c r="BG165" s="21" t="e">
        <f t="shared" si="180"/>
        <v>#NUM!</v>
      </c>
      <c r="BH165" s="55">
        <f t="shared" ca="1" si="183"/>
        <v>0</v>
      </c>
    </row>
    <row r="166" spans="1:60" x14ac:dyDescent="0.2">
      <c r="A166" s="61">
        <f ca="1">RANK(W166,W$12:W$311,0)+COUNTIF(W$12:W166,W166)-1</f>
        <v>146</v>
      </c>
      <c r="B166" s="55">
        <f>'Etape 1'!A162</f>
        <v>155</v>
      </c>
      <c r="C166" s="55">
        <f>'Etape 1'!B162</f>
        <v>0</v>
      </c>
      <c r="D166" s="55">
        <f>'Etape 1'!C162</f>
        <v>0</v>
      </c>
      <c r="E166" s="55">
        <f>'Etape 1'!D162</f>
        <v>0</v>
      </c>
      <c r="F166" s="55">
        <f>'Etape 1'!E162</f>
        <v>0</v>
      </c>
      <c r="G166" s="55">
        <f>'Etape 1'!F162</f>
        <v>0</v>
      </c>
      <c r="H166" s="55">
        <f>'Etape 1'!G162</f>
        <v>0</v>
      </c>
      <c r="I166" s="209">
        <v>1</v>
      </c>
      <c r="J166" s="58">
        <f t="shared" si="191"/>
        <v>0</v>
      </c>
      <c r="K166" s="21">
        <f t="shared" si="143"/>
        <v>0</v>
      </c>
      <c r="L166" s="21">
        <f t="shared" si="144"/>
        <v>0</v>
      </c>
      <c r="M166" s="21">
        <f t="shared" ca="1" si="145"/>
        <v>3</v>
      </c>
      <c r="N166" s="21">
        <f t="shared" ca="1" si="146"/>
        <v>3</v>
      </c>
      <c r="O166" s="21">
        <f t="shared" ca="1" si="147"/>
        <v>0</v>
      </c>
      <c r="P166" s="262" t="str">
        <f>IF('Etape 1'!J162=999,"",IF('Etape 1'!J162=9999,txt_Schritt1.Angaben.fehlen,VLOOKUP(N166,Matrix_1.2.3.Test.Punkte.ID.Beurteilung,4,1)))</f>
        <v/>
      </c>
      <c r="Q166" s="21">
        <f t="shared" ca="1" si="148"/>
        <v>0</v>
      </c>
      <c r="R166" s="136">
        <f t="shared" si="184"/>
        <v>155</v>
      </c>
      <c r="S166" s="136">
        <f t="shared" ca="1" si="181"/>
        <v>162.51495016611295</v>
      </c>
      <c r="T166" s="136">
        <f t="shared" ca="1" si="185"/>
        <v>750.51495016611295</v>
      </c>
      <c r="U166" s="136">
        <f t="shared" ca="1" si="186"/>
        <v>1224000.5149501662</v>
      </c>
      <c r="V166" s="211">
        <f t="shared" ca="1" si="187"/>
        <v>235406.70699448552</v>
      </c>
      <c r="W166" s="136">
        <f t="shared" ca="1" si="182"/>
        <v>155</v>
      </c>
      <c r="X166" s="136">
        <f t="shared" ca="1" si="149"/>
        <v>162.999000999001</v>
      </c>
      <c r="Y166" s="21">
        <f t="shared" si="150"/>
        <v>1</v>
      </c>
      <c r="Z166" s="21" t="str">
        <f t="shared" si="151"/>
        <v>&lt;IE0</v>
      </c>
      <c r="AA166" s="21">
        <f t="shared" si="152"/>
        <v>1</v>
      </c>
      <c r="AB166" s="21" t="str">
        <f t="shared" si="153"/>
        <v>a - "&lt; 1990 (Eff3)"</v>
      </c>
      <c r="AC166" s="21">
        <f t="shared" si="154"/>
        <v>999999</v>
      </c>
      <c r="AD166" s="21" t="str">
        <f t="shared" si="155"/>
        <v/>
      </c>
      <c r="AE166" s="21" t="str">
        <f t="shared" si="156"/>
        <v/>
      </c>
      <c r="AF166" s="21" t="str">
        <f t="shared" si="157"/>
        <v/>
      </c>
      <c r="AG166" s="21">
        <f t="shared" si="158"/>
        <v>0</v>
      </c>
      <c r="AH166" s="21">
        <f>IF('Etape 1'!H162=St.Wert_Hacken,1,0)</f>
        <v>0</v>
      </c>
      <c r="AI166" s="21">
        <f t="shared" si="159"/>
        <v>0</v>
      </c>
      <c r="AJ166" s="21">
        <f t="shared" si="160"/>
        <v>1000999</v>
      </c>
      <c r="AK166" s="58">
        <f t="shared" si="161"/>
        <v>1100</v>
      </c>
      <c r="AL166" s="58">
        <f t="shared" si="162"/>
        <v>440</v>
      </c>
      <c r="AM166" s="21">
        <f t="shared" si="163"/>
        <v>0</v>
      </c>
      <c r="AN166" s="58">
        <f t="shared" si="164"/>
        <v>1</v>
      </c>
      <c r="AO166" s="58" t="str">
        <f t="shared" si="165"/>
        <v>114</v>
      </c>
      <c r="AP166" s="58" t="str">
        <f t="shared" si="166"/>
        <v>164</v>
      </c>
      <c r="AQ166" s="21" t="e">
        <f t="shared" si="167"/>
        <v>#NUM!</v>
      </c>
      <c r="AR166" s="21" t="e">
        <f t="shared" si="168"/>
        <v>#NUM!</v>
      </c>
      <c r="AS166" s="136" t="e">
        <f t="shared" si="188"/>
        <v>#NUM!</v>
      </c>
      <c r="AT166" s="59" t="e">
        <f t="shared" si="169"/>
        <v>#NUM!</v>
      </c>
      <c r="AU166" s="21" t="e">
        <f t="shared" si="170"/>
        <v>#NUM!</v>
      </c>
      <c r="AV166" s="58">
        <f t="shared" si="171"/>
        <v>1500</v>
      </c>
      <c r="AW166" s="58">
        <f t="shared" si="172"/>
        <v>600</v>
      </c>
      <c r="AX166" s="60">
        <f t="shared" si="173"/>
        <v>0.11</v>
      </c>
      <c r="AY166" s="212">
        <f t="shared" si="189"/>
        <v>0</v>
      </c>
      <c r="AZ166" s="59">
        <f t="shared" si="174"/>
        <v>0</v>
      </c>
      <c r="BA166" s="21" t="e">
        <f t="shared" si="175"/>
        <v>#DIV/0!</v>
      </c>
      <c r="BB166" s="58">
        <f t="shared" si="176"/>
        <v>2900</v>
      </c>
      <c r="BC166" s="58">
        <f t="shared" si="177"/>
        <v>1160</v>
      </c>
      <c r="BD166" s="60">
        <f t="shared" si="178"/>
        <v>0.15</v>
      </c>
      <c r="BE166" s="212" t="e">
        <f t="shared" si="190"/>
        <v>#NUM!</v>
      </c>
      <c r="BF166" s="59" t="e">
        <f t="shared" si="179"/>
        <v>#NUM!</v>
      </c>
      <c r="BG166" s="21" t="e">
        <f t="shared" si="180"/>
        <v>#NUM!</v>
      </c>
      <c r="BH166" s="55">
        <f t="shared" ca="1" si="183"/>
        <v>0</v>
      </c>
    </row>
    <row r="167" spans="1:60" x14ac:dyDescent="0.2">
      <c r="A167" s="61">
        <f ca="1">RANK(W167,W$12:W$311,0)+COUNTIF(W$12:W167,W167)-1</f>
        <v>145</v>
      </c>
      <c r="B167" s="55">
        <f>'Etape 1'!A163</f>
        <v>156</v>
      </c>
      <c r="C167" s="55">
        <f>'Etape 1'!B163</f>
        <v>0</v>
      </c>
      <c r="D167" s="55">
        <f>'Etape 1'!C163</f>
        <v>0</v>
      </c>
      <c r="E167" s="55">
        <f>'Etape 1'!D163</f>
        <v>0</v>
      </c>
      <c r="F167" s="55">
        <f>'Etape 1'!E163</f>
        <v>0</v>
      </c>
      <c r="G167" s="55">
        <f>'Etape 1'!F163</f>
        <v>0</v>
      </c>
      <c r="H167" s="55">
        <f>'Etape 1'!G163</f>
        <v>0</v>
      </c>
      <c r="I167" s="209">
        <v>1</v>
      </c>
      <c r="J167" s="58">
        <f t="shared" si="191"/>
        <v>0</v>
      </c>
      <c r="K167" s="21">
        <f t="shared" si="143"/>
        <v>0</v>
      </c>
      <c r="L167" s="21">
        <f t="shared" si="144"/>
        <v>0</v>
      </c>
      <c r="M167" s="21">
        <f t="shared" ca="1" si="145"/>
        <v>3</v>
      </c>
      <c r="N167" s="21">
        <f t="shared" ca="1" si="146"/>
        <v>3</v>
      </c>
      <c r="O167" s="21">
        <f t="shared" ca="1" si="147"/>
        <v>0</v>
      </c>
      <c r="P167" s="262" t="str">
        <f>IF('Etape 1'!J163=999,"",IF('Etape 1'!J163=9999,txt_Schritt1.Angaben.fehlen,VLOOKUP(N167,Matrix_1.2.3.Test.Punkte.ID.Beurteilung,4,1)))</f>
        <v/>
      </c>
      <c r="Q167" s="21">
        <f t="shared" ca="1" si="148"/>
        <v>0</v>
      </c>
      <c r="R167" s="136">
        <f t="shared" si="184"/>
        <v>156</v>
      </c>
      <c r="S167" s="136">
        <f t="shared" ca="1" si="181"/>
        <v>162.51827242524917</v>
      </c>
      <c r="T167" s="136">
        <f t="shared" ca="1" si="185"/>
        <v>750.51827242524917</v>
      </c>
      <c r="U167" s="136">
        <f t="shared" ca="1" si="186"/>
        <v>1224000.5182724253</v>
      </c>
      <c r="V167" s="211">
        <f t="shared" ca="1" si="187"/>
        <v>235406.71031674466</v>
      </c>
      <c r="W167" s="136">
        <f t="shared" ca="1" si="182"/>
        <v>156</v>
      </c>
      <c r="X167" s="136">
        <f t="shared" ca="1" si="149"/>
        <v>162.999000999001</v>
      </c>
      <c r="Y167" s="21">
        <f t="shared" si="150"/>
        <v>1</v>
      </c>
      <c r="Z167" s="21" t="str">
        <f t="shared" si="151"/>
        <v>&lt;IE0</v>
      </c>
      <c r="AA167" s="21">
        <f t="shared" si="152"/>
        <v>1</v>
      </c>
      <c r="AB167" s="21" t="str">
        <f t="shared" si="153"/>
        <v>a - "&lt; 1990 (Eff3)"</v>
      </c>
      <c r="AC167" s="21">
        <f t="shared" si="154"/>
        <v>999999</v>
      </c>
      <c r="AD167" s="21" t="str">
        <f t="shared" si="155"/>
        <v/>
      </c>
      <c r="AE167" s="21" t="str">
        <f t="shared" si="156"/>
        <v/>
      </c>
      <c r="AF167" s="21" t="str">
        <f t="shared" si="157"/>
        <v/>
      </c>
      <c r="AG167" s="21">
        <f t="shared" si="158"/>
        <v>0</v>
      </c>
      <c r="AH167" s="21">
        <f>IF('Etape 1'!H163=St.Wert_Hacken,1,0)</f>
        <v>0</v>
      </c>
      <c r="AI167" s="21">
        <f t="shared" si="159"/>
        <v>0</v>
      </c>
      <c r="AJ167" s="21">
        <f t="shared" si="160"/>
        <v>1000999</v>
      </c>
      <c r="AK167" s="58">
        <f t="shared" si="161"/>
        <v>1100</v>
      </c>
      <c r="AL167" s="58">
        <f t="shared" si="162"/>
        <v>440</v>
      </c>
      <c r="AM167" s="21">
        <f t="shared" si="163"/>
        <v>0</v>
      </c>
      <c r="AN167" s="58">
        <f t="shared" si="164"/>
        <v>1</v>
      </c>
      <c r="AO167" s="58" t="str">
        <f t="shared" si="165"/>
        <v>114</v>
      </c>
      <c r="AP167" s="58" t="str">
        <f t="shared" si="166"/>
        <v>164</v>
      </c>
      <c r="AQ167" s="21" t="e">
        <f t="shared" si="167"/>
        <v>#NUM!</v>
      </c>
      <c r="AR167" s="21" t="e">
        <f t="shared" si="168"/>
        <v>#NUM!</v>
      </c>
      <c r="AS167" s="136" t="e">
        <f t="shared" si="188"/>
        <v>#NUM!</v>
      </c>
      <c r="AT167" s="59" t="e">
        <f t="shared" si="169"/>
        <v>#NUM!</v>
      </c>
      <c r="AU167" s="21" t="e">
        <f t="shared" si="170"/>
        <v>#NUM!</v>
      </c>
      <c r="AV167" s="58">
        <f t="shared" si="171"/>
        <v>1500</v>
      </c>
      <c r="AW167" s="58">
        <f t="shared" si="172"/>
        <v>600</v>
      </c>
      <c r="AX167" s="60">
        <f t="shared" si="173"/>
        <v>0.11</v>
      </c>
      <c r="AY167" s="212">
        <f t="shared" si="189"/>
        <v>0</v>
      </c>
      <c r="AZ167" s="59">
        <f t="shared" si="174"/>
        <v>0</v>
      </c>
      <c r="BA167" s="21" t="e">
        <f t="shared" si="175"/>
        <v>#DIV/0!</v>
      </c>
      <c r="BB167" s="58">
        <f t="shared" si="176"/>
        <v>2900</v>
      </c>
      <c r="BC167" s="58">
        <f t="shared" si="177"/>
        <v>1160</v>
      </c>
      <c r="BD167" s="60">
        <f t="shared" si="178"/>
        <v>0.15</v>
      </c>
      <c r="BE167" s="212" t="e">
        <f t="shared" si="190"/>
        <v>#NUM!</v>
      </c>
      <c r="BF167" s="59" t="e">
        <f t="shared" si="179"/>
        <v>#NUM!</v>
      </c>
      <c r="BG167" s="21" t="e">
        <f t="shared" si="180"/>
        <v>#NUM!</v>
      </c>
      <c r="BH167" s="55">
        <f t="shared" ca="1" si="183"/>
        <v>0</v>
      </c>
    </row>
    <row r="168" spans="1:60" x14ac:dyDescent="0.2">
      <c r="A168" s="61">
        <f ca="1">RANK(W168,W$12:W$311,0)+COUNTIF(W$12:W168,W168)-1</f>
        <v>144</v>
      </c>
      <c r="B168" s="55">
        <f>'Etape 1'!A164</f>
        <v>157</v>
      </c>
      <c r="C168" s="55">
        <f>'Etape 1'!B164</f>
        <v>0</v>
      </c>
      <c r="D168" s="55">
        <f>'Etape 1'!C164</f>
        <v>0</v>
      </c>
      <c r="E168" s="55">
        <f>'Etape 1'!D164</f>
        <v>0</v>
      </c>
      <c r="F168" s="55">
        <f>'Etape 1'!E164</f>
        <v>0</v>
      </c>
      <c r="G168" s="55">
        <f>'Etape 1'!F164</f>
        <v>0</v>
      </c>
      <c r="H168" s="55">
        <f>'Etape 1'!G164</f>
        <v>0</v>
      </c>
      <c r="I168" s="209">
        <v>1</v>
      </c>
      <c r="J168" s="58">
        <f t="shared" si="191"/>
        <v>0</v>
      </c>
      <c r="K168" s="21">
        <f t="shared" si="143"/>
        <v>0</v>
      </c>
      <c r="L168" s="21">
        <f t="shared" si="144"/>
        <v>0</v>
      </c>
      <c r="M168" s="21">
        <f t="shared" ca="1" si="145"/>
        <v>3</v>
      </c>
      <c r="N168" s="21">
        <f t="shared" ca="1" si="146"/>
        <v>3</v>
      </c>
      <c r="O168" s="21">
        <f t="shared" ca="1" si="147"/>
        <v>0</v>
      </c>
      <c r="P168" s="262" t="str">
        <f>IF('Etape 1'!J164=999,"",IF('Etape 1'!J164=9999,txt_Schritt1.Angaben.fehlen,VLOOKUP(N168,Matrix_1.2.3.Test.Punkte.ID.Beurteilung,4,1)))</f>
        <v/>
      </c>
      <c r="Q168" s="21">
        <f t="shared" ca="1" si="148"/>
        <v>0</v>
      </c>
      <c r="R168" s="136">
        <f t="shared" si="184"/>
        <v>157</v>
      </c>
      <c r="S168" s="136">
        <f t="shared" ca="1" si="181"/>
        <v>162.52159468438538</v>
      </c>
      <c r="T168" s="136">
        <f t="shared" ca="1" si="185"/>
        <v>750.52159468438538</v>
      </c>
      <c r="U168" s="136">
        <f t="shared" ca="1" si="186"/>
        <v>1224000.5215946843</v>
      </c>
      <c r="V168" s="211">
        <f t="shared" ca="1" si="187"/>
        <v>235406.71363900381</v>
      </c>
      <c r="W168" s="136">
        <f t="shared" ca="1" si="182"/>
        <v>157</v>
      </c>
      <c r="X168" s="136">
        <f t="shared" ca="1" si="149"/>
        <v>162.999000999001</v>
      </c>
      <c r="Y168" s="21">
        <f t="shared" si="150"/>
        <v>1</v>
      </c>
      <c r="Z168" s="21" t="str">
        <f t="shared" si="151"/>
        <v>&lt;IE0</v>
      </c>
      <c r="AA168" s="21">
        <f t="shared" si="152"/>
        <v>1</v>
      </c>
      <c r="AB168" s="21" t="str">
        <f t="shared" si="153"/>
        <v>a - "&lt; 1990 (Eff3)"</v>
      </c>
      <c r="AC168" s="21">
        <f t="shared" si="154"/>
        <v>999999</v>
      </c>
      <c r="AD168" s="21" t="str">
        <f t="shared" si="155"/>
        <v/>
      </c>
      <c r="AE168" s="21" t="str">
        <f t="shared" si="156"/>
        <v/>
      </c>
      <c r="AF168" s="21" t="str">
        <f t="shared" si="157"/>
        <v/>
      </c>
      <c r="AG168" s="21">
        <f t="shared" si="158"/>
        <v>0</v>
      </c>
      <c r="AH168" s="21">
        <f>IF('Etape 1'!H164=St.Wert_Hacken,1,0)</f>
        <v>0</v>
      </c>
      <c r="AI168" s="21">
        <f t="shared" si="159"/>
        <v>0</v>
      </c>
      <c r="AJ168" s="21">
        <f t="shared" si="160"/>
        <v>1000999</v>
      </c>
      <c r="AK168" s="58">
        <f t="shared" si="161"/>
        <v>1100</v>
      </c>
      <c r="AL168" s="58">
        <f t="shared" si="162"/>
        <v>440</v>
      </c>
      <c r="AM168" s="21">
        <f t="shared" si="163"/>
        <v>0</v>
      </c>
      <c r="AN168" s="58">
        <f t="shared" si="164"/>
        <v>1</v>
      </c>
      <c r="AO168" s="58" t="str">
        <f t="shared" si="165"/>
        <v>114</v>
      </c>
      <c r="AP168" s="58" t="str">
        <f t="shared" si="166"/>
        <v>164</v>
      </c>
      <c r="AQ168" s="21" t="e">
        <f t="shared" si="167"/>
        <v>#NUM!</v>
      </c>
      <c r="AR168" s="21" t="e">
        <f t="shared" si="168"/>
        <v>#NUM!</v>
      </c>
      <c r="AS168" s="136" t="e">
        <f t="shared" si="188"/>
        <v>#NUM!</v>
      </c>
      <c r="AT168" s="59" t="e">
        <f t="shared" si="169"/>
        <v>#NUM!</v>
      </c>
      <c r="AU168" s="21" t="e">
        <f t="shared" si="170"/>
        <v>#NUM!</v>
      </c>
      <c r="AV168" s="58">
        <f t="shared" si="171"/>
        <v>1500</v>
      </c>
      <c r="AW168" s="58">
        <f t="shared" si="172"/>
        <v>600</v>
      </c>
      <c r="AX168" s="60">
        <f t="shared" si="173"/>
        <v>0.11</v>
      </c>
      <c r="AY168" s="212">
        <f t="shared" si="189"/>
        <v>0</v>
      </c>
      <c r="AZ168" s="59">
        <f t="shared" si="174"/>
        <v>0</v>
      </c>
      <c r="BA168" s="21" t="e">
        <f t="shared" si="175"/>
        <v>#DIV/0!</v>
      </c>
      <c r="BB168" s="58">
        <f t="shared" si="176"/>
        <v>2900</v>
      </c>
      <c r="BC168" s="58">
        <f t="shared" si="177"/>
        <v>1160</v>
      </c>
      <c r="BD168" s="60">
        <f t="shared" si="178"/>
        <v>0.15</v>
      </c>
      <c r="BE168" s="212" t="e">
        <f t="shared" si="190"/>
        <v>#NUM!</v>
      </c>
      <c r="BF168" s="59" t="e">
        <f t="shared" si="179"/>
        <v>#NUM!</v>
      </c>
      <c r="BG168" s="21" t="e">
        <f t="shared" si="180"/>
        <v>#NUM!</v>
      </c>
      <c r="BH168" s="55">
        <f t="shared" ca="1" si="183"/>
        <v>0</v>
      </c>
    </row>
    <row r="169" spans="1:60" x14ac:dyDescent="0.2">
      <c r="A169" s="61">
        <f ca="1">RANK(W169,W$12:W$311,0)+COUNTIF(W$12:W169,W169)-1</f>
        <v>143</v>
      </c>
      <c r="B169" s="55">
        <f>'Etape 1'!A165</f>
        <v>158</v>
      </c>
      <c r="C169" s="55">
        <f>'Etape 1'!B165</f>
        <v>0</v>
      </c>
      <c r="D169" s="55">
        <f>'Etape 1'!C165</f>
        <v>0</v>
      </c>
      <c r="E169" s="55">
        <f>'Etape 1'!D165</f>
        <v>0</v>
      </c>
      <c r="F169" s="55">
        <f>'Etape 1'!E165</f>
        <v>0</v>
      </c>
      <c r="G169" s="55">
        <f>'Etape 1'!F165</f>
        <v>0</v>
      </c>
      <c r="H169" s="55">
        <f>'Etape 1'!G165</f>
        <v>0</v>
      </c>
      <c r="I169" s="209">
        <v>1</v>
      </c>
      <c r="J169" s="58">
        <f t="shared" si="191"/>
        <v>0</v>
      </c>
      <c r="K169" s="21">
        <f t="shared" si="143"/>
        <v>0</v>
      </c>
      <c r="L169" s="21">
        <f t="shared" si="144"/>
        <v>0</v>
      </c>
      <c r="M169" s="21">
        <f t="shared" ca="1" si="145"/>
        <v>3</v>
      </c>
      <c r="N169" s="21">
        <f t="shared" ca="1" si="146"/>
        <v>3</v>
      </c>
      <c r="O169" s="21">
        <f t="shared" ca="1" si="147"/>
        <v>0</v>
      </c>
      <c r="P169" s="262" t="str">
        <f>IF('Etape 1'!J165=999,"",IF('Etape 1'!J165=9999,txt_Schritt1.Angaben.fehlen,VLOOKUP(N169,Matrix_1.2.3.Test.Punkte.ID.Beurteilung,4,1)))</f>
        <v/>
      </c>
      <c r="Q169" s="21">
        <f t="shared" ca="1" si="148"/>
        <v>0</v>
      </c>
      <c r="R169" s="136">
        <f t="shared" si="184"/>
        <v>158</v>
      </c>
      <c r="S169" s="136">
        <f t="shared" ca="1" si="181"/>
        <v>162.52491694352159</v>
      </c>
      <c r="T169" s="136">
        <f t="shared" ca="1" si="185"/>
        <v>750.52491694352159</v>
      </c>
      <c r="U169" s="136">
        <f t="shared" ca="1" si="186"/>
        <v>1224000.5249169436</v>
      </c>
      <c r="V169" s="211">
        <f t="shared" ca="1" si="187"/>
        <v>235406.71696126292</v>
      </c>
      <c r="W169" s="136">
        <f t="shared" ca="1" si="182"/>
        <v>158</v>
      </c>
      <c r="X169" s="136">
        <f t="shared" ca="1" si="149"/>
        <v>162.999000999001</v>
      </c>
      <c r="Y169" s="21">
        <f t="shared" si="150"/>
        <v>1</v>
      </c>
      <c r="Z169" s="21" t="str">
        <f t="shared" si="151"/>
        <v>&lt;IE0</v>
      </c>
      <c r="AA169" s="21">
        <f t="shared" si="152"/>
        <v>1</v>
      </c>
      <c r="AB169" s="21" t="str">
        <f t="shared" si="153"/>
        <v>a - "&lt; 1990 (Eff3)"</v>
      </c>
      <c r="AC169" s="21">
        <f t="shared" si="154"/>
        <v>999999</v>
      </c>
      <c r="AD169" s="21" t="str">
        <f t="shared" si="155"/>
        <v/>
      </c>
      <c r="AE169" s="21" t="str">
        <f t="shared" si="156"/>
        <v/>
      </c>
      <c r="AF169" s="21" t="str">
        <f t="shared" si="157"/>
        <v/>
      </c>
      <c r="AG169" s="21">
        <f t="shared" si="158"/>
        <v>0</v>
      </c>
      <c r="AH169" s="21">
        <f>IF('Etape 1'!H165=St.Wert_Hacken,1,0)</f>
        <v>0</v>
      </c>
      <c r="AI169" s="21">
        <f t="shared" si="159"/>
        <v>0</v>
      </c>
      <c r="AJ169" s="21">
        <f t="shared" si="160"/>
        <v>1000999</v>
      </c>
      <c r="AK169" s="58">
        <f t="shared" si="161"/>
        <v>1100</v>
      </c>
      <c r="AL169" s="58">
        <f t="shared" si="162"/>
        <v>440</v>
      </c>
      <c r="AM169" s="21">
        <f t="shared" si="163"/>
        <v>0</v>
      </c>
      <c r="AN169" s="58">
        <f t="shared" si="164"/>
        <v>1</v>
      </c>
      <c r="AO169" s="58" t="str">
        <f t="shared" si="165"/>
        <v>114</v>
      </c>
      <c r="AP169" s="58" t="str">
        <f t="shared" si="166"/>
        <v>164</v>
      </c>
      <c r="AQ169" s="21" t="e">
        <f t="shared" si="167"/>
        <v>#NUM!</v>
      </c>
      <c r="AR169" s="21" t="e">
        <f t="shared" si="168"/>
        <v>#NUM!</v>
      </c>
      <c r="AS169" s="136" t="e">
        <f t="shared" si="188"/>
        <v>#NUM!</v>
      </c>
      <c r="AT169" s="59" t="e">
        <f t="shared" si="169"/>
        <v>#NUM!</v>
      </c>
      <c r="AU169" s="21" t="e">
        <f t="shared" si="170"/>
        <v>#NUM!</v>
      </c>
      <c r="AV169" s="58">
        <f t="shared" si="171"/>
        <v>1500</v>
      </c>
      <c r="AW169" s="58">
        <f t="shared" si="172"/>
        <v>600</v>
      </c>
      <c r="AX169" s="60">
        <f t="shared" si="173"/>
        <v>0.11</v>
      </c>
      <c r="AY169" s="212">
        <f t="shared" si="189"/>
        <v>0</v>
      </c>
      <c r="AZ169" s="59">
        <f t="shared" si="174"/>
        <v>0</v>
      </c>
      <c r="BA169" s="21" t="e">
        <f t="shared" si="175"/>
        <v>#DIV/0!</v>
      </c>
      <c r="BB169" s="58">
        <f t="shared" si="176"/>
        <v>2900</v>
      </c>
      <c r="BC169" s="58">
        <f t="shared" si="177"/>
        <v>1160</v>
      </c>
      <c r="BD169" s="60">
        <f t="shared" si="178"/>
        <v>0.15</v>
      </c>
      <c r="BE169" s="212" t="e">
        <f t="shared" si="190"/>
        <v>#NUM!</v>
      </c>
      <c r="BF169" s="59" t="e">
        <f t="shared" si="179"/>
        <v>#NUM!</v>
      </c>
      <c r="BG169" s="21" t="e">
        <f t="shared" si="180"/>
        <v>#NUM!</v>
      </c>
      <c r="BH169" s="55">
        <f t="shared" ca="1" si="183"/>
        <v>0</v>
      </c>
    </row>
    <row r="170" spans="1:60" x14ac:dyDescent="0.2">
      <c r="A170" s="61">
        <f ca="1">RANK(W170,W$12:W$311,0)+COUNTIF(W$12:W170,W170)-1</f>
        <v>142</v>
      </c>
      <c r="B170" s="55">
        <f>'Etape 1'!A166</f>
        <v>159</v>
      </c>
      <c r="C170" s="55">
        <f>'Etape 1'!B166</f>
        <v>0</v>
      </c>
      <c r="D170" s="55">
        <f>'Etape 1'!C166</f>
        <v>0</v>
      </c>
      <c r="E170" s="55">
        <f>'Etape 1'!D166</f>
        <v>0</v>
      </c>
      <c r="F170" s="55">
        <f>'Etape 1'!E166</f>
        <v>0</v>
      </c>
      <c r="G170" s="55">
        <f>'Etape 1'!F166</f>
        <v>0</v>
      </c>
      <c r="H170" s="55">
        <f>'Etape 1'!G166</f>
        <v>0</v>
      </c>
      <c r="I170" s="209">
        <v>1</v>
      </c>
      <c r="J170" s="58">
        <f t="shared" si="191"/>
        <v>0</v>
      </c>
      <c r="K170" s="21">
        <f t="shared" si="143"/>
        <v>0</v>
      </c>
      <c r="L170" s="21">
        <f t="shared" si="144"/>
        <v>0</v>
      </c>
      <c r="M170" s="21">
        <f t="shared" ca="1" si="145"/>
        <v>3</v>
      </c>
      <c r="N170" s="21">
        <f t="shared" ca="1" si="146"/>
        <v>3</v>
      </c>
      <c r="O170" s="21">
        <f t="shared" ca="1" si="147"/>
        <v>0</v>
      </c>
      <c r="P170" s="262" t="str">
        <f>IF('Etape 1'!J166=999,"",IF('Etape 1'!J166=9999,txt_Schritt1.Angaben.fehlen,VLOOKUP(N170,Matrix_1.2.3.Test.Punkte.ID.Beurteilung,4,1)))</f>
        <v/>
      </c>
      <c r="Q170" s="21">
        <f t="shared" ca="1" si="148"/>
        <v>0</v>
      </c>
      <c r="R170" s="136">
        <f t="shared" si="184"/>
        <v>159</v>
      </c>
      <c r="S170" s="136">
        <f t="shared" ca="1" si="181"/>
        <v>162.5282392026578</v>
      </c>
      <c r="T170" s="136">
        <f t="shared" ca="1" si="185"/>
        <v>750.5282392026578</v>
      </c>
      <c r="U170" s="136">
        <f t="shared" ca="1" si="186"/>
        <v>1224000.5282392027</v>
      </c>
      <c r="V170" s="211">
        <f t="shared" ca="1" si="187"/>
        <v>235406.72028352207</v>
      </c>
      <c r="W170" s="136">
        <f t="shared" ca="1" si="182"/>
        <v>159</v>
      </c>
      <c r="X170" s="136">
        <f t="shared" ca="1" si="149"/>
        <v>162.999000999001</v>
      </c>
      <c r="Y170" s="21">
        <f t="shared" si="150"/>
        <v>1</v>
      </c>
      <c r="Z170" s="21" t="str">
        <f t="shared" si="151"/>
        <v>&lt;IE0</v>
      </c>
      <c r="AA170" s="21">
        <f t="shared" si="152"/>
        <v>1</v>
      </c>
      <c r="AB170" s="21" t="str">
        <f t="shared" si="153"/>
        <v>a - "&lt; 1990 (Eff3)"</v>
      </c>
      <c r="AC170" s="21">
        <f t="shared" si="154"/>
        <v>999999</v>
      </c>
      <c r="AD170" s="21" t="str">
        <f t="shared" si="155"/>
        <v/>
      </c>
      <c r="AE170" s="21" t="str">
        <f t="shared" si="156"/>
        <v/>
      </c>
      <c r="AF170" s="21" t="str">
        <f t="shared" si="157"/>
        <v/>
      </c>
      <c r="AG170" s="21">
        <f t="shared" si="158"/>
        <v>0</v>
      </c>
      <c r="AH170" s="21">
        <f>IF('Etape 1'!H166=St.Wert_Hacken,1,0)</f>
        <v>0</v>
      </c>
      <c r="AI170" s="21">
        <f t="shared" si="159"/>
        <v>0</v>
      </c>
      <c r="AJ170" s="21">
        <f t="shared" si="160"/>
        <v>1000999</v>
      </c>
      <c r="AK170" s="58">
        <f t="shared" si="161"/>
        <v>1100</v>
      </c>
      <c r="AL170" s="58">
        <f t="shared" si="162"/>
        <v>440</v>
      </c>
      <c r="AM170" s="21">
        <f t="shared" si="163"/>
        <v>0</v>
      </c>
      <c r="AN170" s="58">
        <f t="shared" si="164"/>
        <v>1</v>
      </c>
      <c r="AO170" s="58" t="str">
        <f t="shared" si="165"/>
        <v>114</v>
      </c>
      <c r="AP170" s="58" t="str">
        <f t="shared" si="166"/>
        <v>164</v>
      </c>
      <c r="AQ170" s="21" t="e">
        <f t="shared" si="167"/>
        <v>#NUM!</v>
      </c>
      <c r="AR170" s="21" t="e">
        <f t="shared" si="168"/>
        <v>#NUM!</v>
      </c>
      <c r="AS170" s="136" t="e">
        <f t="shared" si="188"/>
        <v>#NUM!</v>
      </c>
      <c r="AT170" s="59" t="e">
        <f t="shared" si="169"/>
        <v>#NUM!</v>
      </c>
      <c r="AU170" s="21" t="e">
        <f t="shared" si="170"/>
        <v>#NUM!</v>
      </c>
      <c r="AV170" s="58">
        <f t="shared" si="171"/>
        <v>1500</v>
      </c>
      <c r="AW170" s="58">
        <f t="shared" si="172"/>
        <v>600</v>
      </c>
      <c r="AX170" s="60">
        <f t="shared" si="173"/>
        <v>0.11</v>
      </c>
      <c r="AY170" s="212">
        <f t="shared" si="189"/>
        <v>0</v>
      </c>
      <c r="AZ170" s="59">
        <f t="shared" si="174"/>
        <v>0</v>
      </c>
      <c r="BA170" s="21" t="e">
        <f t="shared" si="175"/>
        <v>#DIV/0!</v>
      </c>
      <c r="BB170" s="58">
        <f t="shared" si="176"/>
        <v>2900</v>
      </c>
      <c r="BC170" s="58">
        <f t="shared" si="177"/>
        <v>1160</v>
      </c>
      <c r="BD170" s="60">
        <f t="shared" si="178"/>
        <v>0.15</v>
      </c>
      <c r="BE170" s="212" t="e">
        <f t="shared" si="190"/>
        <v>#NUM!</v>
      </c>
      <c r="BF170" s="59" t="e">
        <f t="shared" si="179"/>
        <v>#NUM!</v>
      </c>
      <c r="BG170" s="21" t="e">
        <f t="shared" si="180"/>
        <v>#NUM!</v>
      </c>
      <c r="BH170" s="55">
        <f t="shared" ca="1" si="183"/>
        <v>0</v>
      </c>
    </row>
    <row r="171" spans="1:60" x14ac:dyDescent="0.2">
      <c r="A171" s="61">
        <f ca="1">RANK(W171,W$12:W$311,0)+COUNTIF(W$12:W171,W171)-1</f>
        <v>141</v>
      </c>
      <c r="B171" s="55">
        <f>'Etape 1'!A167</f>
        <v>160</v>
      </c>
      <c r="C171" s="55">
        <f>'Etape 1'!B167</f>
        <v>0</v>
      </c>
      <c r="D171" s="55">
        <f>'Etape 1'!C167</f>
        <v>0</v>
      </c>
      <c r="E171" s="55">
        <f>'Etape 1'!D167</f>
        <v>0</v>
      </c>
      <c r="F171" s="55">
        <f>'Etape 1'!E167</f>
        <v>0</v>
      </c>
      <c r="G171" s="55">
        <f>'Etape 1'!F167</f>
        <v>0</v>
      </c>
      <c r="H171" s="55">
        <f>'Etape 1'!G167</f>
        <v>0</v>
      </c>
      <c r="I171" s="209">
        <v>1</v>
      </c>
      <c r="J171" s="58">
        <f t="shared" si="191"/>
        <v>0</v>
      </c>
      <c r="K171" s="21">
        <f t="shared" si="143"/>
        <v>0</v>
      </c>
      <c r="L171" s="21">
        <f t="shared" si="144"/>
        <v>0</v>
      </c>
      <c r="M171" s="21">
        <f t="shared" ca="1" si="145"/>
        <v>3</v>
      </c>
      <c r="N171" s="21">
        <f t="shared" ca="1" si="146"/>
        <v>3</v>
      </c>
      <c r="O171" s="21">
        <f t="shared" ca="1" si="147"/>
        <v>0</v>
      </c>
      <c r="P171" s="262" t="str">
        <f>IF('Etape 1'!J167=999,"",IF('Etape 1'!J167=9999,txt_Schritt1.Angaben.fehlen,VLOOKUP(N171,Matrix_1.2.3.Test.Punkte.ID.Beurteilung,4,1)))</f>
        <v/>
      </c>
      <c r="Q171" s="21">
        <f t="shared" ca="1" si="148"/>
        <v>0</v>
      </c>
      <c r="R171" s="136">
        <f t="shared" si="184"/>
        <v>160</v>
      </c>
      <c r="S171" s="136">
        <f t="shared" ca="1" si="181"/>
        <v>162.53156146179401</v>
      </c>
      <c r="T171" s="136">
        <f t="shared" ca="1" si="185"/>
        <v>750.53156146179401</v>
      </c>
      <c r="U171" s="136">
        <f t="shared" ca="1" si="186"/>
        <v>1224000.5315614617</v>
      </c>
      <c r="V171" s="211">
        <f t="shared" ca="1" si="187"/>
        <v>235406.72360578121</v>
      </c>
      <c r="W171" s="136">
        <f t="shared" ca="1" si="182"/>
        <v>160</v>
      </c>
      <c r="X171" s="136">
        <f t="shared" ca="1" si="149"/>
        <v>162.999000999001</v>
      </c>
      <c r="Y171" s="21">
        <f t="shared" si="150"/>
        <v>1</v>
      </c>
      <c r="Z171" s="21" t="str">
        <f t="shared" si="151"/>
        <v>&lt;IE0</v>
      </c>
      <c r="AA171" s="21">
        <f t="shared" si="152"/>
        <v>1</v>
      </c>
      <c r="AB171" s="21" t="str">
        <f t="shared" si="153"/>
        <v>a - "&lt; 1990 (Eff3)"</v>
      </c>
      <c r="AC171" s="21">
        <f t="shared" si="154"/>
        <v>999999</v>
      </c>
      <c r="AD171" s="21" t="str">
        <f t="shared" si="155"/>
        <v/>
      </c>
      <c r="AE171" s="21" t="str">
        <f t="shared" si="156"/>
        <v/>
      </c>
      <c r="AF171" s="21" t="str">
        <f t="shared" si="157"/>
        <v/>
      </c>
      <c r="AG171" s="21">
        <f t="shared" si="158"/>
        <v>0</v>
      </c>
      <c r="AH171" s="21">
        <f>IF('Etape 1'!H167=St.Wert_Hacken,1,0)</f>
        <v>0</v>
      </c>
      <c r="AI171" s="21">
        <f t="shared" si="159"/>
        <v>0</v>
      </c>
      <c r="AJ171" s="21">
        <f t="shared" si="160"/>
        <v>1000999</v>
      </c>
      <c r="AK171" s="58">
        <f t="shared" si="161"/>
        <v>1100</v>
      </c>
      <c r="AL171" s="58">
        <f t="shared" si="162"/>
        <v>440</v>
      </c>
      <c r="AM171" s="21">
        <f t="shared" si="163"/>
        <v>0</v>
      </c>
      <c r="AN171" s="58">
        <f t="shared" si="164"/>
        <v>1</v>
      </c>
      <c r="AO171" s="58" t="str">
        <f t="shared" si="165"/>
        <v>114</v>
      </c>
      <c r="AP171" s="58" t="str">
        <f t="shared" si="166"/>
        <v>164</v>
      </c>
      <c r="AQ171" s="21" t="e">
        <f t="shared" si="167"/>
        <v>#NUM!</v>
      </c>
      <c r="AR171" s="21" t="e">
        <f t="shared" si="168"/>
        <v>#NUM!</v>
      </c>
      <c r="AS171" s="136" t="e">
        <f t="shared" si="188"/>
        <v>#NUM!</v>
      </c>
      <c r="AT171" s="59" t="e">
        <f t="shared" si="169"/>
        <v>#NUM!</v>
      </c>
      <c r="AU171" s="21" t="e">
        <f t="shared" si="170"/>
        <v>#NUM!</v>
      </c>
      <c r="AV171" s="58">
        <f t="shared" si="171"/>
        <v>1500</v>
      </c>
      <c r="AW171" s="58">
        <f t="shared" si="172"/>
        <v>600</v>
      </c>
      <c r="AX171" s="60">
        <f t="shared" si="173"/>
        <v>0.11</v>
      </c>
      <c r="AY171" s="212">
        <f t="shared" si="189"/>
        <v>0</v>
      </c>
      <c r="AZ171" s="59">
        <f t="shared" si="174"/>
        <v>0</v>
      </c>
      <c r="BA171" s="21" t="e">
        <f t="shared" si="175"/>
        <v>#DIV/0!</v>
      </c>
      <c r="BB171" s="58">
        <f t="shared" si="176"/>
        <v>2900</v>
      </c>
      <c r="BC171" s="58">
        <f t="shared" si="177"/>
        <v>1160</v>
      </c>
      <c r="BD171" s="60">
        <f t="shared" si="178"/>
        <v>0.15</v>
      </c>
      <c r="BE171" s="212" t="e">
        <f t="shared" si="190"/>
        <v>#NUM!</v>
      </c>
      <c r="BF171" s="59" t="e">
        <f t="shared" si="179"/>
        <v>#NUM!</v>
      </c>
      <c r="BG171" s="21" t="e">
        <f t="shared" si="180"/>
        <v>#NUM!</v>
      </c>
      <c r="BH171" s="55">
        <f t="shared" ca="1" si="183"/>
        <v>0</v>
      </c>
    </row>
    <row r="172" spans="1:60" x14ac:dyDescent="0.2">
      <c r="A172" s="61">
        <f ca="1">RANK(W172,W$12:W$311,0)+COUNTIF(W$12:W172,W172)-1</f>
        <v>140</v>
      </c>
      <c r="B172" s="55">
        <f>'Etape 1'!A168</f>
        <v>161</v>
      </c>
      <c r="C172" s="55">
        <f>'Etape 1'!B168</f>
        <v>0</v>
      </c>
      <c r="D172" s="55">
        <f>'Etape 1'!C168</f>
        <v>0</v>
      </c>
      <c r="E172" s="55">
        <f>'Etape 1'!D168</f>
        <v>0</v>
      </c>
      <c r="F172" s="55">
        <f>'Etape 1'!E168</f>
        <v>0</v>
      </c>
      <c r="G172" s="55">
        <f>'Etape 1'!F168</f>
        <v>0</v>
      </c>
      <c r="H172" s="55">
        <f>'Etape 1'!G168</f>
        <v>0</v>
      </c>
      <c r="I172" s="209">
        <v>1</v>
      </c>
      <c r="J172" s="58">
        <f t="shared" si="191"/>
        <v>0</v>
      </c>
      <c r="K172" s="21">
        <f t="shared" si="143"/>
        <v>0</v>
      </c>
      <c r="L172" s="21">
        <f t="shared" si="144"/>
        <v>0</v>
      </c>
      <c r="M172" s="21">
        <f t="shared" ca="1" si="145"/>
        <v>3</v>
      </c>
      <c r="N172" s="21">
        <f t="shared" ca="1" si="146"/>
        <v>3</v>
      </c>
      <c r="O172" s="21">
        <f t="shared" ca="1" si="147"/>
        <v>0</v>
      </c>
      <c r="P172" s="262" t="str">
        <f>IF('Etape 1'!J168=999,"",IF('Etape 1'!J168=9999,txt_Schritt1.Angaben.fehlen,VLOOKUP(N172,Matrix_1.2.3.Test.Punkte.ID.Beurteilung,4,1)))</f>
        <v/>
      </c>
      <c r="Q172" s="21">
        <f t="shared" ca="1" si="148"/>
        <v>0</v>
      </c>
      <c r="R172" s="136">
        <f t="shared" si="184"/>
        <v>161</v>
      </c>
      <c r="S172" s="136">
        <f t="shared" ca="1" si="181"/>
        <v>162.53488372093022</v>
      </c>
      <c r="T172" s="136">
        <f t="shared" ca="1" si="185"/>
        <v>750.53488372093022</v>
      </c>
      <c r="U172" s="136">
        <f t="shared" ca="1" si="186"/>
        <v>1224000.534883721</v>
      </c>
      <c r="V172" s="211">
        <f t="shared" ca="1" si="187"/>
        <v>235406.72692804033</v>
      </c>
      <c r="W172" s="136">
        <f t="shared" ca="1" si="182"/>
        <v>161</v>
      </c>
      <c r="X172" s="136">
        <f t="shared" ca="1" si="149"/>
        <v>162.999000999001</v>
      </c>
      <c r="Y172" s="21">
        <f t="shared" si="150"/>
        <v>1</v>
      </c>
      <c r="Z172" s="21" t="str">
        <f t="shared" si="151"/>
        <v>&lt;IE0</v>
      </c>
      <c r="AA172" s="21">
        <f t="shared" si="152"/>
        <v>1</v>
      </c>
      <c r="AB172" s="21" t="str">
        <f t="shared" si="153"/>
        <v>a - "&lt; 1990 (Eff3)"</v>
      </c>
      <c r="AC172" s="21">
        <f t="shared" si="154"/>
        <v>999999</v>
      </c>
      <c r="AD172" s="21" t="str">
        <f t="shared" si="155"/>
        <v/>
      </c>
      <c r="AE172" s="21" t="str">
        <f t="shared" si="156"/>
        <v/>
      </c>
      <c r="AF172" s="21" t="str">
        <f t="shared" si="157"/>
        <v/>
      </c>
      <c r="AG172" s="21">
        <f t="shared" si="158"/>
        <v>0</v>
      </c>
      <c r="AH172" s="21">
        <f>IF('Etape 1'!H168=St.Wert_Hacken,1,0)</f>
        <v>0</v>
      </c>
      <c r="AI172" s="21">
        <f t="shared" si="159"/>
        <v>0</v>
      </c>
      <c r="AJ172" s="21">
        <f t="shared" si="160"/>
        <v>1000999</v>
      </c>
      <c r="AK172" s="58">
        <f t="shared" si="161"/>
        <v>1100</v>
      </c>
      <c r="AL172" s="58">
        <f t="shared" si="162"/>
        <v>440</v>
      </c>
      <c r="AM172" s="21">
        <f t="shared" si="163"/>
        <v>0</v>
      </c>
      <c r="AN172" s="58">
        <f t="shared" si="164"/>
        <v>1</v>
      </c>
      <c r="AO172" s="58" t="str">
        <f t="shared" si="165"/>
        <v>114</v>
      </c>
      <c r="AP172" s="58" t="str">
        <f t="shared" si="166"/>
        <v>164</v>
      </c>
      <c r="AQ172" s="21" t="e">
        <f t="shared" si="167"/>
        <v>#NUM!</v>
      </c>
      <c r="AR172" s="21" t="e">
        <f t="shared" si="168"/>
        <v>#NUM!</v>
      </c>
      <c r="AS172" s="136" t="e">
        <f t="shared" si="188"/>
        <v>#NUM!</v>
      </c>
      <c r="AT172" s="59" t="e">
        <f t="shared" si="169"/>
        <v>#NUM!</v>
      </c>
      <c r="AU172" s="21" t="e">
        <f t="shared" si="170"/>
        <v>#NUM!</v>
      </c>
      <c r="AV172" s="58">
        <f t="shared" si="171"/>
        <v>1500</v>
      </c>
      <c r="AW172" s="58">
        <f t="shared" si="172"/>
        <v>600</v>
      </c>
      <c r="AX172" s="60">
        <f t="shared" si="173"/>
        <v>0.11</v>
      </c>
      <c r="AY172" s="212">
        <f t="shared" si="189"/>
        <v>0</v>
      </c>
      <c r="AZ172" s="59">
        <f t="shared" si="174"/>
        <v>0</v>
      </c>
      <c r="BA172" s="21" t="e">
        <f t="shared" si="175"/>
        <v>#DIV/0!</v>
      </c>
      <c r="BB172" s="58">
        <f t="shared" si="176"/>
        <v>2900</v>
      </c>
      <c r="BC172" s="58">
        <f t="shared" si="177"/>
        <v>1160</v>
      </c>
      <c r="BD172" s="60">
        <f t="shared" si="178"/>
        <v>0.15</v>
      </c>
      <c r="BE172" s="212" t="e">
        <f t="shared" si="190"/>
        <v>#NUM!</v>
      </c>
      <c r="BF172" s="59" t="e">
        <f t="shared" si="179"/>
        <v>#NUM!</v>
      </c>
      <c r="BG172" s="21" t="e">
        <f t="shared" si="180"/>
        <v>#NUM!</v>
      </c>
      <c r="BH172" s="55">
        <f t="shared" ca="1" si="183"/>
        <v>0</v>
      </c>
    </row>
    <row r="173" spans="1:60" x14ac:dyDescent="0.2">
      <c r="A173" s="61">
        <f ca="1">RANK(W173,W$12:W$311,0)+COUNTIF(W$12:W173,W173)-1</f>
        <v>139</v>
      </c>
      <c r="B173" s="55">
        <f>'Etape 1'!A169</f>
        <v>162</v>
      </c>
      <c r="C173" s="55">
        <f>'Etape 1'!B169</f>
        <v>0</v>
      </c>
      <c r="D173" s="55">
        <f>'Etape 1'!C169</f>
        <v>0</v>
      </c>
      <c r="E173" s="55">
        <f>'Etape 1'!D169</f>
        <v>0</v>
      </c>
      <c r="F173" s="55">
        <f>'Etape 1'!E169</f>
        <v>0</v>
      </c>
      <c r="G173" s="55">
        <f>'Etape 1'!F169</f>
        <v>0</v>
      </c>
      <c r="H173" s="55">
        <f>'Etape 1'!G169</f>
        <v>0</v>
      </c>
      <c r="I173" s="209">
        <v>1</v>
      </c>
      <c r="J173" s="58">
        <f t="shared" si="191"/>
        <v>0</v>
      </c>
      <c r="K173" s="21">
        <f t="shared" si="143"/>
        <v>0</v>
      </c>
      <c r="L173" s="21">
        <f t="shared" si="144"/>
        <v>0</v>
      </c>
      <c r="M173" s="21">
        <f t="shared" ca="1" si="145"/>
        <v>3</v>
      </c>
      <c r="N173" s="21">
        <f t="shared" ca="1" si="146"/>
        <v>3</v>
      </c>
      <c r="O173" s="21">
        <f t="shared" ca="1" si="147"/>
        <v>0</v>
      </c>
      <c r="P173" s="262" t="str">
        <f>IF('Etape 1'!J169=999,"",IF('Etape 1'!J169=9999,txt_Schritt1.Angaben.fehlen,VLOOKUP(N173,Matrix_1.2.3.Test.Punkte.ID.Beurteilung,4,1)))</f>
        <v/>
      </c>
      <c r="Q173" s="21">
        <f t="shared" ca="1" si="148"/>
        <v>0</v>
      </c>
      <c r="R173" s="136">
        <f t="shared" si="184"/>
        <v>162</v>
      </c>
      <c r="S173" s="136">
        <f t="shared" ca="1" si="181"/>
        <v>162.53820598006644</v>
      </c>
      <c r="T173" s="136">
        <f t="shared" ca="1" si="185"/>
        <v>750.53820598006644</v>
      </c>
      <c r="U173" s="136">
        <f t="shared" ca="1" si="186"/>
        <v>1224000.5382059801</v>
      </c>
      <c r="V173" s="211">
        <f t="shared" ca="1" si="187"/>
        <v>235406.73025029947</v>
      </c>
      <c r="W173" s="136">
        <f t="shared" ca="1" si="182"/>
        <v>162</v>
      </c>
      <c r="X173" s="136">
        <f t="shared" ca="1" si="149"/>
        <v>162.999000999001</v>
      </c>
      <c r="Y173" s="21">
        <f t="shared" si="150"/>
        <v>1</v>
      </c>
      <c r="Z173" s="21" t="str">
        <f t="shared" si="151"/>
        <v>&lt;IE0</v>
      </c>
      <c r="AA173" s="21">
        <f t="shared" si="152"/>
        <v>1</v>
      </c>
      <c r="AB173" s="21" t="str">
        <f t="shared" si="153"/>
        <v>a - "&lt; 1990 (Eff3)"</v>
      </c>
      <c r="AC173" s="21">
        <f t="shared" si="154"/>
        <v>999999</v>
      </c>
      <c r="AD173" s="21" t="str">
        <f t="shared" si="155"/>
        <v/>
      </c>
      <c r="AE173" s="21" t="str">
        <f t="shared" si="156"/>
        <v/>
      </c>
      <c r="AF173" s="21" t="str">
        <f t="shared" si="157"/>
        <v/>
      </c>
      <c r="AG173" s="21">
        <f t="shared" si="158"/>
        <v>0</v>
      </c>
      <c r="AH173" s="21">
        <f>IF('Etape 1'!H169=St.Wert_Hacken,1,0)</f>
        <v>0</v>
      </c>
      <c r="AI173" s="21">
        <f t="shared" si="159"/>
        <v>0</v>
      </c>
      <c r="AJ173" s="21">
        <f t="shared" si="160"/>
        <v>1000999</v>
      </c>
      <c r="AK173" s="58">
        <f t="shared" si="161"/>
        <v>1100</v>
      </c>
      <c r="AL173" s="58">
        <f t="shared" si="162"/>
        <v>440</v>
      </c>
      <c r="AM173" s="21">
        <f t="shared" si="163"/>
        <v>0</v>
      </c>
      <c r="AN173" s="58">
        <f t="shared" si="164"/>
        <v>1</v>
      </c>
      <c r="AO173" s="58" t="str">
        <f t="shared" si="165"/>
        <v>114</v>
      </c>
      <c r="AP173" s="58" t="str">
        <f t="shared" si="166"/>
        <v>164</v>
      </c>
      <c r="AQ173" s="21" t="e">
        <f t="shared" si="167"/>
        <v>#NUM!</v>
      </c>
      <c r="AR173" s="21" t="e">
        <f t="shared" si="168"/>
        <v>#NUM!</v>
      </c>
      <c r="AS173" s="136" t="e">
        <f t="shared" si="188"/>
        <v>#NUM!</v>
      </c>
      <c r="AT173" s="59" t="e">
        <f t="shared" si="169"/>
        <v>#NUM!</v>
      </c>
      <c r="AU173" s="21" t="e">
        <f t="shared" si="170"/>
        <v>#NUM!</v>
      </c>
      <c r="AV173" s="58">
        <f t="shared" si="171"/>
        <v>1500</v>
      </c>
      <c r="AW173" s="58">
        <f t="shared" si="172"/>
        <v>600</v>
      </c>
      <c r="AX173" s="60">
        <f t="shared" si="173"/>
        <v>0.11</v>
      </c>
      <c r="AY173" s="212">
        <f t="shared" si="189"/>
        <v>0</v>
      </c>
      <c r="AZ173" s="59">
        <f t="shared" si="174"/>
        <v>0</v>
      </c>
      <c r="BA173" s="21" t="e">
        <f t="shared" si="175"/>
        <v>#DIV/0!</v>
      </c>
      <c r="BB173" s="58">
        <f t="shared" si="176"/>
        <v>2900</v>
      </c>
      <c r="BC173" s="58">
        <f t="shared" si="177"/>
        <v>1160</v>
      </c>
      <c r="BD173" s="60">
        <f t="shared" si="178"/>
        <v>0.15</v>
      </c>
      <c r="BE173" s="212" t="e">
        <f t="shared" si="190"/>
        <v>#NUM!</v>
      </c>
      <c r="BF173" s="59" t="e">
        <f t="shared" si="179"/>
        <v>#NUM!</v>
      </c>
      <c r="BG173" s="21" t="e">
        <f t="shared" si="180"/>
        <v>#NUM!</v>
      </c>
      <c r="BH173" s="55">
        <f t="shared" ca="1" si="183"/>
        <v>0</v>
      </c>
    </row>
    <row r="174" spans="1:60" x14ac:dyDescent="0.2">
      <c r="A174" s="61">
        <f ca="1">RANK(W174,W$12:W$311,0)+COUNTIF(W$12:W174,W174)-1</f>
        <v>138</v>
      </c>
      <c r="B174" s="55">
        <f>'Etape 1'!A170</f>
        <v>163</v>
      </c>
      <c r="C174" s="55">
        <f>'Etape 1'!B170</f>
        <v>0</v>
      </c>
      <c r="D174" s="55">
        <f>'Etape 1'!C170</f>
        <v>0</v>
      </c>
      <c r="E174" s="55">
        <f>'Etape 1'!D170</f>
        <v>0</v>
      </c>
      <c r="F174" s="55">
        <f>'Etape 1'!E170</f>
        <v>0</v>
      </c>
      <c r="G174" s="55">
        <f>'Etape 1'!F170</f>
        <v>0</v>
      </c>
      <c r="H174" s="55">
        <f>'Etape 1'!G170</f>
        <v>0</v>
      </c>
      <c r="I174" s="209">
        <v>1</v>
      </c>
      <c r="J174" s="58">
        <f t="shared" si="191"/>
        <v>0</v>
      </c>
      <c r="K174" s="21">
        <f t="shared" si="143"/>
        <v>0</v>
      </c>
      <c r="L174" s="21">
        <f t="shared" si="144"/>
        <v>0</v>
      </c>
      <c r="M174" s="21">
        <f t="shared" ca="1" si="145"/>
        <v>3</v>
      </c>
      <c r="N174" s="21">
        <f t="shared" ca="1" si="146"/>
        <v>3</v>
      </c>
      <c r="O174" s="21">
        <f t="shared" ca="1" si="147"/>
        <v>0</v>
      </c>
      <c r="P174" s="262" t="str">
        <f>IF('Etape 1'!J170=999,"",IF('Etape 1'!J170=9999,txt_Schritt1.Angaben.fehlen,VLOOKUP(N174,Matrix_1.2.3.Test.Punkte.ID.Beurteilung,4,1)))</f>
        <v/>
      </c>
      <c r="Q174" s="21">
        <f t="shared" ca="1" si="148"/>
        <v>0</v>
      </c>
      <c r="R174" s="136">
        <f t="shared" si="184"/>
        <v>163</v>
      </c>
      <c r="S174" s="136">
        <f t="shared" ca="1" si="181"/>
        <v>162.54152823920265</v>
      </c>
      <c r="T174" s="136">
        <f t="shared" ca="1" si="185"/>
        <v>750.54152823920265</v>
      </c>
      <c r="U174" s="136">
        <f t="shared" ca="1" si="186"/>
        <v>1224000.5415282391</v>
      </c>
      <c r="V174" s="211">
        <f t="shared" ca="1" si="187"/>
        <v>235406.73357255862</v>
      </c>
      <c r="W174" s="136">
        <f t="shared" ca="1" si="182"/>
        <v>163</v>
      </c>
      <c r="X174" s="136">
        <f t="shared" ca="1" si="149"/>
        <v>162.999000999001</v>
      </c>
      <c r="Y174" s="21">
        <f t="shared" si="150"/>
        <v>1</v>
      </c>
      <c r="Z174" s="21" t="str">
        <f t="shared" si="151"/>
        <v>&lt;IE0</v>
      </c>
      <c r="AA174" s="21">
        <f t="shared" si="152"/>
        <v>1</v>
      </c>
      <c r="AB174" s="21" t="str">
        <f t="shared" si="153"/>
        <v>a - "&lt; 1990 (Eff3)"</v>
      </c>
      <c r="AC174" s="21">
        <f t="shared" si="154"/>
        <v>999999</v>
      </c>
      <c r="AD174" s="21" t="str">
        <f t="shared" si="155"/>
        <v/>
      </c>
      <c r="AE174" s="21" t="str">
        <f t="shared" si="156"/>
        <v/>
      </c>
      <c r="AF174" s="21" t="str">
        <f t="shared" si="157"/>
        <v/>
      </c>
      <c r="AG174" s="21">
        <f t="shared" si="158"/>
        <v>0</v>
      </c>
      <c r="AH174" s="21">
        <f>IF('Etape 1'!H170=St.Wert_Hacken,1,0)</f>
        <v>0</v>
      </c>
      <c r="AI174" s="21">
        <f t="shared" si="159"/>
        <v>0</v>
      </c>
      <c r="AJ174" s="21">
        <f t="shared" si="160"/>
        <v>1000999</v>
      </c>
      <c r="AK174" s="58">
        <f t="shared" si="161"/>
        <v>1100</v>
      </c>
      <c r="AL174" s="58">
        <f t="shared" si="162"/>
        <v>440</v>
      </c>
      <c r="AM174" s="21">
        <f t="shared" si="163"/>
        <v>0</v>
      </c>
      <c r="AN174" s="58">
        <f t="shared" si="164"/>
        <v>1</v>
      </c>
      <c r="AO174" s="58" t="str">
        <f t="shared" si="165"/>
        <v>114</v>
      </c>
      <c r="AP174" s="58" t="str">
        <f t="shared" si="166"/>
        <v>164</v>
      </c>
      <c r="AQ174" s="21" t="e">
        <f t="shared" si="167"/>
        <v>#NUM!</v>
      </c>
      <c r="AR174" s="21" t="e">
        <f t="shared" si="168"/>
        <v>#NUM!</v>
      </c>
      <c r="AS174" s="136" t="e">
        <f t="shared" si="188"/>
        <v>#NUM!</v>
      </c>
      <c r="AT174" s="59" t="e">
        <f t="shared" si="169"/>
        <v>#NUM!</v>
      </c>
      <c r="AU174" s="21" t="e">
        <f t="shared" si="170"/>
        <v>#NUM!</v>
      </c>
      <c r="AV174" s="58">
        <f t="shared" si="171"/>
        <v>1500</v>
      </c>
      <c r="AW174" s="58">
        <f t="shared" si="172"/>
        <v>600</v>
      </c>
      <c r="AX174" s="60">
        <f t="shared" si="173"/>
        <v>0.11</v>
      </c>
      <c r="AY174" s="212">
        <f t="shared" si="189"/>
        <v>0</v>
      </c>
      <c r="AZ174" s="59">
        <f t="shared" si="174"/>
        <v>0</v>
      </c>
      <c r="BA174" s="21" t="e">
        <f t="shared" si="175"/>
        <v>#DIV/0!</v>
      </c>
      <c r="BB174" s="58">
        <f t="shared" si="176"/>
        <v>2900</v>
      </c>
      <c r="BC174" s="58">
        <f t="shared" si="177"/>
        <v>1160</v>
      </c>
      <c r="BD174" s="60">
        <f t="shared" si="178"/>
        <v>0.15</v>
      </c>
      <c r="BE174" s="212" t="e">
        <f t="shared" si="190"/>
        <v>#NUM!</v>
      </c>
      <c r="BF174" s="59" t="e">
        <f t="shared" si="179"/>
        <v>#NUM!</v>
      </c>
      <c r="BG174" s="21" t="e">
        <f t="shared" si="180"/>
        <v>#NUM!</v>
      </c>
      <c r="BH174" s="55">
        <f t="shared" ca="1" si="183"/>
        <v>0</v>
      </c>
    </row>
    <row r="175" spans="1:60" x14ac:dyDescent="0.2">
      <c r="A175" s="61">
        <f ca="1">RANK(W175,W$12:W$311,0)+COUNTIF(W$12:W175,W175)-1</f>
        <v>137</v>
      </c>
      <c r="B175" s="55">
        <f>'Etape 1'!A171</f>
        <v>164</v>
      </c>
      <c r="C175" s="55">
        <f>'Etape 1'!B171</f>
        <v>0</v>
      </c>
      <c r="D175" s="55">
        <f>'Etape 1'!C171</f>
        <v>0</v>
      </c>
      <c r="E175" s="55">
        <f>'Etape 1'!D171</f>
        <v>0</v>
      </c>
      <c r="F175" s="55">
        <f>'Etape 1'!E171</f>
        <v>0</v>
      </c>
      <c r="G175" s="55">
        <f>'Etape 1'!F171</f>
        <v>0</v>
      </c>
      <c r="H175" s="55">
        <f>'Etape 1'!G171</f>
        <v>0</v>
      </c>
      <c r="I175" s="209">
        <v>1</v>
      </c>
      <c r="J175" s="58">
        <f t="shared" si="191"/>
        <v>0</v>
      </c>
      <c r="K175" s="21">
        <f t="shared" ref="K175:K238" si="192">VLOOKUP(F175,Matrix_1.2.3.Test.Leistung.Punkte,2,TRUE)</f>
        <v>0</v>
      </c>
      <c r="L175" s="21">
        <f t="shared" ref="L175:L238" si="193">VLOOKUP(G175,Matrix_1.2.3.Test.Betriebszeit.Punkte,2,TRUE)</f>
        <v>0</v>
      </c>
      <c r="M175" s="21">
        <f t="shared" ref="M175:M238" ca="1" si="194">IF(H175=0,3,VLOOKUP(YEAR(TODAY())-H175,Matrix_1.2.3.Test.Alter.Punkte,2,TRUE))</f>
        <v>3</v>
      </c>
      <c r="N175" s="21">
        <f t="shared" ref="N175:N238" ca="1" si="195">M175+Wert_1.2.3.Test.Faktor.A*L175*K175</f>
        <v>3</v>
      </c>
      <c r="O175" s="21">
        <f t="shared" ref="O175:O238" ca="1" si="196">VLOOKUP(N175,Matrix_1.2.3.Test.Punkte.ID.Beurteilung,3,TRUE)</f>
        <v>0</v>
      </c>
      <c r="P175" s="262" t="str">
        <f>IF('Etape 1'!J171=999,"",IF('Etape 1'!J171=9999,txt_Schritt1.Angaben.fehlen,VLOOKUP(N175,Matrix_1.2.3.Test.Punkte.ID.Beurteilung,4,1)))</f>
        <v/>
      </c>
      <c r="Q175" s="21">
        <f t="shared" ref="Q175:Q238" ca="1" si="197">IF(AH175=1,1,O175)</f>
        <v>0</v>
      </c>
      <c r="R175" s="136">
        <f t="shared" si="184"/>
        <v>164</v>
      </c>
      <c r="S175" s="136">
        <f t="shared" ca="1" si="181"/>
        <v>162.54485049833886</v>
      </c>
      <c r="T175" s="136">
        <f t="shared" ca="1" si="185"/>
        <v>750.54485049833886</v>
      </c>
      <c r="U175" s="136">
        <f t="shared" ca="1" si="186"/>
        <v>1224000.5448504984</v>
      </c>
      <c r="V175" s="211">
        <f t="shared" ca="1" si="187"/>
        <v>235406.73689481776</v>
      </c>
      <c r="W175" s="136">
        <f t="shared" ca="1" si="182"/>
        <v>164</v>
      </c>
      <c r="X175" s="136">
        <f t="shared" ref="X175:X238" ca="1" si="198">IF(Q175=0,3,Q175)*St.Wert_1.2.3.Test.PkteMax-N175+IF(AC175&gt;St.Wert_Payback.Max,St.Wert_Payback.Max,AC175)/(St.Wert_Payback.Max+1)</f>
        <v>162.999000999001</v>
      </c>
      <c r="Y175" s="21">
        <f t="shared" ref="Y175:Y238" si="199">VLOOKUP(H175,Matrix_Motor.Jahr.EffKl,2,1)</f>
        <v>1</v>
      </c>
      <c r="Z175" s="21" t="str">
        <f t="shared" ref="Z175:Z238" si="200">VLOOKUP(H175,Matrix_Motor.Jahr.EffKl,3,1)</f>
        <v>&lt;IE0</v>
      </c>
      <c r="AA175" s="21">
        <f t="shared" ref="AA175:AA238" si="201">VLOOKUP(H175,Matrix_Pumpe.Jahr.EffKl,2,1)</f>
        <v>1</v>
      </c>
      <c r="AB175" s="21" t="str">
        <f t="shared" ref="AB175:AB238" si="202">VLOOKUP(H175,Matrix_Pumpe.Jahr.EffKl,3,1)</f>
        <v>a - "&lt; 1990 (Eff3)"</v>
      </c>
      <c r="AC175" s="21">
        <f t="shared" ref="AC175:AC238" si="203">IF(ISNUMBER(MIN(AU175,BA175,BG175)),MIN(AU175,BA175,BG175),St.Wert_Platzhalter.Payback)</f>
        <v>999999</v>
      </c>
      <c r="AD175" s="21" t="str">
        <f t="shared" ref="AD175:AD238" si="204">IF(AC175=St.Wert_Platzhalter.Payback,"",VLOOKUP(AC175,Matrix_Wirtschaftlichkeit.Payback.ID.Txt,2,1))</f>
        <v/>
      </c>
      <c r="AE175" s="21" t="str">
        <f t="shared" ref="AE175:AE238" si="205">IF(AC175=St.Wert_Platzhalter.Payback,"",VLOOKUP(AC175,Matrix_Wirtschaftlichkeit.Payback.ID.Txt,3,1))</f>
        <v/>
      </c>
      <c r="AF175" s="21" t="str">
        <f t="shared" ref="AF175:AF238" si="206">IF(AC175=St.Wert_Platzhalter.Payback,"",VLOOKUP(AC175,Matrix_Wirtschaftlichkeit.Payback.ID.Txt,4,1))</f>
        <v/>
      </c>
      <c r="AG175" s="21">
        <f t="shared" ref="AG175:AG238" si="207">VLOOKUP(AC175,Matrix_Wirtschaftlichkeit.Payback.ID.Txt,6,1)</f>
        <v>0</v>
      </c>
      <c r="AH175" s="21">
        <f>IF('Etape 1'!H171=St.Wert_Hacken,1,0)</f>
        <v>0</v>
      </c>
      <c r="AI175" s="21">
        <f t="shared" ref="AI175:AI238" si="208">IF(AH175=1,1,AG175)</f>
        <v>0</v>
      </c>
      <c r="AJ175" s="21">
        <f t="shared" ref="AJ175:AJ238" si="209">IF(AI175=1,IF(AC175&gt;St.Wert_Payback.Max,St.Wert_Payback.Max,AC175),AC175+St.Wert_Payback.Max)</f>
        <v>1000999</v>
      </c>
      <c r="AK175" s="58">
        <f t="shared" ref="AK175:AK238" si="210">Preis_Motor.a*F175+Preis_Motor.b+Preis_Motor.Planung</f>
        <v>1100</v>
      </c>
      <c r="AL175" s="58">
        <f t="shared" ref="AL175:AL238" si="211">AK175*IF(Wert_Wirtschaftlichkeit.EnergieAnteil.Ja.Nein.Schritt1,VLOOKUP(AA175,Matrix_Anlage.AlterID.Einsparpotential.und.EnergieAnteil,6,0),1)</f>
        <v>440</v>
      </c>
      <c r="AM175" s="21">
        <f t="shared" ref="AM175:AM238" si="212">IF(F175&lt;Wert_Motor.max.Leistung.fuer.Berechnung.Wirkungsgrad,F175,Wert_Motor.max.Leistung.fuer.Berechnung.Wirkungsgrad)</f>
        <v>0</v>
      </c>
      <c r="AN175" s="58">
        <f t="shared" ref="AN175:AN238" si="213">VLOOKUP(F175,Matrix_Motor.LeistungsKl.ID,2,1)</f>
        <v>1</v>
      </c>
      <c r="AO175" s="58" t="str">
        <f t="shared" ref="AO175:AO238" si="214">CONCATENATE(AN175,Y175,Wert_Motor.Pole.Anzahl.Schritt1)</f>
        <v>114</v>
      </c>
      <c r="AP175" s="58" t="str">
        <f t="shared" ref="AP175:AP238" si="215">CONCATENATE(AN175,Wert_Motor.IEID.neu.Schritt1,Wert_Motor.Pole.Anzahl.Schritt1)</f>
        <v>164</v>
      </c>
      <c r="AQ175" s="21" t="e">
        <f t="shared" ref="AQ175:AQ238" si="216">(VLOOKUP(AO175,Matrix_Motor.KombiKl.EffParameter,3,0)*(LOG(AM175))^3+VLOOKUP(AO175,Matrix_Motor.KombiKl.EffParameter,4,0)*(LOG(AM175))^2+VLOOKUP(AO175,Matrix_Motor.KombiKl.EffParameter,5,0)*(LOG(AM175))+VLOOKUP(AO175,Matrix_Motor.KombiKl.EffParameter,6,0))/100</f>
        <v>#NUM!</v>
      </c>
      <c r="AR175" s="21" t="e">
        <f t="shared" ref="AR175:AR238" si="217">(VLOOKUP(AP175,Matrix_Motor.KombiKl.EffParameter,3,0)*(LOG(AM175))^3+VLOOKUP(AP175,Matrix_Motor.KombiKl.EffParameter,4,0)*(LOG(AM175))^2+VLOOKUP(AP175,Matrix_Motor.KombiKl.EffParameter,5,0)*(LOG(AM175))+VLOOKUP(AP175,Matrix_Motor.KombiKl.EffParameter,6,0))/100</f>
        <v>#NUM!</v>
      </c>
      <c r="AS175" s="136" t="e">
        <f t="shared" si="188"/>
        <v>#NUM!</v>
      </c>
      <c r="AT175" s="59" t="e">
        <f t="shared" ref="AT175:AT238" si="218">AS175*Preis_Strom.Schritt1/100</f>
        <v>#NUM!</v>
      </c>
      <c r="AU175" s="21" t="e">
        <f t="shared" ref="AU175:AU238" si="219">AL175/AT175</f>
        <v>#NUM!</v>
      </c>
      <c r="AV175" s="58">
        <f t="shared" ref="AV175:AV238" si="220">Preis_FU.a*F175+Preis_FU.b+Preis_FU.Planung</f>
        <v>1500</v>
      </c>
      <c r="AW175" s="58">
        <f t="shared" ref="AW175:AW238" si="221">AV175*IF(Wert_Wirtschaftlichkeit.EnergieAnteil.Ja.Nein.Schritt1,VLOOKUP(AA175,Matrix_Anlage.AlterID.Einsparpotential.und.EnergieAnteil,6,0),1)</f>
        <v>600</v>
      </c>
      <c r="AX175" s="60">
        <f t="shared" ref="AX175:AX238" si="222">VLOOKUP(AA175,Matrix_Anlage.AlterID.Einsparpotential.und.EnergieAnteil,4,0)</f>
        <v>0.11</v>
      </c>
      <c r="AY175" s="212">
        <f t="shared" si="189"/>
        <v>0</v>
      </c>
      <c r="AZ175" s="59">
        <f t="shared" ref="AZ175:AZ238" si="223">AY175*Preis_Strom.Schritt1/100</f>
        <v>0</v>
      </c>
      <c r="BA175" s="21" t="e">
        <f t="shared" ref="BA175:BA238" si="224">AW175/AZ175</f>
        <v>#DIV/0!</v>
      </c>
      <c r="BB175" s="58">
        <f t="shared" ref="BB175:BB238" si="225">Preis_Redim.a*F175+Preis_Redim.b+Preis_Redim.Planung</f>
        <v>2900</v>
      </c>
      <c r="BC175" s="58">
        <f t="shared" ref="BC175:BC238" si="226">BB175*IF(Wert_Wirtschaftlichkeit.EnergieAnteil.Ja.Nein.Schritt1,VLOOKUP(AA175,Matrix_Anlage.AlterID.Einsparpotential.und.EnergieAnteil,6,0),1)</f>
        <v>1160</v>
      </c>
      <c r="BD175" s="60">
        <f t="shared" ref="BD175:BD238" si="227">VLOOKUP(AA175,Matrix_Anlage.AlterID.Einsparpotential.und.EnergieAnteil,5,0)</f>
        <v>0.15</v>
      </c>
      <c r="BE175" s="212" t="e">
        <f t="shared" si="190"/>
        <v>#NUM!</v>
      </c>
      <c r="BF175" s="59" t="e">
        <f t="shared" ref="BF175:BF238" si="228">BE175*Preis_Strom.Schritt1/100</f>
        <v>#NUM!</v>
      </c>
      <c r="BG175" s="21" t="e">
        <f t="shared" ref="BG175:BG238" si="229">BC175/BF175</f>
        <v>#NUM!</v>
      </c>
      <c r="BH175" s="55">
        <f t="shared" ca="1" si="183"/>
        <v>0</v>
      </c>
    </row>
    <row r="176" spans="1:60" x14ac:dyDescent="0.2">
      <c r="A176" s="61">
        <f ca="1">RANK(W176,W$12:W$311,0)+COUNTIF(W$12:W176,W176)-1</f>
        <v>136</v>
      </c>
      <c r="B176" s="55">
        <f>'Etape 1'!A172</f>
        <v>165</v>
      </c>
      <c r="C176" s="55">
        <f>'Etape 1'!B172</f>
        <v>0</v>
      </c>
      <c r="D176" s="55">
        <f>'Etape 1'!C172</f>
        <v>0</v>
      </c>
      <c r="E176" s="55">
        <f>'Etape 1'!D172</f>
        <v>0</v>
      </c>
      <c r="F176" s="55">
        <f>'Etape 1'!E172</f>
        <v>0</v>
      </c>
      <c r="G176" s="55">
        <f>'Etape 1'!F172</f>
        <v>0</v>
      </c>
      <c r="H176" s="55">
        <f>'Etape 1'!G172</f>
        <v>0</v>
      </c>
      <c r="I176" s="209">
        <v>1</v>
      </c>
      <c r="J176" s="58">
        <f t="shared" si="191"/>
        <v>0</v>
      </c>
      <c r="K176" s="21">
        <f t="shared" si="192"/>
        <v>0</v>
      </c>
      <c r="L176" s="21">
        <f t="shared" si="193"/>
        <v>0</v>
      </c>
      <c r="M176" s="21">
        <f t="shared" ca="1" si="194"/>
        <v>3</v>
      </c>
      <c r="N176" s="21">
        <f t="shared" ca="1" si="195"/>
        <v>3</v>
      </c>
      <c r="O176" s="21">
        <f t="shared" ca="1" si="196"/>
        <v>0</v>
      </c>
      <c r="P176" s="262" t="str">
        <f>IF('Etape 1'!J172=999,"",IF('Etape 1'!J172=9999,txt_Schritt1.Angaben.fehlen,VLOOKUP(N176,Matrix_1.2.3.Test.Punkte.ID.Beurteilung,4,1)))</f>
        <v/>
      </c>
      <c r="Q176" s="21">
        <f t="shared" ca="1" si="197"/>
        <v>0</v>
      </c>
      <c r="R176" s="136">
        <f t="shared" si="184"/>
        <v>165</v>
      </c>
      <c r="S176" s="136">
        <f t="shared" ca="1" si="181"/>
        <v>162.54817275747507</v>
      </c>
      <c r="T176" s="136">
        <f t="shared" ca="1" si="185"/>
        <v>750.54817275747507</v>
      </c>
      <c r="U176" s="136">
        <f t="shared" ca="1" si="186"/>
        <v>1224000.5481727575</v>
      </c>
      <c r="V176" s="211">
        <f t="shared" ca="1" si="187"/>
        <v>235406.74021707688</v>
      </c>
      <c r="W176" s="136">
        <f t="shared" ca="1" si="182"/>
        <v>165</v>
      </c>
      <c r="X176" s="136">
        <f t="shared" ca="1" si="198"/>
        <v>162.999000999001</v>
      </c>
      <c r="Y176" s="21">
        <f t="shared" si="199"/>
        <v>1</v>
      </c>
      <c r="Z176" s="21" t="str">
        <f t="shared" si="200"/>
        <v>&lt;IE0</v>
      </c>
      <c r="AA176" s="21">
        <f t="shared" si="201"/>
        <v>1</v>
      </c>
      <c r="AB176" s="21" t="str">
        <f t="shared" si="202"/>
        <v>a - "&lt; 1990 (Eff3)"</v>
      </c>
      <c r="AC176" s="21">
        <f t="shared" si="203"/>
        <v>999999</v>
      </c>
      <c r="AD176" s="21" t="str">
        <f t="shared" si="204"/>
        <v/>
      </c>
      <c r="AE176" s="21" t="str">
        <f t="shared" si="205"/>
        <v/>
      </c>
      <c r="AF176" s="21" t="str">
        <f t="shared" si="206"/>
        <v/>
      </c>
      <c r="AG176" s="21">
        <f t="shared" si="207"/>
        <v>0</v>
      </c>
      <c r="AH176" s="21">
        <f>IF('Etape 1'!H172=St.Wert_Hacken,1,0)</f>
        <v>0</v>
      </c>
      <c r="AI176" s="21">
        <f t="shared" si="208"/>
        <v>0</v>
      </c>
      <c r="AJ176" s="21">
        <f t="shared" si="209"/>
        <v>1000999</v>
      </c>
      <c r="AK176" s="58">
        <f t="shared" si="210"/>
        <v>1100</v>
      </c>
      <c r="AL176" s="58">
        <f t="shared" si="211"/>
        <v>440</v>
      </c>
      <c r="AM176" s="21">
        <f t="shared" si="212"/>
        <v>0</v>
      </c>
      <c r="AN176" s="58">
        <f t="shared" si="213"/>
        <v>1</v>
      </c>
      <c r="AO176" s="58" t="str">
        <f t="shared" si="214"/>
        <v>114</v>
      </c>
      <c r="AP176" s="58" t="str">
        <f t="shared" si="215"/>
        <v>164</v>
      </c>
      <c r="AQ176" s="21" t="e">
        <f t="shared" si="216"/>
        <v>#NUM!</v>
      </c>
      <c r="AR176" s="21" t="e">
        <f t="shared" si="217"/>
        <v>#NUM!</v>
      </c>
      <c r="AS176" s="136" t="e">
        <f t="shared" si="188"/>
        <v>#NUM!</v>
      </c>
      <c r="AT176" s="59" t="e">
        <f t="shared" si="218"/>
        <v>#NUM!</v>
      </c>
      <c r="AU176" s="21" t="e">
        <f t="shared" si="219"/>
        <v>#NUM!</v>
      </c>
      <c r="AV176" s="58">
        <f t="shared" si="220"/>
        <v>1500</v>
      </c>
      <c r="AW176" s="58">
        <f t="shared" si="221"/>
        <v>600</v>
      </c>
      <c r="AX176" s="60">
        <f t="shared" si="222"/>
        <v>0.11</v>
      </c>
      <c r="AY176" s="212">
        <f t="shared" si="189"/>
        <v>0</v>
      </c>
      <c r="AZ176" s="59">
        <f t="shared" si="223"/>
        <v>0</v>
      </c>
      <c r="BA176" s="21" t="e">
        <f t="shared" si="224"/>
        <v>#DIV/0!</v>
      </c>
      <c r="BB176" s="58">
        <f t="shared" si="225"/>
        <v>2900</v>
      </c>
      <c r="BC176" s="58">
        <f t="shared" si="226"/>
        <v>1160</v>
      </c>
      <c r="BD176" s="60">
        <f t="shared" si="227"/>
        <v>0.15</v>
      </c>
      <c r="BE176" s="212" t="e">
        <f t="shared" si="190"/>
        <v>#NUM!</v>
      </c>
      <c r="BF176" s="59" t="e">
        <f t="shared" si="228"/>
        <v>#NUM!</v>
      </c>
      <c r="BG176" s="21" t="e">
        <f t="shared" si="229"/>
        <v>#NUM!</v>
      </c>
      <c r="BH176" s="55">
        <f t="shared" ca="1" si="183"/>
        <v>0</v>
      </c>
    </row>
    <row r="177" spans="1:60" x14ac:dyDescent="0.2">
      <c r="A177" s="61">
        <f ca="1">RANK(W177,W$12:W$311,0)+COUNTIF(W$12:W177,W177)-1</f>
        <v>135</v>
      </c>
      <c r="B177" s="55">
        <f>'Etape 1'!A173</f>
        <v>166</v>
      </c>
      <c r="C177" s="55">
        <f>'Etape 1'!B173</f>
        <v>0</v>
      </c>
      <c r="D177" s="55">
        <f>'Etape 1'!C173</f>
        <v>0</v>
      </c>
      <c r="E177" s="55">
        <f>'Etape 1'!D173</f>
        <v>0</v>
      </c>
      <c r="F177" s="55">
        <f>'Etape 1'!E173</f>
        <v>0</v>
      </c>
      <c r="G177" s="55">
        <f>'Etape 1'!F173</f>
        <v>0</v>
      </c>
      <c r="H177" s="55">
        <f>'Etape 1'!G173</f>
        <v>0</v>
      </c>
      <c r="I177" s="209">
        <v>1</v>
      </c>
      <c r="J177" s="58">
        <f t="shared" si="191"/>
        <v>0</v>
      </c>
      <c r="K177" s="21">
        <f t="shared" si="192"/>
        <v>0</v>
      </c>
      <c r="L177" s="21">
        <f t="shared" si="193"/>
        <v>0</v>
      </c>
      <c r="M177" s="21">
        <f t="shared" ca="1" si="194"/>
        <v>3</v>
      </c>
      <c r="N177" s="21">
        <f t="shared" ca="1" si="195"/>
        <v>3</v>
      </c>
      <c r="O177" s="21">
        <f t="shared" ca="1" si="196"/>
        <v>0</v>
      </c>
      <c r="P177" s="262" t="str">
        <f>IF('Etape 1'!J173=999,"",IF('Etape 1'!J173=9999,txt_Schritt1.Angaben.fehlen,VLOOKUP(N177,Matrix_1.2.3.Test.Punkte.ID.Beurteilung,4,1)))</f>
        <v/>
      </c>
      <c r="Q177" s="21">
        <f t="shared" ca="1" si="197"/>
        <v>0</v>
      </c>
      <c r="R177" s="136">
        <f t="shared" si="184"/>
        <v>166</v>
      </c>
      <c r="S177" s="136">
        <f t="shared" ca="1" si="181"/>
        <v>162.55149501661128</v>
      </c>
      <c r="T177" s="136">
        <f t="shared" ca="1" si="185"/>
        <v>750.55149501661128</v>
      </c>
      <c r="U177" s="136">
        <f t="shared" ca="1" si="186"/>
        <v>1224000.5514950166</v>
      </c>
      <c r="V177" s="211">
        <f t="shared" ca="1" si="187"/>
        <v>235406.74353933602</v>
      </c>
      <c r="W177" s="136">
        <f t="shared" ca="1" si="182"/>
        <v>166</v>
      </c>
      <c r="X177" s="136">
        <f t="shared" ca="1" si="198"/>
        <v>162.999000999001</v>
      </c>
      <c r="Y177" s="21">
        <f t="shared" si="199"/>
        <v>1</v>
      </c>
      <c r="Z177" s="21" t="str">
        <f t="shared" si="200"/>
        <v>&lt;IE0</v>
      </c>
      <c r="AA177" s="21">
        <f t="shared" si="201"/>
        <v>1</v>
      </c>
      <c r="AB177" s="21" t="str">
        <f t="shared" si="202"/>
        <v>a - "&lt; 1990 (Eff3)"</v>
      </c>
      <c r="AC177" s="21">
        <f t="shared" si="203"/>
        <v>999999</v>
      </c>
      <c r="AD177" s="21" t="str">
        <f t="shared" si="204"/>
        <v/>
      </c>
      <c r="AE177" s="21" t="str">
        <f t="shared" si="205"/>
        <v/>
      </c>
      <c r="AF177" s="21" t="str">
        <f t="shared" si="206"/>
        <v/>
      </c>
      <c r="AG177" s="21">
        <f t="shared" si="207"/>
        <v>0</v>
      </c>
      <c r="AH177" s="21">
        <f>IF('Etape 1'!H173=St.Wert_Hacken,1,0)</f>
        <v>0</v>
      </c>
      <c r="AI177" s="21">
        <f t="shared" si="208"/>
        <v>0</v>
      </c>
      <c r="AJ177" s="21">
        <f t="shared" si="209"/>
        <v>1000999</v>
      </c>
      <c r="AK177" s="58">
        <f t="shared" si="210"/>
        <v>1100</v>
      </c>
      <c r="AL177" s="58">
        <f t="shared" si="211"/>
        <v>440</v>
      </c>
      <c r="AM177" s="21">
        <f t="shared" si="212"/>
        <v>0</v>
      </c>
      <c r="AN177" s="58">
        <f t="shared" si="213"/>
        <v>1</v>
      </c>
      <c r="AO177" s="58" t="str">
        <f t="shared" si="214"/>
        <v>114</v>
      </c>
      <c r="AP177" s="58" t="str">
        <f t="shared" si="215"/>
        <v>164</v>
      </c>
      <c r="AQ177" s="21" t="e">
        <f t="shared" si="216"/>
        <v>#NUM!</v>
      </c>
      <c r="AR177" s="21" t="e">
        <f t="shared" si="217"/>
        <v>#NUM!</v>
      </c>
      <c r="AS177" s="136" t="e">
        <f t="shared" si="188"/>
        <v>#NUM!</v>
      </c>
      <c r="AT177" s="59" t="e">
        <f t="shared" si="218"/>
        <v>#NUM!</v>
      </c>
      <c r="AU177" s="21" t="e">
        <f t="shared" si="219"/>
        <v>#NUM!</v>
      </c>
      <c r="AV177" s="58">
        <f t="shared" si="220"/>
        <v>1500</v>
      </c>
      <c r="AW177" s="58">
        <f t="shared" si="221"/>
        <v>600</v>
      </c>
      <c r="AX177" s="60">
        <f t="shared" si="222"/>
        <v>0.11</v>
      </c>
      <c r="AY177" s="212">
        <f t="shared" si="189"/>
        <v>0</v>
      </c>
      <c r="AZ177" s="59">
        <f t="shared" si="223"/>
        <v>0</v>
      </c>
      <c r="BA177" s="21" t="e">
        <f t="shared" si="224"/>
        <v>#DIV/0!</v>
      </c>
      <c r="BB177" s="58">
        <f t="shared" si="225"/>
        <v>2900</v>
      </c>
      <c r="BC177" s="58">
        <f t="shared" si="226"/>
        <v>1160</v>
      </c>
      <c r="BD177" s="60">
        <f t="shared" si="227"/>
        <v>0.15</v>
      </c>
      <c r="BE177" s="212" t="e">
        <f t="shared" si="190"/>
        <v>#NUM!</v>
      </c>
      <c r="BF177" s="59" t="e">
        <f t="shared" si="228"/>
        <v>#NUM!</v>
      </c>
      <c r="BG177" s="21" t="e">
        <f t="shared" si="229"/>
        <v>#NUM!</v>
      </c>
      <c r="BH177" s="55">
        <f t="shared" ca="1" si="183"/>
        <v>0</v>
      </c>
    </row>
    <row r="178" spans="1:60" x14ac:dyDescent="0.2">
      <c r="A178" s="61">
        <f ca="1">RANK(W178,W$12:W$311,0)+COUNTIF(W$12:W178,W178)-1</f>
        <v>134</v>
      </c>
      <c r="B178" s="55">
        <f>'Etape 1'!A174</f>
        <v>167</v>
      </c>
      <c r="C178" s="55">
        <f>'Etape 1'!B174</f>
        <v>0</v>
      </c>
      <c r="D178" s="55">
        <f>'Etape 1'!C174</f>
        <v>0</v>
      </c>
      <c r="E178" s="55">
        <f>'Etape 1'!D174</f>
        <v>0</v>
      </c>
      <c r="F178" s="55">
        <f>'Etape 1'!E174</f>
        <v>0</v>
      </c>
      <c r="G178" s="55">
        <f>'Etape 1'!F174</f>
        <v>0</v>
      </c>
      <c r="H178" s="55">
        <f>'Etape 1'!G174</f>
        <v>0</v>
      </c>
      <c r="I178" s="209">
        <v>1</v>
      </c>
      <c r="J178" s="58">
        <f t="shared" si="191"/>
        <v>0</v>
      </c>
      <c r="K178" s="21">
        <f t="shared" si="192"/>
        <v>0</v>
      </c>
      <c r="L178" s="21">
        <f t="shared" si="193"/>
        <v>0</v>
      </c>
      <c r="M178" s="21">
        <f t="shared" ca="1" si="194"/>
        <v>3</v>
      </c>
      <c r="N178" s="21">
        <f t="shared" ca="1" si="195"/>
        <v>3</v>
      </c>
      <c r="O178" s="21">
        <f t="shared" ca="1" si="196"/>
        <v>0</v>
      </c>
      <c r="P178" s="262" t="str">
        <f>IF('Etape 1'!J174=999,"",IF('Etape 1'!J174=9999,txt_Schritt1.Angaben.fehlen,VLOOKUP(N178,Matrix_1.2.3.Test.Punkte.ID.Beurteilung,4,1)))</f>
        <v/>
      </c>
      <c r="Q178" s="21">
        <f t="shared" ca="1" si="197"/>
        <v>0</v>
      </c>
      <c r="R178" s="136">
        <f t="shared" si="184"/>
        <v>167</v>
      </c>
      <c r="S178" s="136">
        <f t="shared" ca="1" si="181"/>
        <v>162.5548172757475</v>
      </c>
      <c r="T178" s="136">
        <f t="shared" ca="1" si="185"/>
        <v>750.5548172757475</v>
      </c>
      <c r="U178" s="136">
        <f t="shared" ca="1" si="186"/>
        <v>1224000.5548172758</v>
      </c>
      <c r="V178" s="211">
        <f t="shared" ca="1" si="187"/>
        <v>235406.74686159517</v>
      </c>
      <c r="W178" s="136">
        <f t="shared" ca="1" si="182"/>
        <v>167</v>
      </c>
      <c r="X178" s="136">
        <f t="shared" ca="1" si="198"/>
        <v>162.999000999001</v>
      </c>
      <c r="Y178" s="21">
        <f t="shared" si="199"/>
        <v>1</v>
      </c>
      <c r="Z178" s="21" t="str">
        <f t="shared" si="200"/>
        <v>&lt;IE0</v>
      </c>
      <c r="AA178" s="21">
        <f t="shared" si="201"/>
        <v>1</v>
      </c>
      <c r="AB178" s="21" t="str">
        <f t="shared" si="202"/>
        <v>a - "&lt; 1990 (Eff3)"</v>
      </c>
      <c r="AC178" s="21">
        <f t="shared" si="203"/>
        <v>999999</v>
      </c>
      <c r="AD178" s="21" t="str">
        <f t="shared" si="204"/>
        <v/>
      </c>
      <c r="AE178" s="21" t="str">
        <f t="shared" si="205"/>
        <v/>
      </c>
      <c r="AF178" s="21" t="str">
        <f t="shared" si="206"/>
        <v/>
      </c>
      <c r="AG178" s="21">
        <f t="shared" si="207"/>
        <v>0</v>
      </c>
      <c r="AH178" s="21">
        <f>IF('Etape 1'!H174=St.Wert_Hacken,1,0)</f>
        <v>0</v>
      </c>
      <c r="AI178" s="21">
        <f t="shared" si="208"/>
        <v>0</v>
      </c>
      <c r="AJ178" s="21">
        <f t="shared" si="209"/>
        <v>1000999</v>
      </c>
      <c r="AK178" s="58">
        <f t="shared" si="210"/>
        <v>1100</v>
      </c>
      <c r="AL178" s="58">
        <f t="shared" si="211"/>
        <v>440</v>
      </c>
      <c r="AM178" s="21">
        <f t="shared" si="212"/>
        <v>0</v>
      </c>
      <c r="AN178" s="58">
        <f t="shared" si="213"/>
        <v>1</v>
      </c>
      <c r="AO178" s="58" t="str">
        <f t="shared" si="214"/>
        <v>114</v>
      </c>
      <c r="AP178" s="58" t="str">
        <f t="shared" si="215"/>
        <v>164</v>
      </c>
      <c r="AQ178" s="21" t="e">
        <f t="shared" si="216"/>
        <v>#NUM!</v>
      </c>
      <c r="AR178" s="21" t="e">
        <f t="shared" si="217"/>
        <v>#NUM!</v>
      </c>
      <c r="AS178" s="136" t="e">
        <f t="shared" si="188"/>
        <v>#NUM!</v>
      </c>
      <c r="AT178" s="59" t="e">
        <f t="shared" si="218"/>
        <v>#NUM!</v>
      </c>
      <c r="AU178" s="21" t="e">
        <f t="shared" si="219"/>
        <v>#NUM!</v>
      </c>
      <c r="AV178" s="58">
        <f t="shared" si="220"/>
        <v>1500</v>
      </c>
      <c r="AW178" s="58">
        <f t="shared" si="221"/>
        <v>600</v>
      </c>
      <c r="AX178" s="60">
        <f t="shared" si="222"/>
        <v>0.11</v>
      </c>
      <c r="AY178" s="212">
        <f t="shared" si="189"/>
        <v>0</v>
      </c>
      <c r="AZ178" s="59">
        <f t="shared" si="223"/>
        <v>0</v>
      </c>
      <c r="BA178" s="21" t="e">
        <f t="shared" si="224"/>
        <v>#DIV/0!</v>
      </c>
      <c r="BB178" s="58">
        <f t="shared" si="225"/>
        <v>2900</v>
      </c>
      <c r="BC178" s="58">
        <f t="shared" si="226"/>
        <v>1160</v>
      </c>
      <c r="BD178" s="60">
        <f t="shared" si="227"/>
        <v>0.15</v>
      </c>
      <c r="BE178" s="212" t="e">
        <f t="shared" si="190"/>
        <v>#NUM!</v>
      </c>
      <c r="BF178" s="59" t="e">
        <f t="shared" si="228"/>
        <v>#NUM!</v>
      </c>
      <c r="BG178" s="21" t="e">
        <f t="shared" si="229"/>
        <v>#NUM!</v>
      </c>
      <c r="BH178" s="55">
        <f t="shared" ca="1" si="183"/>
        <v>0</v>
      </c>
    </row>
    <row r="179" spans="1:60" x14ac:dyDescent="0.2">
      <c r="A179" s="61">
        <f ca="1">RANK(W179,W$12:W$311,0)+COUNTIF(W$12:W179,W179)-1</f>
        <v>133</v>
      </c>
      <c r="B179" s="55">
        <f>'Etape 1'!A175</f>
        <v>168</v>
      </c>
      <c r="C179" s="55">
        <f>'Etape 1'!B175</f>
        <v>0</v>
      </c>
      <c r="D179" s="55">
        <f>'Etape 1'!C175</f>
        <v>0</v>
      </c>
      <c r="E179" s="55">
        <f>'Etape 1'!D175</f>
        <v>0</v>
      </c>
      <c r="F179" s="55">
        <f>'Etape 1'!E175</f>
        <v>0</v>
      </c>
      <c r="G179" s="55">
        <f>'Etape 1'!F175</f>
        <v>0</v>
      </c>
      <c r="H179" s="55">
        <f>'Etape 1'!G175</f>
        <v>0</v>
      </c>
      <c r="I179" s="209">
        <v>1</v>
      </c>
      <c r="J179" s="58">
        <f t="shared" si="191"/>
        <v>0</v>
      </c>
      <c r="K179" s="21">
        <f t="shared" si="192"/>
        <v>0</v>
      </c>
      <c r="L179" s="21">
        <f t="shared" si="193"/>
        <v>0</v>
      </c>
      <c r="M179" s="21">
        <f t="shared" ca="1" si="194"/>
        <v>3</v>
      </c>
      <c r="N179" s="21">
        <f t="shared" ca="1" si="195"/>
        <v>3</v>
      </c>
      <c r="O179" s="21">
        <f t="shared" ca="1" si="196"/>
        <v>0</v>
      </c>
      <c r="P179" s="262" t="str">
        <f>IF('Etape 1'!J175=999,"",IF('Etape 1'!J175=9999,txt_Schritt1.Angaben.fehlen,VLOOKUP(N179,Matrix_1.2.3.Test.Punkte.ID.Beurteilung,4,1)))</f>
        <v/>
      </c>
      <c r="Q179" s="21">
        <f t="shared" ca="1" si="197"/>
        <v>0</v>
      </c>
      <c r="R179" s="136">
        <f t="shared" si="184"/>
        <v>168</v>
      </c>
      <c r="S179" s="136">
        <f t="shared" ca="1" si="181"/>
        <v>162.55813953488371</v>
      </c>
      <c r="T179" s="136">
        <f t="shared" ca="1" si="185"/>
        <v>750.55813953488371</v>
      </c>
      <c r="U179" s="136">
        <f t="shared" ca="1" si="186"/>
        <v>1224000.5581395349</v>
      </c>
      <c r="V179" s="211">
        <f t="shared" ca="1" si="187"/>
        <v>235406.75018385428</v>
      </c>
      <c r="W179" s="136">
        <f t="shared" ca="1" si="182"/>
        <v>168</v>
      </c>
      <c r="X179" s="136">
        <f t="shared" ca="1" si="198"/>
        <v>162.999000999001</v>
      </c>
      <c r="Y179" s="21">
        <f t="shared" si="199"/>
        <v>1</v>
      </c>
      <c r="Z179" s="21" t="str">
        <f t="shared" si="200"/>
        <v>&lt;IE0</v>
      </c>
      <c r="AA179" s="21">
        <f t="shared" si="201"/>
        <v>1</v>
      </c>
      <c r="AB179" s="21" t="str">
        <f t="shared" si="202"/>
        <v>a - "&lt; 1990 (Eff3)"</v>
      </c>
      <c r="AC179" s="21">
        <f t="shared" si="203"/>
        <v>999999</v>
      </c>
      <c r="AD179" s="21" t="str">
        <f t="shared" si="204"/>
        <v/>
      </c>
      <c r="AE179" s="21" t="str">
        <f t="shared" si="205"/>
        <v/>
      </c>
      <c r="AF179" s="21" t="str">
        <f t="shared" si="206"/>
        <v/>
      </c>
      <c r="AG179" s="21">
        <f t="shared" si="207"/>
        <v>0</v>
      </c>
      <c r="AH179" s="21">
        <f>IF('Etape 1'!H175=St.Wert_Hacken,1,0)</f>
        <v>0</v>
      </c>
      <c r="AI179" s="21">
        <f t="shared" si="208"/>
        <v>0</v>
      </c>
      <c r="AJ179" s="21">
        <f t="shared" si="209"/>
        <v>1000999</v>
      </c>
      <c r="AK179" s="58">
        <f t="shared" si="210"/>
        <v>1100</v>
      </c>
      <c r="AL179" s="58">
        <f t="shared" si="211"/>
        <v>440</v>
      </c>
      <c r="AM179" s="21">
        <f t="shared" si="212"/>
        <v>0</v>
      </c>
      <c r="AN179" s="58">
        <f t="shared" si="213"/>
        <v>1</v>
      </c>
      <c r="AO179" s="58" t="str">
        <f t="shared" si="214"/>
        <v>114</v>
      </c>
      <c r="AP179" s="58" t="str">
        <f t="shared" si="215"/>
        <v>164</v>
      </c>
      <c r="AQ179" s="21" t="e">
        <f t="shared" si="216"/>
        <v>#NUM!</v>
      </c>
      <c r="AR179" s="21" t="e">
        <f t="shared" si="217"/>
        <v>#NUM!</v>
      </c>
      <c r="AS179" s="136" t="e">
        <f t="shared" si="188"/>
        <v>#NUM!</v>
      </c>
      <c r="AT179" s="59" t="e">
        <f t="shared" si="218"/>
        <v>#NUM!</v>
      </c>
      <c r="AU179" s="21" t="e">
        <f t="shared" si="219"/>
        <v>#NUM!</v>
      </c>
      <c r="AV179" s="58">
        <f t="shared" si="220"/>
        <v>1500</v>
      </c>
      <c r="AW179" s="58">
        <f t="shared" si="221"/>
        <v>600</v>
      </c>
      <c r="AX179" s="60">
        <f t="shared" si="222"/>
        <v>0.11</v>
      </c>
      <c r="AY179" s="212">
        <f t="shared" si="189"/>
        <v>0</v>
      </c>
      <c r="AZ179" s="59">
        <f t="shared" si="223"/>
        <v>0</v>
      </c>
      <c r="BA179" s="21" t="e">
        <f t="shared" si="224"/>
        <v>#DIV/0!</v>
      </c>
      <c r="BB179" s="58">
        <f t="shared" si="225"/>
        <v>2900</v>
      </c>
      <c r="BC179" s="58">
        <f t="shared" si="226"/>
        <v>1160</v>
      </c>
      <c r="BD179" s="60">
        <f t="shared" si="227"/>
        <v>0.15</v>
      </c>
      <c r="BE179" s="212" t="e">
        <f t="shared" si="190"/>
        <v>#NUM!</v>
      </c>
      <c r="BF179" s="59" t="e">
        <f t="shared" si="228"/>
        <v>#NUM!</v>
      </c>
      <c r="BG179" s="21" t="e">
        <f t="shared" si="229"/>
        <v>#NUM!</v>
      </c>
      <c r="BH179" s="55">
        <f t="shared" ca="1" si="183"/>
        <v>0</v>
      </c>
    </row>
    <row r="180" spans="1:60" x14ac:dyDescent="0.2">
      <c r="A180" s="61">
        <f ca="1">RANK(W180,W$12:W$311,0)+COUNTIF(W$12:W180,W180)-1</f>
        <v>132</v>
      </c>
      <c r="B180" s="55">
        <f>'Etape 1'!A176</f>
        <v>169</v>
      </c>
      <c r="C180" s="55">
        <f>'Etape 1'!B176</f>
        <v>0</v>
      </c>
      <c r="D180" s="55">
        <f>'Etape 1'!C176</f>
        <v>0</v>
      </c>
      <c r="E180" s="55">
        <f>'Etape 1'!D176</f>
        <v>0</v>
      </c>
      <c r="F180" s="55">
        <f>'Etape 1'!E176</f>
        <v>0</v>
      </c>
      <c r="G180" s="55">
        <f>'Etape 1'!F176</f>
        <v>0</v>
      </c>
      <c r="H180" s="55">
        <f>'Etape 1'!G176</f>
        <v>0</v>
      </c>
      <c r="I180" s="209">
        <v>1</v>
      </c>
      <c r="J180" s="58">
        <f t="shared" si="191"/>
        <v>0</v>
      </c>
      <c r="K180" s="21">
        <f t="shared" si="192"/>
        <v>0</v>
      </c>
      <c r="L180" s="21">
        <f t="shared" si="193"/>
        <v>0</v>
      </c>
      <c r="M180" s="21">
        <f t="shared" ca="1" si="194"/>
        <v>3</v>
      </c>
      <c r="N180" s="21">
        <f t="shared" ca="1" si="195"/>
        <v>3</v>
      </c>
      <c r="O180" s="21">
        <f t="shared" ca="1" si="196"/>
        <v>0</v>
      </c>
      <c r="P180" s="262" t="str">
        <f>IF('Etape 1'!J176=999,"",IF('Etape 1'!J176=9999,txt_Schritt1.Angaben.fehlen,VLOOKUP(N180,Matrix_1.2.3.Test.Punkte.ID.Beurteilung,4,1)))</f>
        <v/>
      </c>
      <c r="Q180" s="21">
        <f t="shared" ca="1" si="197"/>
        <v>0</v>
      </c>
      <c r="R180" s="136">
        <f t="shared" si="184"/>
        <v>169</v>
      </c>
      <c r="S180" s="136">
        <f t="shared" ca="1" si="181"/>
        <v>162.56146179401992</v>
      </c>
      <c r="T180" s="136">
        <f t="shared" ca="1" si="185"/>
        <v>750.56146179401992</v>
      </c>
      <c r="U180" s="136">
        <f t="shared" ca="1" si="186"/>
        <v>1224000.561461794</v>
      </c>
      <c r="V180" s="211">
        <f t="shared" ca="1" si="187"/>
        <v>235406.75350611343</v>
      </c>
      <c r="W180" s="136">
        <f t="shared" ca="1" si="182"/>
        <v>169</v>
      </c>
      <c r="X180" s="136">
        <f t="shared" ca="1" si="198"/>
        <v>162.999000999001</v>
      </c>
      <c r="Y180" s="21">
        <f t="shared" si="199"/>
        <v>1</v>
      </c>
      <c r="Z180" s="21" t="str">
        <f t="shared" si="200"/>
        <v>&lt;IE0</v>
      </c>
      <c r="AA180" s="21">
        <f t="shared" si="201"/>
        <v>1</v>
      </c>
      <c r="AB180" s="21" t="str">
        <f t="shared" si="202"/>
        <v>a - "&lt; 1990 (Eff3)"</v>
      </c>
      <c r="AC180" s="21">
        <f t="shared" si="203"/>
        <v>999999</v>
      </c>
      <c r="AD180" s="21" t="str">
        <f t="shared" si="204"/>
        <v/>
      </c>
      <c r="AE180" s="21" t="str">
        <f t="shared" si="205"/>
        <v/>
      </c>
      <c r="AF180" s="21" t="str">
        <f t="shared" si="206"/>
        <v/>
      </c>
      <c r="AG180" s="21">
        <f t="shared" si="207"/>
        <v>0</v>
      </c>
      <c r="AH180" s="21">
        <f>IF('Etape 1'!H176=St.Wert_Hacken,1,0)</f>
        <v>0</v>
      </c>
      <c r="AI180" s="21">
        <f t="shared" si="208"/>
        <v>0</v>
      </c>
      <c r="AJ180" s="21">
        <f t="shared" si="209"/>
        <v>1000999</v>
      </c>
      <c r="AK180" s="58">
        <f t="shared" si="210"/>
        <v>1100</v>
      </c>
      <c r="AL180" s="58">
        <f t="shared" si="211"/>
        <v>440</v>
      </c>
      <c r="AM180" s="21">
        <f t="shared" si="212"/>
        <v>0</v>
      </c>
      <c r="AN180" s="58">
        <f t="shared" si="213"/>
        <v>1</v>
      </c>
      <c r="AO180" s="58" t="str">
        <f t="shared" si="214"/>
        <v>114</v>
      </c>
      <c r="AP180" s="58" t="str">
        <f t="shared" si="215"/>
        <v>164</v>
      </c>
      <c r="AQ180" s="21" t="e">
        <f t="shared" si="216"/>
        <v>#NUM!</v>
      </c>
      <c r="AR180" s="21" t="e">
        <f t="shared" si="217"/>
        <v>#NUM!</v>
      </c>
      <c r="AS180" s="136" t="e">
        <f t="shared" si="188"/>
        <v>#NUM!</v>
      </c>
      <c r="AT180" s="59" t="e">
        <f t="shared" si="218"/>
        <v>#NUM!</v>
      </c>
      <c r="AU180" s="21" t="e">
        <f t="shared" si="219"/>
        <v>#NUM!</v>
      </c>
      <c r="AV180" s="58">
        <f t="shared" si="220"/>
        <v>1500</v>
      </c>
      <c r="AW180" s="58">
        <f t="shared" si="221"/>
        <v>600</v>
      </c>
      <c r="AX180" s="60">
        <f t="shared" si="222"/>
        <v>0.11</v>
      </c>
      <c r="AY180" s="212">
        <f t="shared" si="189"/>
        <v>0</v>
      </c>
      <c r="AZ180" s="59">
        <f t="shared" si="223"/>
        <v>0</v>
      </c>
      <c r="BA180" s="21" t="e">
        <f t="shared" si="224"/>
        <v>#DIV/0!</v>
      </c>
      <c r="BB180" s="58">
        <f t="shared" si="225"/>
        <v>2900</v>
      </c>
      <c r="BC180" s="58">
        <f t="shared" si="226"/>
        <v>1160</v>
      </c>
      <c r="BD180" s="60">
        <f t="shared" si="227"/>
        <v>0.15</v>
      </c>
      <c r="BE180" s="212" t="e">
        <f t="shared" si="190"/>
        <v>#NUM!</v>
      </c>
      <c r="BF180" s="59" t="e">
        <f t="shared" si="228"/>
        <v>#NUM!</v>
      </c>
      <c r="BG180" s="21" t="e">
        <f t="shared" si="229"/>
        <v>#NUM!</v>
      </c>
      <c r="BH180" s="55">
        <f t="shared" ca="1" si="183"/>
        <v>0</v>
      </c>
    </row>
    <row r="181" spans="1:60" x14ac:dyDescent="0.2">
      <c r="A181" s="61">
        <f ca="1">RANK(W181,W$12:W$311,0)+COUNTIF(W$12:W181,W181)-1</f>
        <v>131</v>
      </c>
      <c r="B181" s="55">
        <f>'Etape 1'!A177</f>
        <v>170</v>
      </c>
      <c r="C181" s="55">
        <f>'Etape 1'!B177</f>
        <v>0</v>
      </c>
      <c r="D181" s="55">
        <f>'Etape 1'!C177</f>
        <v>0</v>
      </c>
      <c r="E181" s="55">
        <f>'Etape 1'!D177</f>
        <v>0</v>
      </c>
      <c r="F181" s="55">
        <f>'Etape 1'!E177</f>
        <v>0</v>
      </c>
      <c r="G181" s="55">
        <f>'Etape 1'!F177</f>
        <v>0</v>
      </c>
      <c r="H181" s="55">
        <f>'Etape 1'!G177</f>
        <v>0</v>
      </c>
      <c r="I181" s="209">
        <v>1</v>
      </c>
      <c r="J181" s="58">
        <f t="shared" si="191"/>
        <v>0</v>
      </c>
      <c r="K181" s="21">
        <f t="shared" si="192"/>
        <v>0</v>
      </c>
      <c r="L181" s="21">
        <f t="shared" si="193"/>
        <v>0</v>
      </c>
      <c r="M181" s="21">
        <f t="shared" ca="1" si="194"/>
        <v>3</v>
      </c>
      <c r="N181" s="21">
        <f t="shared" ca="1" si="195"/>
        <v>3</v>
      </c>
      <c r="O181" s="21">
        <f t="shared" ca="1" si="196"/>
        <v>0</v>
      </c>
      <c r="P181" s="262" t="str">
        <f>IF('Etape 1'!J177=999,"",IF('Etape 1'!J177=9999,txt_Schritt1.Angaben.fehlen,VLOOKUP(N181,Matrix_1.2.3.Test.Punkte.ID.Beurteilung,4,1)))</f>
        <v/>
      </c>
      <c r="Q181" s="21">
        <f t="shared" ca="1" si="197"/>
        <v>0</v>
      </c>
      <c r="R181" s="136">
        <f t="shared" si="184"/>
        <v>170</v>
      </c>
      <c r="S181" s="136">
        <f t="shared" ca="1" si="181"/>
        <v>162.56478405315616</v>
      </c>
      <c r="T181" s="136">
        <f t="shared" ca="1" si="185"/>
        <v>750.56478405315613</v>
      </c>
      <c r="U181" s="136">
        <f t="shared" ca="1" si="186"/>
        <v>1224000.5647840532</v>
      </c>
      <c r="V181" s="211">
        <f t="shared" ca="1" si="187"/>
        <v>235406.75682837257</v>
      </c>
      <c r="W181" s="136">
        <f t="shared" ca="1" si="182"/>
        <v>170</v>
      </c>
      <c r="X181" s="136">
        <f t="shared" ca="1" si="198"/>
        <v>162.999000999001</v>
      </c>
      <c r="Y181" s="21">
        <f t="shared" si="199"/>
        <v>1</v>
      </c>
      <c r="Z181" s="21" t="str">
        <f t="shared" si="200"/>
        <v>&lt;IE0</v>
      </c>
      <c r="AA181" s="21">
        <f t="shared" si="201"/>
        <v>1</v>
      </c>
      <c r="AB181" s="21" t="str">
        <f t="shared" si="202"/>
        <v>a - "&lt; 1990 (Eff3)"</v>
      </c>
      <c r="AC181" s="21">
        <f t="shared" si="203"/>
        <v>999999</v>
      </c>
      <c r="AD181" s="21" t="str">
        <f t="shared" si="204"/>
        <v/>
      </c>
      <c r="AE181" s="21" t="str">
        <f t="shared" si="205"/>
        <v/>
      </c>
      <c r="AF181" s="21" t="str">
        <f t="shared" si="206"/>
        <v/>
      </c>
      <c r="AG181" s="21">
        <f t="shared" si="207"/>
        <v>0</v>
      </c>
      <c r="AH181" s="21">
        <f>IF('Etape 1'!H177=St.Wert_Hacken,1,0)</f>
        <v>0</v>
      </c>
      <c r="AI181" s="21">
        <f t="shared" si="208"/>
        <v>0</v>
      </c>
      <c r="AJ181" s="21">
        <f t="shared" si="209"/>
        <v>1000999</v>
      </c>
      <c r="AK181" s="58">
        <f t="shared" si="210"/>
        <v>1100</v>
      </c>
      <c r="AL181" s="58">
        <f t="shared" si="211"/>
        <v>440</v>
      </c>
      <c r="AM181" s="21">
        <f t="shared" si="212"/>
        <v>0</v>
      </c>
      <c r="AN181" s="58">
        <f t="shared" si="213"/>
        <v>1</v>
      </c>
      <c r="AO181" s="58" t="str">
        <f t="shared" si="214"/>
        <v>114</v>
      </c>
      <c r="AP181" s="58" t="str">
        <f t="shared" si="215"/>
        <v>164</v>
      </c>
      <c r="AQ181" s="21" t="e">
        <f t="shared" si="216"/>
        <v>#NUM!</v>
      </c>
      <c r="AR181" s="21" t="e">
        <f t="shared" si="217"/>
        <v>#NUM!</v>
      </c>
      <c r="AS181" s="136" t="e">
        <f t="shared" si="188"/>
        <v>#NUM!</v>
      </c>
      <c r="AT181" s="59" t="e">
        <f t="shared" si="218"/>
        <v>#NUM!</v>
      </c>
      <c r="AU181" s="21" t="e">
        <f t="shared" si="219"/>
        <v>#NUM!</v>
      </c>
      <c r="AV181" s="58">
        <f t="shared" si="220"/>
        <v>1500</v>
      </c>
      <c r="AW181" s="58">
        <f t="shared" si="221"/>
        <v>600</v>
      </c>
      <c r="AX181" s="60">
        <f t="shared" si="222"/>
        <v>0.11</v>
      </c>
      <c r="AY181" s="212">
        <f t="shared" si="189"/>
        <v>0</v>
      </c>
      <c r="AZ181" s="59">
        <f t="shared" si="223"/>
        <v>0</v>
      </c>
      <c r="BA181" s="21" t="e">
        <f t="shared" si="224"/>
        <v>#DIV/0!</v>
      </c>
      <c r="BB181" s="58">
        <f t="shared" si="225"/>
        <v>2900</v>
      </c>
      <c r="BC181" s="58">
        <f t="shared" si="226"/>
        <v>1160</v>
      </c>
      <c r="BD181" s="60">
        <f t="shared" si="227"/>
        <v>0.15</v>
      </c>
      <c r="BE181" s="212" t="e">
        <f t="shared" si="190"/>
        <v>#NUM!</v>
      </c>
      <c r="BF181" s="59" t="e">
        <f t="shared" si="228"/>
        <v>#NUM!</v>
      </c>
      <c r="BG181" s="21" t="e">
        <f t="shared" si="229"/>
        <v>#NUM!</v>
      </c>
      <c r="BH181" s="55">
        <f t="shared" ca="1" si="183"/>
        <v>0</v>
      </c>
    </row>
    <row r="182" spans="1:60" x14ac:dyDescent="0.2">
      <c r="A182" s="61">
        <f ca="1">RANK(W182,W$12:W$311,0)+COUNTIF(W$12:W182,W182)-1</f>
        <v>130</v>
      </c>
      <c r="B182" s="55">
        <f>'Etape 1'!A178</f>
        <v>171</v>
      </c>
      <c r="C182" s="55">
        <f>'Etape 1'!B178</f>
        <v>0</v>
      </c>
      <c r="D182" s="55">
        <f>'Etape 1'!C178</f>
        <v>0</v>
      </c>
      <c r="E182" s="55">
        <f>'Etape 1'!D178</f>
        <v>0</v>
      </c>
      <c r="F182" s="55">
        <f>'Etape 1'!E178</f>
        <v>0</v>
      </c>
      <c r="G182" s="55">
        <f>'Etape 1'!F178</f>
        <v>0</v>
      </c>
      <c r="H182" s="55">
        <f>'Etape 1'!G178</f>
        <v>0</v>
      </c>
      <c r="I182" s="209">
        <v>1</v>
      </c>
      <c r="J182" s="58">
        <f t="shared" si="191"/>
        <v>0</v>
      </c>
      <c r="K182" s="21">
        <f t="shared" si="192"/>
        <v>0</v>
      </c>
      <c r="L182" s="21">
        <f t="shared" si="193"/>
        <v>0</v>
      </c>
      <c r="M182" s="21">
        <f t="shared" ca="1" si="194"/>
        <v>3</v>
      </c>
      <c r="N182" s="21">
        <f t="shared" ca="1" si="195"/>
        <v>3</v>
      </c>
      <c r="O182" s="21">
        <f t="shared" ca="1" si="196"/>
        <v>0</v>
      </c>
      <c r="P182" s="262" t="str">
        <f>IF('Etape 1'!J178=999,"",IF('Etape 1'!J178=9999,txt_Schritt1.Angaben.fehlen,VLOOKUP(N182,Matrix_1.2.3.Test.Punkte.ID.Beurteilung,4,1)))</f>
        <v/>
      </c>
      <c r="Q182" s="21">
        <f t="shared" ca="1" si="197"/>
        <v>0</v>
      </c>
      <c r="R182" s="136">
        <f t="shared" si="184"/>
        <v>171</v>
      </c>
      <c r="S182" s="136">
        <f t="shared" ca="1" si="181"/>
        <v>162.56810631229237</v>
      </c>
      <c r="T182" s="136">
        <f t="shared" ca="1" si="185"/>
        <v>750.56810631229234</v>
      </c>
      <c r="U182" s="136">
        <f t="shared" ca="1" si="186"/>
        <v>1224000.5681063123</v>
      </c>
      <c r="V182" s="211">
        <f t="shared" ca="1" si="187"/>
        <v>235406.76015063172</v>
      </c>
      <c r="W182" s="136">
        <f t="shared" ca="1" si="182"/>
        <v>171</v>
      </c>
      <c r="X182" s="136">
        <f t="shared" ca="1" si="198"/>
        <v>162.999000999001</v>
      </c>
      <c r="Y182" s="21">
        <f t="shared" si="199"/>
        <v>1</v>
      </c>
      <c r="Z182" s="21" t="str">
        <f t="shared" si="200"/>
        <v>&lt;IE0</v>
      </c>
      <c r="AA182" s="21">
        <f t="shared" si="201"/>
        <v>1</v>
      </c>
      <c r="AB182" s="21" t="str">
        <f t="shared" si="202"/>
        <v>a - "&lt; 1990 (Eff3)"</v>
      </c>
      <c r="AC182" s="21">
        <f t="shared" si="203"/>
        <v>999999</v>
      </c>
      <c r="AD182" s="21" t="str">
        <f t="shared" si="204"/>
        <v/>
      </c>
      <c r="AE182" s="21" t="str">
        <f t="shared" si="205"/>
        <v/>
      </c>
      <c r="AF182" s="21" t="str">
        <f t="shared" si="206"/>
        <v/>
      </c>
      <c r="AG182" s="21">
        <f t="shared" si="207"/>
        <v>0</v>
      </c>
      <c r="AH182" s="21">
        <f>IF('Etape 1'!H178=St.Wert_Hacken,1,0)</f>
        <v>0</v>
      </c>
      <c r="AI182" s="21">
        <f t="shared" si="208"/>
        <v>0</v>
      </c>
      <c r="AJ182" s="21">
        <f t="shared" si="209"/>
        <v>1000999</v>
      </c>
      <c r="AK182" s="58">
        <f t="shared" si="210"/>
        <v>1100</v>
      </c>
      <c r="AL182" s="58">
        <f t="shared" si="211"/>
        <v>440</v>
      </c>
      <c r="AM182" s="21">
        <f t="shared" si="212"/>
        <v>0</v>
      </c>
      <c r="AN182" s="58">
        <f t="shared" si="213"/>
        <v>1</v>
      </c>
      <c r="AO182" s="58" t="str">
        <f t="shared" si="214"/>
        <v>114</v>
      </c>
      <c r="AP182" s="58" t="str">
        <f t="shared" si="215"/>
        <v>164</v>
      </c>
      <c r="AQ182" s="21" t="e">
        <f t="shared" si="216"/>
        <v>#NUM!</v>
      </c>
      <c r="AR182" s="21" t="e">
        <f t="shared" si="217"/>
        <v>#NUM!</v>
      </c>
      <c r="AS182" s="136" t="e">
        <f t="shared" si="188"/>
        <v>#NUM!</v>
      </c>
      <c r="AT182" s="59" t="e">
        <f t="shared" si="218"/>
        <v>#NUM!</v>
      </c>
      <c r="AU182" s="21" t="e">
        <f t="shared" si="219"/>
        <v>#NUM!</v>
      </c>
      <c r="AV182" s="58">
        <f t="shared" si="220"/>
        <v>1500</v>
      </c>
      <c r="AW182" s="58">
        <f t="shared" si="221"/>
        <v>600</v>
      </c>
      <c r="AX182" s="60">
        <f t="shared" si="222"/>
        <v>0.11</v>
      </c>
      <c r="AY182" s="212">
        <f t="shared" si="189"/>
        <v>0</v>
      </c>
      <c r="AZ182" s="59">
        <f t="shared" si="223"/>
        <v>0</v>
      </c>
      <c r="BA182" s="21" t="e">
        <f t="shared" si="224"/>
        <v>#DIV/0!</v>
      </c>
      <c r="BB182" s="58">
        <f t="shared" si="225"/>
        <v>2900</v>
      </c>
      <c r="BC182" s="58">
        <f t="shared" si="226"/>
        <v>1160</v>
      </c>
      <c r="BD182" s="60">
        <f t="shared" si="227"/>
        <v>0.15</v>
      </c>
      <c r="BE182" s="212" t="e">
        <f t="shared" si="190"/>
        <v>#NUM!</v>
      </c>
      <c r="BF182" s="59" t="e">
        <f t="shared" si="228"/>
        <v>#NUM!</v>
      </c>
      <c r="BG182" s="21" t="e">
        <f t="shared" si="229"/>
        <v>#NUM!</v>
      </c>
      <c r="BH182" s="55">
        <f t="shared" ca="1" si="183"/>
        <v>0</v>
      </c>
    </row>
    <row r="183" spans="1:60" x14ac:dyDescent="0.2">
      <c r="A183" s="61">
        <f ca="1">RANK(W183,W$12:W$311,0)+COUNTIF(W$12:W183,W183)-1</f>
        <v>129</v>
      </c>
      <c r="B183" s="55">
        <f>'Etape 1'!A179</f>
        <v>172</v>
      </c>
      <c r="C183" s="55">
        <f>'Etape 1'!B179</f>
        <v>0</v>
      </c>
      <c r="D183" s="55">
        <f>'Etape 1'!C179</f>
        <v>0</v>
      </c>
      <c r="E183" s="55">
        <f>'Etape 1'!D179</f>
        <v>0</v>
      </c>
      <c r="F183" s="55">
        <f>'Etape 1'!E179</f>
        <v>0</v>
      </c>
      <c r="G183" s="55">
        <f>'Etape 1'!F179</f>
        <v>0</v>
      </c>
      <c r="H183" s="55">
        <f>'Etape 1'!G179</f>
        <v>0</v>
      </c>
      <c r="I183" s="209">
        <v>1</v>
      </c>
      <c r="J183" s="58">
        <f t="shared" si="191"/>
        <v>0</v>
      </c>
      <c r="K183" s="21">
        <f t="shared" si="192"/>
        <v>0</v>
      </c>
      <c r="L183" s="21">
        <f t="shared" si="193"/>
        <v>0</v>
      </c>
      <c r="M183" s="21">
        <f t="shared" ca="1" si="194"/>
        <v>3</v>
      </c>
      <c r="N183" s="21">
        <f t="shared" ca="1" si="195"/>
        <v>3</v>
      </c>
      <c r="O183" s="21">
        <f t="shared" ca="1" si="196"/>
        <v>0</v>
      </c>
      <c r="P183" s="262" t="str">
        <f>IF('Etape 1'!J179=999,"",IF('Etape 1'!J179=9999,txt_Schritt1.Angaben.fehlen,VLOOKUP(N183,Matrix_1.2.3.Test.Punkte.ID.Beurteilung,4,1)))</f>
        <v/>
      </c>
      <c r="Q183" s="21">
        <f t="shared" ca="1" si="197"/>
        <v>0</v>
      </c>
      <c r="R183" s="136">
        <f t="shared" si="184"/>
        <v>172</v>
      </c>
      <c r="S183" s="136">
        <f t="shared" ca="1" si="181"/>
        <v>162.57142857142858</v>
      </c>
      <c r="T183" s="136">
        <f t="shared" ca="1" si="185"/>
        <v>750.57142857142856</v>
      </c>
      <c r="U183" s="136">
        <f t="shared" ca="1" si="186"/>
        <v>1224000.5714285714</v>
      </c>
      <c r="V183" s="211">
        <f t="shared" ca="1" si="187"/>
        <v>235406.76347289083</v>
      </c>
      <c r="W183" s="136">
        <f t="shared" ca="1" si="182"/>
        <v>172</v>
      </c>
      <c r="X183" s="136">
        <f t="shared" ca="1" si="198"/>
        <v>162.999000999001</v>
      </c>
      <c r="Y183" s="21">
        <f t="shared" si="199"/>
        <v>1</v>
      </c>
      <c r="Z183" s="21" t="str">
        <f t="shared" si="200"/>
        <v>&lt;IE0</v>
      </c>
      <c r="AA183" s="21">
        <f t="shared" si="201"/>
        <v>1</v>
      </c>
      <c r="AB183" s="21" t="str">
        <f t="shared" si="202"/>
        <v>a - "&lt; 1990 (Eff3)"</v>
      </c>
      <c r="AC183" s="21">
        <f t="shared" si="203"/>
        <v>999999</v>
      </c>
      <c r="AD183" s="21" t="str">
        <f t="shared" si="204"/>
        <v/>
      </c>
      <c r="AE183" s="21" t="str">
        <f t="shared" si="205"/>
        <v/>
      </c>
      <c r="AF183" s="21" t="str">
        <f t="shared" si="206"/>
        <v/>
      </c>
      <c r="AG183" s="21">
        <f t="shared" si="207"/>
        <v>0</v>
      </c>
      <c r="AH183" s="21">
        <f>IF('Etape 1'!H179=St.Wert_Hacken,1,0)</f>
        <v>0</v>
      </c>
      <c r="AI183" s="21">
        <f t="shared" si="208"/>
        <v>0</v>
      </c>
      <c r="AJ183" s="21">
        <f t="shared" si="209"/>
        <v>1000999</v>
      </c>
      <c r="AK183" s="58">
        <f t="shared" si="210"/>
        <v>1100</v>
      </c>
      <c r="AL183" s="58">
        <f t="shared" si="211"/>
        <v>440</v>
      </c>
      <c r="AM183" s="21">
        <f t="shared" si="212"/>
        <v>0</v>
      </c>
      <c r="AN183" s="58">
        <f t="shared" si="213"/>
        <v>1</v>
      </c>
      <c r="AO183" s="58" t="str">
        <f t="shared" si="214"/>
        <v>114</v>
      </c>
      <c r="AP183" s="58" t="str">
        <f t="shared" si="215"/>
        <v>164</v>
      </c>
      <c r="AQ183" s="21" t="e">
        <f t="shared" si="216"/>
        <v>#NUM!</v>
      </c>
      <c r="AR183" s="21" t="e">
        <f t="shared" si="217"/>
        <v>#NUM!</v>
      </c>
      <c r="AS183" s="136" t="e">
        <f t="shared" si="188"/>
        <v>#NUM!</v>
      </c>
      <c r="AT183" s="59" t="e">
        <f t="shared" si="218"/>
        <v>#NUM!</v>
      </c>
      <c r="AU183" s="21" t="e">
        <f t="shared" si="219"/>
        <v>#NUM!</v>
      </c>
      <c r="AV183" s="58">
        <f t="shared" si="220"/>
        <v>1500</v>
      </c>
      <c r="AW183" s="58">
        <f t="shared" si="221"/>
        <v>600</v>
      </c>
      <c r="AX183" s="60">
        <f t="shared" si="222"/>
        <v>0.11</v>
      </c>
      <c r="AY183" s="212">
        <f t="shared" si="189"/>
        <v>0</v>
      </c>
      <c r="AZ183" s="59">
        <f t="shared" si="223"/>
        <v>0</v>
      </c>
      <c r="BA183" s="21" t="e">
        <f t="shared" si="224"/>
        <v>#DIV/0!</v>
      </c>
      <c r="BB183" s="58">
        <f t="shared" si="225"/>
        <v>2900</v>
      </c>
      <c r="BC183" s="58">
        <f t="shared" si="226"/>
        <v>1160</v>
      </c>
      <c r="BD183" s="60">
        <f t="shared" si="227"/>
        <v>0.15</v>
      </c>
      <c r="BE183" s="212" t="e">
        <f t="shared" si="190"/>
        <v>#NUM!</v>
      </c>
      <c r="BF183" s="59" t="e">
        <f t="shared" si="228"/>
        <v>#NUM!</v>
      </c>
      <c r="BG183" s="21" t="e">
        <f t="shared" si="229"/>
        <v>#NUM!</v>
      </c>
      <c r="BH183" s="55">
        <f t="shared" ca="1" si="183"/>
        <v>0</v>
      </c>
    </row>
    <row r="184" spans="1:60" x14ac:dyDescent="0.2">
      <c r="A184" s="61">
        <f ca="1">RANK(W184,W$12:W$311,0)+COUNTIF(W$12:W184,W184)-1</f>
        <v>128</v>
      </c>
      <c r="B184" s="55">
        <f>'Etape 1'!A180</f>
        <v>173</v>
      </c>
      <c r="C184" s="55">
        <f>'Etape 1'!B180</f>
        <v>0</v>
      </c>
      <c r="D184" s="55">
        <f>'Etape 1'!C180</f>
        <v>0</v>
      </c>
      <c r="E184" s="55">
        <f>'Etape 1'!D180</f>
        <v>0</v>
      </c>
      <c r="F184" s="55">
        <f>'Etape 1'!E180</f>
        <v>0</v>
      </c>
      <c r="G184" s="55">
        <f>'Etape 1'!F180</f>
        <v>0</v>
      </c>
      <c r="H184" s="55">
        <f>'Etape 1'!G180</f>
        <v>0</v>
      </c>
      <c r="I184" s="209">
        <v>1</v>
      </c>
      <c r="J184" s="58">
        <f t="shared" si="191"/>
        <v>0</v>
      </c>
      <c r="K184" s="21">
        <f t="shared" si="192"/>
        <v>0</v>
      </c>
      <c r="L184" s="21">
        <f t="shared" si="193"/>
        <v>0</v>
      </c>
      <c r="M184" s="21">
        <f t="shared" ca="1" si="194"/>
        <v>3</v>
      </c>
      <c r="N184" s="21">
        <f t="shared" ca="1" si="195"/>
        <v>3</v>
      </c>
      <c r="O184" s="21">
        <f t="shared" ca="1" si="196"/>
        <v>0</v>
      </c>
      <c r="P184" s="262" t="str">
        <f>IF('Etape 1'!J180=999,"",IF('Etape 1'!J180=9999,txt_Schritt1.Angaben.fehlen,VLOOKUP(N184,Matrix_1.2.3.Test.Punkte.ID.Beurteilung,4,1)))</f>
        <v/>
      </c>
      <c r="Q184" s="21">
        <f t="shared" ca="1" si="197"/>
        <v>0</v>
      </c>
      <c r="R184" s="136">
        <f t="shared" si="184"/>
        <v>173</v>
      </c>
      <c r="S184" s="136">
        <f t="shared" ca="1" si="181"/>
        <v>162.5747508305648</v>
      </c>
      <c r="T184" s="136">
        <f t="shared" ca="1" si="185"/>
        <v>750.57475083056477</v>
      </c>
      <c r="U184" s="136">
        <f t="shared" ca="1" si="186"/>
        <v>1224000.5747508307</v>
      </c>
      <c r="V184" s="211">
        <f t="shared" ca="1" si="187"/>
        <v>235406.76679514998</v>
      </c>
      <c r="W184" s="136">
        <f t="shared" ca="1" si="182"/>
        <v>173</v>
      </c>
      <c r="X184" s="136">
        <f t="shared" ca="1" si="198"/>
        <v>162.999000999001</v>
      </c>
      <c r="Y184" s="21">
        <f t="shared" si="199"/>
        <v>1</v>
      </c>
      <c r="Z184" s="21" t="str">
        <f t="shared" si="200"/>
        <v>&lt;IE0</v>
      </c>
      <c r="AA184" s="21">
        <f t="shared" si="201"/>
        <v>1</v>
      </c>
      <c r="AB184" s="21" t="str">
        <f t="shared" si="202"/>
        <v>a - "&lt; 1990 (Eff3)"</v>
      </c>
      <c r="AC184" s="21">
        <f t="shared" si="203"/>
        <v>999999</v>
      </c>
      <c r="AD184" s="21" t="str">
        <f t="shared" si="204"/>
        <v/>
      </c>
      <c r="AE184" s="21" t="str">
        <f t="shared" si="205"/>
        <v/>
      </c>
      <c r="AF184" s="21" t="str">
        <f t="shared" si="206"/>
        <v/>
      </c>
      <c r="AG184" s="21">
        <f t="shared" si="207"/>
        <v>0</v>
      </c>
      <c r="AH184" s="21">
        <f>IF('Etape 1'!H180=St.Wert_Hacken,1,0)</f>
        <v>0</v>
      </c>
      <c r="AI184" s="21">
        <f t="shared" si="208"/>
        <v>0</v>
      </c>
      <c r="AJ184" s="21">
        <f t="shared" si="209"/>
        <v>1000999</v>
      </c>
      <c r="AK184" s="58">
        <f t="shared" si="210"/>
        <v>1100</v>
      </c>
      <c r="AL184" s="58">
        <f t="shared" si="211"/>
        <v>440</v>
      </c>
      <c r="AM184" s="21">
        <f t="shared" si="212"/>
        <v>0</v>
      </c>
      <c r="AN184" s="58">
        <f t="shared" si="213"/>
        <v>1</v>
      </c>
      <c r="AO184" s="58" t="str">
        <f t="shared" si="214"/>
        <v>114</v>
      </c>
      <c r="AP184" s="58" t="str">
        <f t="shared" si="215"/>
        <v>164</v>
      </c>
      <c r="AQ184" s="21" t="e">
        <f t="shared" si="216"/>
        <v>#NUM!</v>
      </c>
      <c r="AR184" s="21" t="e">
        <f t="shared" si="217"/>
        <v>#NUM!</v>
      </c>
      <c r="AS184" s="136" t="e">
        <f t="shared" si="188"/>
        <v>#NUM!</v>
      </c>
      <c r="AT184" s="59" t="e">
        <f t="shared" si="218"/>
        <v>#NUM!</v>
      </c>
      <c r="AU184" s="21" t="e">
        <f t="shared" si="219"/>
        <v>#NUM!</v>
      </c>
      <c r="AV184" s="58">
        <f t="shared" si="220"/>
        <v>1500</v>
      </c>
      <c r="AW184" s="58">
        <f t="shared" si="221"/>
        <v>600</v>
      </c>
      <c r="AX184" s="60">
        <f t="shared" si="222"/>
        <v>0.11</v>
      </c>
      <c r="AY184" s="212">
        <f t="shared" si="189"/>
        <v>0</v>
      </c>
      <c r="AZ184" s="59">
        <f t="shared" si="223"/>
        <v>0</v>
      </c>
      <c r="BA184" s="21" t="e">
        <f t="shared" si="224"/>
        <v>#DIV/0!</v>
      </c>
      <c r="BB184" s="58">
        <f t="shared" si="225"/>
        <v>2900</v>
      </c>
      <c r="BC184" s="58">
        <f t="shared" si="226"/>
        <v>1160</v>
      </c>
      <c r="BD184" s="60">
        <f t="shared" si="227"/>
        <v>0.15</v>
      </c>
      <c r="BE184" s="212" t="e">
        <f t="shared" si="190"/>
        <v>#NUM!</v>
      </c>
      <c r="BF184" s="59" t="e">
        <f t="shared" si="228"/>
        <v>#NUM!</v>
      </c>
      <c r="BG184" s="21" t="e">
        <f t="shared" si="229"/>
        <v>#NUM!</v>
      </c>
      <c r="BH184" s="55">
        <f t="shared" ca="1" si="183"/>
        <v>0</v>
      </c>
    </row>
    <row r="185" spans="1:60" x14ac:dyDescent="0.2">
      <c r="A185" s="61">
        <f ca="1">RANK(W185,W$12:W$311,0)+COUNTIF(W$12:W185,W185)-1</f>
        <v>127</v>
      </c>
      <c r="B185" s="55">
        <f>'Etape 1'!A181</f>
        <v>174</v>
      </c>
      <c r="C185" s="55">
        <f>'Etape 1'!B181</f>
        <v>0</v>
      </c>
      <c r="D185" s="55">
        <f>'Etape 1'!C181</f>
        <v>0</v>
      </c>
      <c r="E185" s="55">
        <f>'Etape 1'!D181</f>
        <v>0</v>
      </c>
      <c r="F185" s="55">
        <f>'Etape 1'!E181</f>
        <v>0</v>
      </c>
      <c r="G185" s="55">
        <f>'Etape 1'!F181</f>
        <v>0</v>
      </c>
      <c r="H185" s="55">
        <f>'Etape 1'!G181</f>
        <v>0</v>
      </c>
      <c r="I185" s="209">
        <v>1</v>
      </c>
      <c r="J185" s="58">
        <f t="shared" si="191"/>
        <v>0</v>
      </c>
      <c r="K185" s="21">
        <f t="shared" si="192"/>
        <v>0</v>
      </c>
      <c r="L185" s="21">
        <f t="shared" si="193"/>
        <v>0</v>
      </c>
      <c r="M185" s="21">
        <f t="shared" ca="1" si="194"/>
        <v>3</v>
      </c>
      <c r="N185" s="21">
        <f t="shared" ca="1" si="195"/>
        <v>3</v>
      </c>
      <c r="O185" s="21">
        <f t="shared" ca="1" si="196"/>
        <v>0</v>
      </c>
      <c r="P185" s="262" t="str">
        <f>IF('Etape 1'!J181=999,"",IF('Etape 1'!J181=9999,txt_Schritt1.Angaben.fehlen,VLOOKUP(N185,Matrix_1.2.3.Test.Punkte.ID.Beurteilung,4,1)))</f>
        <v/>
      </c>
      <c r="Q185" s="21">
        <f t="shared" ca="1" si="197"/>
        <v>0</v>
      </c>
      <c r="R185" s="136">
        <f t="shared" si="184"/>
        <v>174</v>
      </c>
      <c r="S185" s="136">
        <f t="shared" ca="1" si="181"/>
        <v>162.57807308970101</v>
      </c>
      <c r="T185" s="136">
        <f t="shared" ca="1" si="185"/>
        <v>750.57807308970098</v>
      </c>
      <c r="U185" s="136">
        <f t="shared" ca="1" si="186"/>
        <v>1224000.5780730897</v>
      </c>
      <c r="V185" s="211">
        <f t="shared" ca="1" si="187"/>
        <v>235406.77011740912</v>
      </c>
      <c r="W185" s="136">
        <f t="shared" ca="1" si="182"/>
        <v>174</v>
      </c>
      <c r="X185" s="136">
        <f t="shared" ca="1" si="198"/>
        <v>162.999000999001</v>
      </c>
      <c r="Y185" s="21">
        <f t="shared" si="199"/>
        <v>1</v>
      </c>
      <c r="Z185" s="21" t="str">
        <f t="shared" si="200"/>
        <v>&lt;IE0</v>
      </c>
      <c r="AA185" s="21">
        <f t="shared" si="201"/>
        <v>1</v>
      </c>
      <c r="AB185" s="21" t="str">
        <f t="shared" si="202"/>
        <v>a - "&lt; 1990 (Eff3)"</v>
      </c>
      <c r="AC185" s="21">
        <f t="shared" si="203"/>
        <v>999999</v>
      </c>
      <c r="AD185" s="21" t="str">
        <f t="shared" si="204"/>
        <v/>
      </c>
      <c r="AE185" s="21" t="str">
        <f t="shared" si="205"/>
        <v/>
      </c>
      <c r="AF185" s="21" t="str">
        <f t="shared" si="206"/>
        <v/>
      </c>
      <c r="AG185" s="21">
        <f t="shared" si="207"/>
        <v>0</v>
      </c>
      <c r="AH185" s="21">
        <f>IF('Etape 1'!H181=St.Wert_Hacken,1,0)</f>
        <v>0</v>
      </c>
      <c r="AI185" s="21">
        <f t="shared" si="208"/>
        <v>0</v>
      </c>
      <c r="AJ185" s="21">
        <f t="shared" si="209"/>
        <v>1000999</v>
      </c>
      <c r="AK185" s="58">
        <f t="shared" si="210"/>
        <v>1100</v>
      </c>
      <c r="AL185" s="58">
        <f t="shared" si="211"/>
        <v>440</v>
      </c>
      <c r="AM185" s="21">
        <f t="shared" si="212"/>
        <v>0</v>
      </c>
      <c r="AN185" s="58">
        <f t="shared" si="213"/>
        <v>1</v>
      </c>
      <c r="AO185" s="58" t="str">
        <f t="shared" si="214"/>
        <v>114</v>
      </c>
      <c r="AP185" s="58" t="str">
        <f t="shared" si="215"/>
        <v>164</v>
      </c>
      <c r="AQ185" s="21" t="e">
        <f t="shared" si="216"/>
        <v>#NUM!</v>
      </c>
      <c r="AR185" s="21" t="e">
        <f t="shared" si="217"/>
        <v>#NUM!</v>
      </c>
      <c r="AS185" s="136" t="e">
        <f t="shared" si="188"/>
        <v>#NUM!</v>
      </c>
      <c r="AT185" s="59" t="e">
        <f t="shared" si="218"/>
        <v>#NUM!</v>
      </c>
      <c r="AU185" s="21" t="e">
        <f t="shared" si="219"/>
        <v>#NUM!</v>
      </c>
      <c r="AV185" s="58">
        <f t="shared" si="220"/>
        <v>1500</v>
      </c>
      <c r="AW185" s="58">
        <f t="shared" si="221"/>
        <v>600</v>
      </c>
      <c r="AX185" s="60">
        <f t="shared" si="222"/>
        <v>0.11</v>
      </c>
      <c r="AY185" s="212">
        <f t="shared" si="189"/>
        <v>0</v>
      </c>
      <c r="AZ185" s="59">
        <f t="shared" si="223"/>
        <v>0</v>
      </c>
      <c r="BA185" s="21" t="e">
        <f t="shared" si="224"/>
        <v>#DIV/0!</v>
      </c>
      <c r="BB185" s="58">
        <f t="shared" si="225"/>
        <v>2900</v>
      </c>
      <c r="BC185" s="58">
        <f t="shared" si="226"/>
        <v>1160</v>
      </c>
      <c r="BD185" s="60">
        <f t="shared" si="227"/>
        <v>0.15</v>
      </c>
      <c r="BE185" s="212" t="e">
        <f t="shared" si="190"/>
        <v>#NUM!</v>
      </c>
      <c r="BF185" s="59" t="e">
        <f t="shared" si="228"/>
        <v>#NUM!</v>
      </c>
      <c r="BG185" s="21" t="e">
        <f t="shared" si="229"/>
        <v>#NUM!</v>
      </c>
      <c r="BH185" s="55">
        <f t="shared" ca="1" si="183"/>
        <v>0</v>
      </c>
    </row>
    <row r="186" spans="1:60" x14ac:dyDescent="0.2">
      <c r="A186" s="61">
        <f ca="1">RANK(W186,W$12:W$311,0)+COUNTIF(W$12:W186,W186)-1</f>
        <v>126</v>
      </c>
      <c r="B186" s="55">
        <f>'Etape 1'!A182</f>
        <v>175</v>
      </c>
      <c r="C186" s="55">
        <f>'Etape 1'!B182</f>
        <v>0</v>
      </c>
      <c r="D186" s="55">
        <f>'Etape 1'!C182</f>
        <v>0</v>
      </c>
      <c r="E186" s="55">
        <f>'Etape 1'!D182</f>
        <v>0</v>
      </c>
      <c r="F186" s="55">
        <f>'Etape 1'!E182</f>
        <v>0</v>
      </c>
      <c r="G186" s="55">
        <f>'Etape 1'!F182</f>
        <v>0</v>
      </c>
      <c r="H186" s="55">
        <f>'Etape 1'!G182</f>
        <v>0</v>
      </c>
      <c r="I186" s="209">
        <v>1</v>
      </c>
      <c r="J186" s="58">
        <f t="shared" si="191"/>
        <v>0</v>
      </c>
      <c r="K186" s="21">
        <f t="shared" si="192"/>
        <v>0</v>
      </c>
      <c r="L186" s="21">
        <f t="shared" si="193"/>
        <v>0</v>
      </c>
      <c r="M186" s="21">
        <f t="shared" ca="1" si="194"/>
        <v>3</v>
      </c>
      <c r="N186" s="21">
        <f t="shared" ca="1" si="195"/>
        <v>3</v>
      </c>
      <c r="O186" s="21">
        <f t="shared" ca="1" si="196"/>
        <v>0</v>
      </c>
      <c r="P186" s="262" t="str">
        <f>IF('Etape 1'!J182=999,"",IF('Etape 1'!J182=9999,txt_Schritt1.Angaben.fehlen,VLOOKUP(N186,Matrix_1.2.3.Test.Punkte.ID.Beurteilung,4,1)))</f>
        <v/>
      </c>
      <c r="Q186" s="21">
        <f t="shared" ca="1" si="197"/>
        <v>0</v>
      </c>
      <c r="R186" s="136">
        <f t="shared" si="184"/>
        <v>175</v>
      </c>
      <c r="S186" s="136">
        <f t="shared" ca="1" si="181"/>
        <v>162.58139534883722</v>
      </c>
      <c r="T186" s="136">
        <f t="shared" ca="1" si="185"/>
        <v>750.58139534883719</v>
      </c>
      <c r="U186" s="136">
        <f t="shared" ca="1" si="186"/>
        <v>1224000.5813953488</v>
      </c>
      <c r="V186" s="211">
        <f t="shared" ca="1" si="187"/>
        <v>235406.77343966824</v>
      </c>
      <c r="W186" s="136">
        <f t="shared" ca="1" si="182"/>
        <v>175</v>
      </c>
      <c r="X186" s="136">
        <f t="shared" ca="1" si="198"/>
        <v>162.999000999001</v>
      </c>
      <c r="Y186" s="21">
        <f t="shared" si="199"/>
        <v>1</v>
      </c>
      <c r="Z186" s="21" t="str">
        <f t="shared" si="200"/>
        <v>&lt;IE0</v>
      </c>
      <c r="AA186" s="21">
        <f t="shared" si="201"/>
        <v>1</v>
      </c>
      <c r="AB186" s="21" t="str">
        <f t="shared" si="202"/>
        <v>a - "&lt; 1990 (Eff3)"</v>
      </c>
      <c r="AC186" s="21">
        <f t="shared" si="203"/>
        <v>999999</v>
      </c>
      <c r="AD186" s="21" t="str">
        <f t="shared" si="204"/>
        <v/>
      </c>
      <c r="AE186" s="21" t="str">
        <f t="shared" si="205"/>
        <v/>
      </c>
      <c r="AF186" s="21" t="str">
        <f t="shared" si="206"/>
        <v/>
      </c>
      <c r="AG186" s="21">
        <f t="shared" si="207"/>
        <v>0</v>
      </c>
      <c r="AH186" s="21">
        <f>IF('Etape 1'!H182=St.Wert_Hacken,1,0)</f>
        <v>0</v>
      </c>
      <c r="AI186" s="21">
        <f t="shared" si="208"/>
        <v>0</v>
      </c>
      <c r="AJ186" s="21">
        <f t="shared" si="209"/>
        <v>1000999</v>
      </c>
      <c r="AK186" s="58">
        <f t="shared" si="210"/>
        <v>1100</v>
      </c>
      <c r="AL186" s="58">
        <f t="shared" si="211"/>
        <v>440</v>
      </c>
      <c r="AM186" s="21">
        <f t="shared" si="212"/>
        <v>0</v>
      </c>
      <c r="AN186" s="58">
        <f t="shared" si="213"/>
        <v>1</v>
      </c>
      <c r="AO186" s="58" t="str">
        <f t="shared" si="214"/>
        <v>114</v>
      </c>
      <c r="AP186" s="58" t="str">
        <f t="shared" si="215"/>
        <v>164</v>
      </c>
      <c r="AQ186" s="21" t="e">
        <f t="shared" si="216"/>
        <v>#NUM!</v>
      </c>
      <c r="AR186" s="21" t="e">
        <f t="shared" si="217"/>
        <v>#NUM!</v>
      </c>
      <c r="AS186" s="136" t="e">
        <f t="shared" si="188"/>
        <v>#NUM!</v>
      </c>
      <c r="AT186" s="59" t="e">
        <f t="shared" si="218"/>
        <v>#NUM!</v>
      </c>
      <c r="AU186" s="21" t="e">
        <f t="shared" si="219"/>
        <v>#NUM!</v>
      </c>
      <c r="AV186" s="58">
        <f t="shared" si="220"/>
        <v>1500</v>
      </c>
      <c r="AW186" s="58">
        <f t="shared" si="221"/>
        <v>600</v>
      </c>
      <c r="AX186" s="60">
        <f t="shared" si="222"/>
        <v>0.11</v>
      </c>
      <c r="AY186" s="212">
        <f t="shared" si="189"/>
        <v>0</v>
      </c>
      <c r="AZ186" s="59">
        <f t="shared" si="223"/>
        <v>0</v>
      </c>
      <c r="BA186" s="21" t="e">
        <f t="shared" si="224"/>
        <v>#DIV/0!</v>
      </c>
      <c r="BB186" s="58">
        <f t="shared" si="225"/>
        <v>2900</v>
      </c>
      <c r="BC186" s="58">
        <f t="shared" si="226"/>
        <v>1160</v>
      </c>
      <c r="BD186" s="60">
        <f t="shared" si="227"/>
        <v>0.15</v>
      </c>
      <c r="BE186" s="212" t="e">
        <f t="shared" si="190"/>
        <v>#NUM!</v>
      </c>
      <c r="BF186" s="59" t="e">
        <f t="shared" si="228"/>
        <v>#NUM!</v>
      </c>
      <c r="BG186" s="21" t="e">
        <f t="shared" si="229"/>
        <v>#NUM!</v>
      </c>
      <c r="BH186" s="55">
        <f t="shared" ca="1" si="183"/>
        <v>0</v>
      </c>
    </row>
    <row r="187" spans="1:60" x14ac:dyDescent="0.2">
      <c r="A187" s="61">
        <f ca="1">RANK(W187,W$12:W$311,0)+COUNTIF(W$12:W187,W187)-1</f>
        <v>125</v>
      </c>
      <c r="B187" s="55">
        <f>'Etape 1'!A183</f>
        <v>176</v>
      </c>
      <c r="C187" s="55">
        <f>'Etape 1'!B183</f>
        <v>0</v>
      </c>
      <c r="D187" s="55">
        <f>'Etape 1'!C183</f>
        <v>0</v>
      </c>
      <c r="E187" s="55">
        <f>'Etape 1'!D183</f>
        <v>0</v>
      </c>
      <c r="F187" s="55">
        <f>'Etape 1'!E183</f>
        <v>0</v>
      </c>
      <c r="G187" s="55">
        <f>'Etape 1'!F183</f>
        <v>0</v>
      </c>
      <c r="H187" s="55">
        <f>'Etape 1'!G183</f>
        <v>0</v>
      </c>
      <c r="I187" s="209">
        <v>1</v>
      </c>
      <c r="J187" s="58">
        <f t="shared" si="191"/>
        <v>0</v>
      </c>
      <c r="K187" s="21">
        <f t="shared" si="192"/>
        <v>0</v>
      </c>
      <c r="L187" s="21">
        <f t="shared" si="193"/>
        <v>0</v>
      </c>
      <c r="M187" s="21">
        <f t="shared" ca="1" si="194"/>
        <v>3</v>
      </c>
      <c r="N187" s="21">
        <f t="shared" ca="1" si="195"/>
        <v>3</v>
      </c>
      <c r="O187" s="21">
        <f t="shared" ca="1" si="196"/>
        <v>0</v>
      </c>
      <c r="P187" s="262" t="str">
        <f>IF('Etape 1'!J183=999,"",IF('Etape 1'!J183=9999,txt_Schritt1.Angaben.fehlen,VLOOKUP(N187,Matrix_1.2.3.Test.Punkte.ID.Beurteilung,4,1)))</f>
        <v/>
      </c>
      <c r="Q187" s="21">
        <f t="shared" ca="1" si="197"/>
        <v>0</v>
      </c>
      <c r="R187" s="136">
        <f t="shared" si="184"/>
        <v>176</v>
      </c>
      <c r="S187" s="136">
        <f t="shared" ca="1" si="181"/>
        <v>162.58471760797343</v>
      </c>
      <c r="T187" s="136">
        <f t="shared" ca="1" si="185"/>
        <v>750.5847176079734</v>
      </c>
      <c r="U187" s="136">
        <f t="shared" ca="1" si="186"/>
        <v>1224000.5847176081</v>
      </c>
      <c r="V187" s="211">
        <f t="shared" ca="1" si="187"/>
        <v>235406.77676192738</v>
      </c>
      <c r="W187" s="136">
        <f t="shared" ca="1" si="182"/>
        <v>176</v>
      </c>
      <c r="X187" s="136">
        <f t="shared" ca="1" si="198"/>
        <v>162.999000999001</v>
      </c>
      <c r="Y187" s="21">
        <f t="shared" si="199"/>
        <v>1</v>
      </c>
      <c r="Z187" s="21" t="str">
        <f t="shared" si="200"/>
        <v>&lt;IE0</v>
      </c>
      <c r="AA187" s="21">
        <f t="shared" si="201"/>
        <v>1</v>
      </c>
      <c r="AB187" s="21" t="str">
        <f t="shared" si="202"/>
        <v>a - "&lt; 1990 (Eff3)"</v>
      </c>
      <c r="AC187" s="21">
        <f t="shared" si="203"/>
        <v>999999</v>
      </c>
      <c r="AD187" s="21" t="str">
        <f t="shared" si="204"/>
        <v/>
      </c>
      <c r="AE187" s="21" t="str">
        <f t="shared" si="205"/>
        <v/>
      </c>
      <c r="AF187" s="21" t="str">
        <f t="shared" si="206"/>
        <v/>
      </c>
      <c r="AG187" s="21">
        <f t="shared" si="207"/>
        <v>0</v>
      </c>
      <c r="AH187" s="21">
        <f>IF('Etape 1'!H183=St.Wert_Hacken,1,0)</f>
        <v>0</v>
      </c>
      <c r="AI187" s="21">
        <f t="shared" si="208"/>
        <v>0</v>
      </c>
      <c r="AJ187" s="21">
        <f t="shared" si="209"/>
        <v>1000999</v>
      </c>
      <c r="AK187" s="58">
        <f t="shared" si="210"/>
        <v>1100</v>
      </c>
      <c r="AL187" s="58">
        <f t="shared" si="211"/>
        <v>440</v>
      </c>
      <c r="AM187" s="21">
        <f t="shared" si="212"/>
        <v>0</v>
      </c>
      <c r="AN187" s="58">
        <f t="shared" si="213"/>
        <v>1</v>
      </c>
      <c r="AO187" s="58" t="str">
        <f t="shared" si="214"/>
        <v>114</v>
      </c>
      <c r="AP187" s="58" t="str">
        <f t="shared" si="215"/>
        <v>164</v>
      </c>
      <c r="AQ187" s="21" t="e">
        <f t="shared" si="216"/>
        <v>#NUM!</v>
      </c>
      <c r="AR187" s="21" t="e">
        <f t="shared" si="217"/>
        <v>#NUM!</v>
      </c>
      <c r="AS187" s="136" t="e">
        <f t="shared" si="188"/>
        <v>#NUM!</v>
      </c>
      <c r="AT187" s="59" t="e">
        <f t="shared" si="218"/>
        <v>#NUM!</v>
      </c>
      <c r="AU187" s="21" t="e">
        <f t="shared" si="219"/>
        <v>#NUM!</v>
      </c>
      <c r="AV187" s="58">
        <f t="shared" si="220"/>
        <v>1500</v>
      </c>
      <c r="AW187" s="58">
        <f t="shared" si="221"/>
        <v>600</v>
      </c>
      <c r="AX187" s="60">
        <f t="shared" si="222"/>
        <v>0.11</v>
      </c>
      <c r="AY187" s="212">
        <f t="shared" si="189"/>
        <v>0</v>
      </c>
      <c r="AZ187" s="59">
        <f t="shared" si="223"/>
        <v>0</v>
      </c>
      <c r="BA187" s="21" t="e">
        <f t="shared" si="224"/>
        <v>#DIV/0!</v>
      </c>
      <c r="BB187" s="58">
        <f t="shared" si="225"/>
        <v>2900</v>
      </c>
      <c r="BC187" s="58">
        <f t="shared" si="226"/>
        <v>1160</v>
      </c>
      <c r="BD187" s="60">
        <f t="shared" si="227"/>
        <v>0.15</v>
      </c>
      <c r="BE187" s="212" t="e">
        <f t="shared" si="190"/>
        <v>#NUM!</v>
      </c>
      <c r="BF187" s="59" t="e">
        <f t="shared" si="228"/>
        <v>#NUM!</v>
      </c>
      <c r="BG187" s="21" t="e">
        <f t="shared" si="229"/>
        <v>#NUM!</v>
      </c>
      <c r="BH187" s="55">
        <f t="shared" ca="1" si="183"/>
        <v>0</v>
      </c>
    </row>
    <row r="188" spans="1:60" x14ac:dyDescent="0.2">
      <c r="A188" s="61">
        <f ca="1">RANK(W188,W$12:W$311,0)+COUNTIF(W$12:W188,W188)-1</f>
        <v>124</v>
      </c>
      <c r="B188" s="55">
        <f>'Etape 1'!A184</f>
        <v>177</v>
      </c>
      <c r="C188" s="55">
        <f>'Etape 1'!B184</f>
        <v>0</v>
      </c>
      <c r="D188" s="55">
        <f>'Etape 1'!C184</f>
        <v>0</v>
      </c>
      <c r="E188" s="55">
        <f>'Etape 1'!D184</f>
        <v>0</v>
      </c>
      <c r="F188" s="55">
        <f>'Etape 1'!E184</f>
        <v>0</v>
      </c>
      <c r="G188" s="55">
        <f>'Etape 1'!F184</f>
        <v>0</v>
      </c>
      <c r="H188" s="55">
        <f>'Etape 1'!G184</f>
        <v>0</v>
      </c>
      <c r="I188" s="209">
        <v>1</v>
      </c>
      <c r="J188" s="58">
        <f t="shared" si="191"/>
        <v>0</v>
      </c>
      <c r="K188" s="21">
        <f t="shared" si="192"/>
        <v>0</v>
      </c>
      <c r="L188" s="21">
        <f t="shared" si="193"/>
        <v>0</v>
      </c>
      <c r="M188" s="21">
        <f t="shared" ca="1" si="194"/>
        <v>3</v>
      </c>
      <c r="N188" s="21">
        <f t="shared" ca="1" si="195"/>
        <v>3</v>
      </c>
      <c r="O188" s="21">
        <f t="shared" ca="1" si="196"/>
        <v>0</v>
      </c>
      <c r="P188" s="262" t="str">
        <f>IF('Etape 1'!J184=999,"",IF('Etape 1'!J184=9999,txt_Schritt1.Angaben.fehlen,VLOOKUP(N188,Matrix_1.2.3.Test.Punkte.ID.Beurteilung,4,1)))</f>
        <v/>
      </c>
      <c r="Q188" s="21">
        <f t="shared" ca="1" si="197"/>
        <v>0</v>
      </c>
      <c r="R188" s="136">
        <f t="shared" si="184"/>
        <v>177</v>
      </c>
      <c r="S188" s="136">
        <f t="shared" ca="1" si="181"/>
        <v>162.58803986710964</v>
      </c>
      <c r="T188" s="136">
        <f t="shared" ca="1" si="185"/>
        <v>750.58803986710961</v>
      </c>
      <c r="U188" s="136">
        <f t="shared" ca="1" si="186"/>
        <v>1224000.5880398671</v>
      </c>
      <c r="V188" s="211">
        <f t="shared" ca="1" si="187"/>
        <v>235406.78008418652</v>
      </c>
      <c r="W188" s="136">
        <f t="shared" ca="1" si="182"/>
        <v>177</v>
      </c>
      <c r="X188" s="136">
        <f t="shared" ca="1" si="198"/>
        <v>162.999000999001</v>
      </c>
      <c r="Y188" s="21">
        <f t="shared" si="199"/>
        <v>1</v>
      </c>
      <c r="Z188" s="21" t="str">
        <f t="shared" si="200"/>
        <v>&lt;IE0</v>
      </c>
      <c r="AA188" s="21">
        <f t="shared" si="201"/>
        <v>1</v>
      </c>
      <c r="AB188" s="21" t="str">
        <f t="shared" si="202"/>
        <v>a - "&lt; 1990 (Eff3)"</v>
      </c>
      <c r="AC188" s="21">
        <f t="shared" si="203"/>
        <v>999999</v>
      </c>
      <c r="AD188" s="21" t="str">
        <f t="shared" si="204"/>
        <v/>
      </c>
      <c r="AE188" s="21" t="str">
        <f t="shared" si="205"/>
        <v/>
      </c>
      <c r="AF188" s="21" t="str">
        <f t="shared" si="206"/>
        <v/>
      </c>
      <c r="AG188" s="21">
        <f t="shared" si="207"/>
        <v>0</v>
      </c>
      <c r="AH188" s="21">
        <f>IF('Etape 1'!H184=St.Wert_Hacken,1,0)</f>
        <v>0</v>
      </c>
      <c r="AI188" s="21">
        <f t="shared" si="208"/>
        <v>0</v>
      </c>
      <c r="AJ188" s="21">
        <f t="shared" si="209"/>
        <v>1000999</v>
      </c>
      <c r="AK188" s="58">
        <f t="shared" si="210"/>
        <v>1100</v>
      </c>
      <c r="AL188" s="58">
        <f t="shared" si="211"/>
        <v>440</v>
      </c>
      <c r="AM188" s="21">
        <f t="shared" si="212"/>
        <v>0</v>
      </c>
      <c r="AN188" s="58">
        <f t="shared" si="213"/>
        <v>1</v>
      </c>
      <c r="AO188" s="58" t="str">
        <f t="shared" si="214"/>
        <v>114</v>
      </c>
      <c r="AP188" s="58" t="str">
        <f t="shared" si="215"/>
        <v>164</v>
      </c>
      <c r="AQ188" s="21" t="e">
        <f t="shared" si="216"/>
        <v>#NUM!</v>
      </c>
      <c r="AR188" s="21" t="e">
        <f t="shared" si="217"/>
        <v>#NUM!</v>
      </c>
      <c r="AS188" s="136" t="e">
        <f t="shared" si="188"/>
        <v>#NUM!</v>
      </c>
      <c r="AT188" s="59" t="e">
        <f t="shared" si="218"/>
        <v>#NUM!</v>
      </c>
      <c r="AU188" s="21" t="e">
        <f t="shared" si="219"/>
        <v>#NUM!</v>
      </c>
      <c r="AV188" s="58">
        <f t="shared" si="220"/>
        <v>1500</v>
      </c>
      <c r="AW188" s="58">
        <f t="shared" si="221"/>
        <v>600</v>
      </c>
      <c r="AX188" s="60">
        <f t="shared" si="222"/>
        <v>0.11</v>
      </c>
      <c r="AY188" s="212">
        <f t="shared" si="189"/>
        <v>0</v>
      </c>
      <c r="AZ188" s="59">
        <f t="shared" si="223"/>
        <v>0</v>
      </c>
      <c r="BA188" s="21" t="e">
        <f t="shared" si="224"/>
        <v>#DIV/0!</v>
      </c>
      <c r="BB188" s="58">
        <f t="shared" si="225"/>
        <v>2900</v>
      </c>
      <c r="BC188" s="58">
        <f t="shared" si="226"/>
        <v>1160</v>
      </c>
      <c r="BD188" s="60">
        <f t="shared" si="227"/>
        <v>0.15</v>
      </c>
      <c r="BE188" s="212" t="e">
        <f t="shared" si="190"/>
        <v>#NUM!</v>
      </c>
      <c r="BF188" s="59" t="e">
        <f t="shared" si="228"/>
        <v>#NUM!</v>
      </c>
      <c r="BG188" s="21" t="e">
        <f t="shared" si="229"/>
        <v>#NUM!</v>
      </c>
      <c r="BH188" s="55">
        <f t="shared" ca="1" si="183"/>
        <v>0</v>
      </c>
    </row>
    <row r="189" spans="1:60" x14ac:dyDescent="0.2">
      <c r="A189" s="61">
        <f ca="1">RANK(W189,W$12:W$311,0)+COUNTIF(W$12:W189,W189)-1</f>
        <v>123</v>
      </c>
      <c r="B189" s="55">
        <f>'Etape 1'!A185</f>
        <v>178</v>
      </c>
      <c r="C189" s="55">
        <f>'Etape 1'!B185</f>
        <v>0</v>
      </c>
      <c r="D189" s="55">
        <f>'Etape 1'!C185</f>
        <v>0</v>
      </c>
      <c r="E189" s="55">
        <f>'Etape 1'!D185</f>
        <v>0</v>
      </c>
      <c r="F189" s="55">
        <f>'Etape 1'!E185</f>
        <v>0</v>
      </c>
      <c r="G189" s="55">
        <f>'Etape 1'!F185</f>
        <v>0</v>
      </c>
      <c r="H189" s="55">
        <f>'Etape 1'!G185</f>
        <v>0</v>
      </c>
      <c r="I189" s="209">
        <v>1</v>
      </c>
      <c r="J189" s="58">
        <f t="shared" si="191"/>
        <v>0</v>
      </c>
      <c r="K189" s="21">
        <f t="shared" si="192"/>
        <v>0</v>
      </c>
      <c r="L189" s="21">
        <f t="shared" si="193"/>
        <v>0</v>
      </c>
      <c r="M189" s="21">
        <f t="shared" ca="1" si="194"/>
        <v>3</v>
      </c>
      <c r="N189" s="21">
        <f t="shared" ca="1" si="195"/>
        <v>3</v>
      </c>
      <c r="O189" s="21">
        <f t="shared" ca="1" si="196"/>
        <v>0</v>
      </c>
      <c r="P189" s="262" t="str">
        <f>IF('Etape 1'!J185=999,"",IF('Etape 1'!J185=9999,txt_Schritt1.Angaben.fehlen,VLOOKUP(N189,Matrix_1.2.3.Test.Punkte.ID.Beurteilung,4,1)))</f>
        <v/>
      </c>
      <c r="Q189" s="21">
        <f t="shared" ca="1" si="197"/>
        <v>0</v>
      </c>
      <c r="R189" s="136">
        <f t="shared" si="184"/>
        <v>178</v>
      </c>
      <c r="S189" s="136">
        <f t="shared" ca="1" si="181"/>
        <v>162.59136212624585</v>
      </c>
      <c r="T189" s="136">
        <f t="shared" ca="1" si="185"/>
        <v>750.59136212624583</v>
      </c>
      <c r="U189" s="136">
        <f t="shared" ca="1" si="186"/>
        <v>1224000.5913621262</v>
      </c>
      <c r="V189" s="211">
        <f t="shared" ca="1" si="187"/>
        <v>235406.78340644567</v>
      </c>
      <c r="W189" s="136">
        <f t="shared" ca="1" si="182"/>
        <v>178</v>
      </c>
      <c r="X189" s="136">
        <f t="shared" ca="1" si="198"/>
        <v>162.999000999001</v>
      </c>
      <c r="Y189" s="21">
        <f t="shared" si="199"/>
        <v>1</v>
      </c>
      <c r="Z189" s="21" t="str">
        <f t="shared" si="200"/>
        <v>&lt;IE0</v>
      </c>
      <c r="AA189" s="21">
        <f t="shared" si="201"/>
        <v>1</v>
      </c>
      <c r="AB189" s="21" t="str">
        <f t="shared" si="202"/>
        <v>a - "&lt; 1990 (Eff3)"</v>
      </c>
      <c r="AC189" s="21">
        <f t="shared" si="203"/>
        <v>999999</v>
      </c>
      <c r="AD189" s="21" t="str">
        <f t="shared" si="204"/>
        <v/>
      </c>
      <c r="AE189" s="21" t="str">
        <f t="shared" si="205"/>
        <v/>
      </c>
      <c r="AF189" s="21" t="str">
        <f t="shared" si="206"/>
        <v/>
      </c>
      <c r="AG189" s="21">
        <f t="shared" si="207"/>
        <v>0</v>
      </c>
      <c r="AH189" s="21">
        <f>IF('Etape 1'!H185=St.Wert_Hacken,1,0)</f>
        <v>0</v>
      </c>
      <c r="AI189" s="21">
        <f t="shared" si="208"/>
        <v>0</v>
      </c>
      <c r="AJ189" s="21">
        <f t="shared" si="209"/>
        <v>1000999</v>
      </c>
      <c r="AK189" s="58">
        <f t="shared" si="210"/>
        <v>1100</v>
      </c>
      <c r="AL189" s="58">
        <f t="shared" si="211"/>
        <v>440</v>
      </c>
      <c r="AM189" s="21">
        <f t="shared" si="212"/>
        <v>0</v>
      </c>
      <c r="AN189" s="58">
        <f t="shared" si="213"/>
        <v>1</v>
      </c>
      <c r="AO189" s="58" t="str">
        <f t="shared" si="214"/>
        <v>114</v>
      </c>
      <c r="AP189" s="58" t="str">
        <f t="shared" si="215"/>
        <v>164</v>
      </c>
      <c r="AQ189" s="21" t="e">
        <f t="shared" si="216"/>
        <v>#NUM!</v>
      </c>
      <c r="AR189" s="21" t="e">
        <f t="shared" si="217"/>
        <v>#NUM!</v>
      </c>
      <c r="AS189" s="136" t="e">
        <f t="shared" si="188"/>
        <v>#NUM!</v>
      </c>
      <c r="AT189" s="59" t="e">
        <f t="shared" si="218"/>
        <v>#NUM!</v>
      </c>
      <c r="AU189" s="21" t="e">
        <f t="shared" si="219"/>
        <v>#NUM!</v>
      </c>
      <c r="AV189" s="58">
        <f t="shared" si="220"/>
        <v>1500</v>
      </c>
      <c r="AW189" s="58">
        <f t="shared" si="221"/>
        <v>600</v>
      </c>
      <c r="AX189" s="60">
        <f t="shared" si="222"/>
        <v>0.11</v>
      </c>
      <c r="AY189" s="212">
        <f t="shared" si="189"/>
        <v>0</v>
      </c>
      <c r="AZ189" s="59">
        <f t="shared" si="223"/>
        <v>0</v>
      </c>
      <c r="BA189" s="21" t="e">
        <f t="shared" si="224"/>
        <v>#DIV/0!</v>
      </c>
      <c r="BB189" s="58">
        <f t="shared" si="225"/>
        <v>2900</v>
      </c>
      <c r="BC189" s="58">
        <f t="shared" si="226"/>
        <v>1160</v>
      </c>
      <c r="BD189" s="60">
        <f t="shared" si="227"/>
        <v>0.15</v>
      </c>
      <c r="BE189" s="212" t="e">
        <f t="shared" si="190"/>
        <v>#NUM!</v>
      </c>
      <c r="BF189" s="59" t="e">
        <f t="shared" si="228"/>
        <v>#NUM!</v>
      </c>
      <c r="BG189" s="21" t="e">
        <f t="shared" si="229"/>
        <v>#NUM!</v>
      </c>
      <c r="BH189" s="55">
        <f t="shared" ca="1" si="183"/>
        <v>0</v>
      </c>
    </row>
    <row r="190" spans="1:60" x14ac:dyDescent="0.2">
      <c r="A190" s="61">
        <f ca="1">RANK(W190,W$12:W$311,0)+COUNTIF(W$12:W190,W190)-1</f>
        <v>122</v>
      </c>
      <c r="B190" s="55">
        <f>'Etape 1'!A186</f>
        <v>179</v>
      </c>
      <c r="C190" s="55">
        <f>'Etape 1'!B186</f>
        <v>0</v>
      </c>
      <c r="D190" s="55">
        <f>'Etape 1'!C186</f>
        <v>0</v>
      </c>
      <c r="E190" s="55">
        <f>'Etape 1'!D186</f>
        <v>0</v>
      </c>
      <c r="F190" s="55">
        <f>'Etape 1'!E186</f>
        <v>0</v>
      </c>
      <c r="G190" s="55">
        <f>'Etape 1'!F186</f>
        <v>0</v>
      </c>
      <c r="H190" s="55">
        <f>'Etape 1'!G186</f>
        <v>0</v>
      </c>
      <c r="I190" s="209">
        <v>1</v>
      </c>
      <c r="J190" s="58">
        <f t="shared" si="191"/>
        <v>0</v>
      </c>
      <c r="K190" s="21">
        <f t="shared" si="192"/>
        <v>0</v>
      </c>
      <c r="L190" s="21">
        <f t="shared" si="193"/>
        <v>0</v>
      </c>
      <c r="M190" s="21">
        <f t="shared" ca="1" si="194"/>
        <v>3</v>
      </c>
      <c r="N190" s="21">
        <f t="shared" ca="1" si="195"/>
        <v>3</v>
      </c>
      <c r="O190" s="21">
        <f t="shared" ca="1" si="196"/>
        <v>0</v>
      </c>
      <c r="P190" s="262" t="str">
        <f>IF('Etape 1'!J186=999,"",IF('Etape 1'!J186=9999,txt_Schritt1.Angaben.fehlen,VLOOKUP(N190,Matrix_1.2.3.Test.Punkte.ID.Beurteilung,4,1)))</f>
        <v/>
      </c>
      <c r="Q190" s="21">
        <f t="shared" ca="1" si="197"/>
        <v>0</v>
      </c>
      <c r="R190" s="136">
        <f t="shared" si="184"/>
        <v>179</v>
      </c>
      <c r="S190" s="136">
        <f t="shared" ca="1" si="181"/>
        <v>162.59468438538207</v>
      </c>
      <c r="T190" s="136">
        <f t="shared" ca="1" si="185"/>
        <v>750.59468438538204</v>
      </c>
      <c r="U190" s="136">
        <f t="shared" ca="1" si="186"/>
        <v>1224000.5946843855</v>
      </c>
      <c r="V190" s="211">
        <f t="shared" ca="1" si="187"/>
        <v>235406.78672870478</v>
      </c>
      <c r="W190" s="136">
        <f t="shared" ca="1" si="182"/>
        <v>179</v>
      </c>
      <c r="X190" s="136">
        <f t="shared" ca="1" si="198"/>
        <v>162.999000999001</v>
      </c>
      <c r="Y190" s="21">
        <f t="shared" si="199"/>
        <v>1</v>
      </c>
      <c r="Z190" s="21" t="str">
        <f t="shared" si="200"/>
        <v>&lt;IE0</v>
      </c>
      <c r="AA190" s="21">
        <f t="shared" si="201"/>
        <v>1</v>
      </c>
      <c r="AB190" s="21" t="str">
        <f t="shared" si="202"/>
        <v>a - "&lt; 1990 (Eff3)"</v>
      </c>
      <c r="AC190" s="21">
        <f t="shared" si="203"/>
        <v>999999</v>
      </c>
      <c r="AD190" s="21" t="str">
        <f t="shared" si="204"/>
        <v/>
      </c>
      <c r="AE190" s="21" t="str">
        <f t="shared" si="205"/>
        <v/>
      </c>
      <c r="AF190" s="21" t="str">
        <f t="shared" si="206"/>
        <v/>
      </c>
      <c r="AG190" s="21">
        <f t="shared" si="207"/>
        <v>0</v>
      </c>
      <c r="AH190" s="21">
        <f>IF('Etape 1'!H186=St.Wert_Hacken,1,0)</f>
        <v>0</v>
      </c>
      <c r="AI190" s="21">
        <f t="shared" si="208"/>
        <v>0</v>
      </c>
      <c r="AJ190" s="21">
        <f t="shared" si="209"/>
        <v>1000999</v>
      </c>
      <c r="AK190" s="58">
        <f t="shared" si="210"/>
        <v>1100</v>
      </c>
      <c r="AL190" s="58">
        <f t="shared" si="211"/>
        <v>440</v>
      </c>
      <c r="AM190" s="21">
        <f t="shared" si="212"/>
        <v>0</v>
      </c>
      <c r="AN190" s="58">
        <f t="shared" si="213"/>
        <v>1</v>
      </c>
      <c r="AO190" s="58" t="str">
        <f t="shared" si="214"/>
        <v>114</v>
      </c>
      <c r="AP190" s="58" t="str">
        <f t="shared" si="215"/>
        <v>164</v>
      </c>
      <c r="AQ190" s="21" t="e">
        <f t="shared" si="216"/>
        <v>#NUM!</v>
      </c>
      <c r="AR190" s="21" t="e">
        <f t="shared" si="217"/>
        <v>#NUM!</v>
      </c>
      <c r="AS190" s="136" t="e">
        <f t="shared" si="188"/>
        <v>#NUM!</v>
      </c>
      <c r="AT190" s="59" t="e">
        <f t="shared" si="218"/>
        <v>#NUM!</v>
      </c>
      <c r="AU190" s="21" t="e">
        <f t="shared" si="219"/>
        <v>#NUM!</v>
      </c>
      <c r="AV190" s="58">
        <f t="shared" si="220"/>
        <v>1500</v>
      </c>
      <c r="AW190" s="58">
        <f t="shared" si="221"/>
        <v>600</v>
      </c>
      <c r="AX190" s="60">
        <f t="shared" si="222"/>
        <v>0.11</v>
      </c>
      <c r="AY190" s="212">
        <f t="shared" si="189"/>
        <v>0</v>
      </c>
      <c r="AZ190" s="59">
        <f t="shared" si="223"/>
        <v>0</v>
      </c>
      <c r="BA190" s="21" t="e">
        <f t="shared" si="224"/>
        <v>#DIV/0!</v>
      </c>
      <c r="BB190" s="58">
        <f t="shared" si="225"/>
        <v>2900</v>
      </c>
      <c r="BC190" s="58">
        <f t="shared" si="226"/>
        <v>1160</v>
      </c>
      <c r="BD190" s="60">
        <f t="shared" si="227"/>
        <v>0.15</v>
      </c>
      <c r="BE190" s="212" t="e">
        <f t="shared" si="190"/>
        <v>#NUM!</v>
      </c>
      <c r="BF190" s="59" t="e">
        <f t="shared" si="228"/>
        <v>#NUM!</v>
      </c>
      <c r="BG190" s="21" t="e">
        <f t="shared" si="229"/>
        <v>#NUM!</v>
      </c>
      <c r="BH190" s="55">
        <f t="shared" ca="1" si="183"/>
        <v>0</v>
      </c>
    </row>
    <row r="191" spans="1:60" x14ac:dyDescent="0.2">
      <c r="A191" s="61">
        <f ca="1">RANK(W191,W$12:W$311,0)+COUNTIF(W$12:W191,W191)-1</f>
        <v>121</v>
      </c>
      <c r="B191" s="55">
        <f>'Etape 1'!A187</f>
        <v>180</v>
      </c>
      <c r="C191" s="55">
        <f>'Etape 1'!B187</f>
        <v>0</v>
      </c>
      <c r="D191" s="55">
        <f>'Etape 1'!C187</f>
        <v>0</v>
      </c>
      <c r="E191" s="55">
        <f>'Etape 1'!D187</f>
        <v>0</v>
      </c>
      <c r="F191" s="55">
        <f>'Etape 1'!E187</f>
        <v>0</v>
      </c>
      <c r="G191" s="55">
        <f>'Etape 1'!F187</f>
        <v>0</v>
      </c>
      <c r="H191" s="55">
        <f>'Etape 1'!G187</f>
        <v>0</v>
      </c>
      <c r="I191" s="209">
        <v>1</v>
      </c>
      <c r="J191" s="58">
        <f t="shared" si="191"/>
        <v>0</v>
      </c>
      <c r="K191" s="21">
        <f t="shared" si="192"/>
        <v>0</v>
      </c>
      <c r="L191" s="21">
        <f t="shared" si="193"/>
        <v>0</v>
      </c>
      <c r="M191" s="21">
        <f t="shared" ca="1" si="194"/>
        <v>3</v>
      </c>
      <c r="N191" s="21">
        <f t="shared" ca="1" si="195"/>
        <v>3</v>
      </c>
      <c r="O191" s="21">
        <f t="shared" ca="1" si="196"/>
        <v>0</v>
      </c>
      <c r="P191" s="262" t="str">
        <f>IF('Etape 1'!J187=999,"",IF('Etape 1'!J187=9999,txt_Schritt1.Angaben.fehlen,VLOOKUP(N191,Matrix_1.2.3.Test.Punkte.ID.Beurteilung,4,1)))</f>
        <v/>
      </c>
      <c r="Q191" s="21">
        <f t="shared" ca="1" si="197"/>
        <v>0</v>
      </c>
      <c r="R191" s="136">
        <f t="shared" si="184"/>
        <v>180</v>
      </c>
      <c r="S191" s="136">
        <f t="shared" ca="1" si="181"/>
        <v>162.59800664451828</v>
      </c>
      <c r="T191" s="136">
        <f t="shared" ca="1" si="185"/>
        <v>750.59800664451825</v>
      </c>
      <c r="U191" s="136">
        <f t="shared" ca="1" si="186"/>
        <v>1224000.5980066445</v>
      </c>
      <c r="V191" s="211">
        <f t="shared" ca="1" si="187"/>
        <v>235406.79005096393</v>
      </c>
      <c r="W191" s="136">
        <f t="shared" ca="1" si="182"/>
        <v>180</v>
      </c>
      <c r="X191" s="136">
        <f t="shared" ca="1" si="198"/>
        <v>162.999000999001</v>
      </c>
      <c r="Y191" s="21">
        <f t="shared" si="199"/>
        <v>1</v>
      </c>
      <c r="Z191" s="21" t="str">
        <f t="shared" si="200"/>
        <v>&lt;IE0</v>
      </c>
      <c r="AA191" s="21">
        <f t="shared" si="201"/>
        <v>1</v>
      </c>
      <c r="AB191" s="21" t="str">
        <f t="shared" si="202"/>
        <v>a - "&lt; 1990 (Eff3)"</v>
      </c>
      <c r="AC191" s="21">
        <f t="shared" si="203"/>
        <v>999999</v>
      </c>
      <c r="AD191" s="21" t="str">
        <f t="shared" si="204"/>
        <v/>
      </c>
      <c r="AE191" s="21" t="str">
        <f t="shared" si="205"/>
        <v/>
      </c>
      <c r="AF191" s="21" t="str">
        <f t="shared" si="206"/>
        <v/>
      </c>
      <c r="AG191" s="21">
        <f t="shared" si="207"/>
        <v>0</v>
      </c>
      <c r="AH191" s="21">
        <f>IF('Etape 1'!H187=St.Wert_Hacken,1,0)</f>
        <v>0</v>
      </c>
      <c r="AI191" s="21">
        <f t="shared" si="208"/>
        <v>0</v>
      </c>
      <c r="AJ191" s="21">
        <f t="shared" si="209"/>
        <v>1000999</v>
      </c>
      <c r="AK191" s="58">
        <f t="shared" si="210"/>
        <v>1100</v>
      </c>
      <c r="AL191" s="58">
        <f t="shared" si="211"/>
        <v>440</v>
      </c>
      <c r="AM191" s="21">
        <f t="shared" si="212"/>
        <v>0</v>
      </c>
      <c r="AN191" s="58">
        <f t="shared" si="213"/>
        <v>1</v>
      </c>
      <c r="AO191" s="58" t="str">
        <f t="shared" si="214"/>
        <v>114</v>
      </c>
      <c r="AP191" s="58" t="str">
        <f t="shared" si="215"/>
        <v>164</v>
      </c>
      <c r="AQ191" s="21" t="e">
        <f t="shared" si="216"/>
        <v>#NUM!</v>
      </c>
      <c r="AR191" s="21" t="e">
        <f t="shared" si="217"/>
        <v>#NUM!</v>
      </c>
      <c r="AS191" s="136" t="e">
        <f t="shared" si="188"/>
        <v>#NUM!</v>
      </c>
      <c r="AT191" s="59" t="e">
        <f t="shared" si="218"/>
        <v>#NUM!</v>
      </c>
      <c r="AU191" s="21" t="e">
        <f t="shared" si="219"/>
        <v>#NUM!</v>
      </c>
      <c r="AV191" s="58">
        <f t="shared" si="220"/>
        <v>1500</v>
      </c>
      <c r="AW191" s="58">
        <f t="shared" si="221"/>
        <v>600</v>
      </c>
      <c r="AX191" s="60">
        <f t="shared" si="222"/>
        <v>0.11</v>
      </c>
      <c r="AY191" s="212">
        <f t="shared" si="189"/>
        <v>0</v>
      </c>
      <c r="AZ191" s="59">
        <f t="shared" si="223"/>
        <v>0</v>
      </c>
      <c r="BA191" s="21" t="e">
        <f t="shared" si="224"/>
        <v>#DIV/0!</v>
      </c>
      <c r="BB191" s="58">
        <f t="shared" si="225"/>
        <v>2900</v>
      </c>
      <c r="BC191" s="58">
        <f t="shared" si="226"/>
        <v>1160</v>
      </c>
      <c r="BD191" s="60">
        <f t="shared" si="227"/>
        <v>0.15</v>
      </c>
      <c r="BE191" s="212" t="e">
        <f t="shared" si="190"/>
        <v>#NUM!</v>
      </c>
      <c r="BF191" s="59" t="e">
        <f t="shared" si="228"/>
        <v>#NUM!</v>
      </c>
      <c r="BG191" s="21" t="e">
        <f t="shared" si="229"/>
        <v>#NUM!</v>
      </c>
      <c r="BH191" s="55">
        <f t="shared" ca="1" si="183"/>
        <v>0</v>
      </c>
    </row>
    <row r="192" spans="1:60" x14ac:dyDescent="0.2">
      <c r="A192" s="61">
        <f ca="1">RANK(W192,W$12:W$311,0)+COUNTIF(W$12:W192,W192)-1</f>
        <v>120</v>
      </c>
      <c r="B192" s="55">
        <f>'Etape 1'!A188</f>
        <v>181</v>
      </c>
      <c r="C192" s="55">
        <f>'Etape 1'!B188</f>
        <v>0</v>
      </c>
      <c r="D192" s="55">
        <f>'Etape 1'!C188</f>
        <v>0</v>
      </c>
      <c r="E192" s="55">
        <f>'Etape 1'!D188</f>
        <v>0</v>
      </c>
      <c r="F192" s="55">
        <f>'Etape 1'!E188</f>
        <v>0</v>
      </c>
      <c r="G192" s="55">
        <f>'Etape 1'!F188</f>
        <v>0</v>
      </c>
      <c r="H192" s="55">
        <f>'Etape 1'!G188</f>
        <v>0</v>
      </c>
      <c r="I192" s="209">
        <v>1</v>
      </c>
      <c r="J192" s="58">
        <f t="shared" si="191"/>
        <v>0</v>
      </c>
      <c r="K192" s="21">
        <f t="shared" si="192"/>
        <v>0</v>
      </c>
      <c r="L192" s="21">
        <f t="shared" si="193"/>
        <v>0</v>
      </c>
      <c r="M192" s="21">
        <f t="shared" ca="1" si="194"/>
        <v>3</v>
      </c>
      <c r="N192" s="21">
        <f t="shared" ca="1" si="195"/>
        <v>3</v>
      </c>
      <c r="O192" s="21">
        <f t="shared" ca="1" si="196"/>
        <v>0</v>
      </c>
      <c r="P192" s="262" t="str">
        <f>IF('Etape 1'!J188=999,"",IF('Etape 1'!J188=9999,txt_Schritt1.Angaben.fehlen,VLOOKUP(N192,Matrix_1.2.3.Test.Punkte.ID.Beurteilung,4,1)))</f>
        <v/>
      </c>
      <c r="Q192" s="21">
        <f t="shared" ca="1" si="197"/>
        <v>0</v>
      </c>
      <c r="R192" s="136">
        <f t="shared" si="184"/>
        <v>181</v>
      </c>
      <c r="S192" s="136">
        <f t="shared" ca="1" si="181"/>
        <v>162.60132890365449</v>
      </c>
      <c r="T192" s="136">
        <f t="shared" ca="1" si="185"/>
        <v>750.60132890365446</v>
      </c>
      <c r="U192" s="136">
        <f t="shared" ca="1" si="186"/>
        <v>1224000.6013289036</v>
      </c>
      <c r="V192" s="211">
        <f t="shared" ca="1" si="187"/>
        <v>235406.79337322307</v>
      </c>
      <c r="W192" s="136">
        <f t="shared" ca="1" si="182"/>
        <v>181</v>
      </c>
      <c r="X192" s="136">
        <f t="shared" ca="1" si="198"/>
        <v>162.999000999001</v>
      </c>
      <c r="Y192" s="21">
        <f t="shared" si="199"/>
        <v>1</v>
      </c>
      <c r="Z192" s="21" t="str">
        <f t="shared" si="200"/>
        <v>&lt;IE0</v>
      </c>
      <c r="AA192" s="21">
        <f t="shared" si="201"/>
        <v>1</v>
      </c>
      <c r="AB192" s="21" t="str">
        <f t="shared" si="202"/>
        <v>a - "&lt; 1990 (Eff3)"</v>
      </c>
      <c r="AC192" s="21">
        <f t="shared" si="203"/>
        <v>999999</v>
      </c>
      <c r="AD192" s="21" t="str">
        <f t="shared" si="204"/>
        <v/>
      </c>
      <c r="AE192" s="21" t="str">
        <f t="shared" si="205"/>
        <v/>
      </c>
      <c r="AF192" s="21" t="str">
        <f t="shared" si="206"/>
        <v/>
      </c>
      <c r="AG192" s="21">
        <f t="shared" si="207"/>
        <v>0</v>
      </c>
      <c r="AH192" s="21">
        <f>IF('Etape 1'!H188=St.Wert_Hacken,1,0)</f>
        <v>0</v>
      </c>
      <c r="AI192" s="21">
        <f t="shared" si="208"/>
        <v>0</v>
      </c>
      <c r="AJ192" s="21">
        <f t="shared" si="209"/>
        <v>1000999</v>
      </c>
      <c r="AK192" s="58">
        <f t="shared" si="210"/>
        <v>1100</v>
      </c>
      <c r="AL192" s="58">
        <f t="shared" si="211"/>
        <v>440</v>
      </c>
      <c r="AM192" s="21">
        <f t="shared" si="212"/>
        <v>0</v>
      </c>
      <c r="AN192" s="58">
        <f t="shared" si="213"/>
        <v>1</v>
      </c>
      <c r="AO192" s="58" t="str">
        <f t="shared" si="214"/>
        <v>114</v>
      </c>
      <c r="AP192" s="58" t="str">
        <f t="shared" si="215"/>
        <v>164</v>
      </c>
      <c r="AQ192" s="21" t="e">
        <f t="shared" si="216"/>
        <v>#NUM!</v>
      </c>
      <c r="AR192" s="21" t="e">
        <f t="shared" si="217"/>
        <v>#NUM!</v>
      </c>
      <c r="AS192" s="136" t="e">
        <f t="shared" si="188"/>
        <v>#NUM!</v>
      </c>
      <c r="AT192" s="59" t="e">
        <f t="shared" si="218"/>
        <v>#NUM!</v>
      </c>
      <c r="AU192" s="21" t="e">
        <f t="shared" si="219"/>
        <v>#NUM!</v>
      </c>
      <c r="AV192" s="58">
        <f t="shared" si="220"/>
        <v>1500</v>
      </c>
      <c r="AW192" s="58">
        <f t="shared" si="221"/>
        <v>600</v>
      </c>
      <c r="AX192" s="60">
        <f t="shared" si="222"/>
        <v>0.11</v>
      </c>
      <c r="AY192" s="212">
        <f t="shared" si="189"/>
        <v>0</v>
      </c>
      <c r="AZ192" s="59">
        <f t="shared" si="223"/>
        <v>0</v>
      </c>
      <c r="BA192" s="21" t="e">
        <f t="shared" si="224"/>
        <v>#DIV/0!</v>
      </c>
      <c r="BB192" s="58">
        <f t="shared" si="225"/>
        <v>2900</v>
      </c>
      <c r="BC192" s="58">
        <f t="shared" si="226"/>
        <v>1160</v>
      </c>
      <c r="BD192" s="60">
        <f t="shared" si="227"/>
        <v>0.15</v>
      </c>
      <c r="BE192" s="212" t="e">
        <f t="shared" si="190"/>
        <v>#NUM!</v>
      </c>
      <c r="BF192" s="59" t="e">
        <f t="shared" si="228"/>
        <v>#NUM!</v>
      </c>
      <c r="BG192" s="21" t="e">
        <f t="shared" si="229"/>
        <v>#NUM!</v>
      </c>
      <c r="BH192" s="55">
        <f t="shared" ca="1" si="183"/>
        <v>0</v>
      </c>
    </row>
    <row r="193" spans="1:60" x14ac:dyDescent="0.2">
      <c r="A193" s="61">
        <f ca="1">RANK(W193,W$12:W$311,0)+COUNTIF(W$12:W193,W193)-1</f>
        <v>119</v>
      </c>
      <c r="B193" s="55">
        <f>'Etape 1'!A189</f>
        <v>182</v>
      </c>
      <c r="C193" s="55">
        <f>'Etape 1'!B189</f>
        <v>0</v>
      </c>
      <c r="D193" s="55">
        <f>'Etape 1'!C189</f>
        <v>0</v>
      </c>
      <c r="E193" s="55">
        <f>'Etape 1'!D189</f>
        <v>0</v>
      </c>
      <c r="F193" s="55">
        <f>'Etape 1'!E189</f>
        <v>0</v>
      </c>
      <c r="G193" s="55">
        <f>'Etape 1'!F189</f>
        <v>0</v>
      </c>
      <c r="H193" s="55">
        <f>'Etape 1'!G189</f>
        <v>0</v>
      </c>
      <c r="I193" s="209">
        <v>1</v>
      </c>
      <c r="J193" s="58">
        <f t="shared" si="191"/>
        <v>0</v>
      </c>
      <c r="K193" s="21">
        <f t="shared" si="192"/>
        <v>0</v>
      </c>
      <c r="L193" s="21">
        <f t="shared" si="193"/>
        <v>0</v>
      </c>
      <c r="M193" s="21">
        <f t="shared" ca="1" si="194"/>
        <v>3</v>
      </c>
      <c r="N193" s="21">
        <f t="shared" ca="1" si="195"/>
        <v>3</v>
      </c>
      <c r="O193" s="21">
        <f t="shared" ca="1" si="196"/>
        <v>0</v>
      </c>
      <c r="P193" s="262" t="str">
        <f>IF('Etape 1'!J189=999,"",IF('Etape 1'!J189=9999,txt_Schritt1.Angaben.fehlen,VLOOKUP(N193,Matrix_1.2.3.Test.Punkte.ID.Beurteilung,4,1)))</f>
        <v/>
      </c>
      <c r="Q193" s="21">
        <f t="shared" ca="1" si="197"/>
        <v>0</v>
      </c>
      <c r="R193" s="136">
        <f t="shared" si="184"/>
        <v>182</v>
      </c>
      <c r="S193" s="136">
        <f t="shared" ca="1" si="181"/>
        <v>162.6046511627907</v>
      </c>
      <c r="T193" s="136">
        <f t="shared" ca="1" si="185"/>
        <v>750.60465116279067</v>
      </c>
      <c r="U193" s="136">
        <f t="shared" ca="1" si="186"/>
        <v>1224000.6046511629</v>
      </c>
      <c r="V193" s="211">
        <f t="shared" ca="1" si="187"/>
        <v>235406.79669548219</v>
      </c>
      <c r="W193" s="136">
        <f t="shared" ca="1" si="182"/>
        <v>182</v>
      </c>
      <c r="X193" s="136">
        <f t="shared" ca="1" si="198"/>
        <v>162.999000999001</v>
      </c>
      <c r="Y193" s="21">
        <f t="shared" si="199"/>
        <v>1</v>
      </c>
      <c r="Z193" s="21" t="str">
        <f t="shared" si="200"/>
        <v>&lt;IE0</v>
      </c>
      <c r="AA193" s="21">
        <f t="shared" si="201"/>
        <v>1</v>
      </c>
      <c r="AB193" s="21" t="str">
        <f t="shared" si="202"/>
        <v>a - "&lt; 1990 (Eff3)"</v>
      </c>
      <c r="AC193" s="21">
        <f t="shared" si="203"/>
        <v>999999</v>
      </c>
      <c r="AD193" s="21" t="str">
        <f t="shared" si="204"/>
        <v/>
      </c>
      <c r="AE193" s="21" t="str">
        <f t="shared" si="205"/>
        <v/>
      </c>
      <c r="AF193" s="21" t="str">
        <f t="shared" si="206"/>
        <v/>
      </c>
      <c r="AG193" s="21">
        <f t="shared" si="207"/>
        <v>0</v>
      </c>
      <c r="AH193" s="21">
        <f>IF('Etape 1'!H189=St.Wert_Hacken,1,0)</f>
        <v>0</v>
      </c>
      <c r="AI193" s="21">
        <f t="shared" si="208"/>
        <v>0</v>
      </c>
      <c r="AJ193" s="21">
        <f t="shared" si="209"/>
        <v>1000999</v>
      </c>
      <c r="AK193" s="58">
        <f t="shared" si="210"/>
        <v>1100</v>
      </c>
      <c r="AL193" s="58">
        <f t="shared" si="211"/>
        <v>440</v>
      </c>
      <c r="AM193" s="21">
        <f t="shared" si="212"/>
        <v>0</v>
      </c>
      <c r="AN193" s="58">
        <f t="shared" si="213"/>
        <v>1</v>
      </c>
      <c r="AO193" s="58" t="str">
        <f t="shared" si="214"/>
        <v>114</v>
      </c>
      <c r="AP193" s="58" t="str">
        <f t="shared" si="215"/>
        <v>164</v>
      </c>
      <c r="AQ193" s="21" t="e">
        <f t="shared" si="216"/>
        <v>#NUM!</v>
      </c>
      <c r="AR193" s="21" t="e">
        <f t="shared" si="217"/>
        <v>#NUM!</v>
      </c>
      <c r="AS193" s="136" t="e">
        <f t="shared" si="188"/>
        <v>#NUM!</v>
      </c>
      <c r="AT193" s="59" t="e">
        <f t="shared" si="218"/>
        <v>#NUM!</v>
      </c>
      <c r="AU193" s="21" t="e">
        <f t="shared" si="219"/>
        <v>#NUM!</v>
      </c>
      <c r="AV193" s="58">
        <f t="shared" si="220"/>
        <v>1500</v>
      </c>
      <c r="AW193" s="58">
        <f t="shared" si="221"/>
        <v>600</v>
      </c>
      <c r="AX193" s="60">
        <f t="shared" si="222"/>
        <v>0.11</v>
      </c>
      <c r="AY193" s="212">
        <f t="shared" si="189"/>
        <v>0</v>
      </c>
      <c r="AZ193" s="59">
        <f t="shared" si="223"/>
        <v>0</v>
      </c>
      <c r="BA193" s="21" t="e">
        <f t="shared" si="224"/>
        <v>#DIV/0!</v>
      </c>
      <c r="BB193" s="58">
        <f t="shared" si="225"/>
        <v>2900</v>
      </c>
      <c r="BC193" s="58">
        <f t="shared" si="226"/>
        <v>1160</v>
      </c>
      <c r="BD193" s="60">
        <f t="shared" si="227"/>
        <v>0.15</v>
      </c>
      <c r="BE193" s="212" t="e">
        <f t="shared" si="190"/>
        <v>#NUM!</v>
      </c>
      <c r="BF193" s="59" t="e">
        <f t="shared" si="228"/>
        <v>#NUM!</v>
      </c>
      <c r="BG193" s="21" t="e">
        <f t="shared" si="229"/>
        <v>#NUM!</v>
      </c>
      <c r="BH193" s="55">
        <f t="shared" ca="1" si="183"/>
        <v>0</v>
      </c>
    </row>
    <row r="194" spans="1:60" x14ac:dyDescent="0.2">
      <c r="A194" s="61">
        <f ca="1">RANK(W194,W$12:W$311,0)+COUNTIF(W$12:W194,W194)-1</f>
        <v>118</v>
      </c>
      <c r="B194" s="55">
        <f>'Etape 1'!A190</f>
        <v>183</v>
      </c>
      <c r="C194" s="55">
        <f>'Etape 1'!B190</f>
        <v>0</v>
      </c>
      <c r="D194" s="55">
        <f>'Etape 1'!C190</f>
        <v>0</v>
      </c>
      <c r="E194" s="55">
        <f>'Etape 1'!D190</f>
        <v>0</v>
      </c>
      <c r="F194" s="55">
        <f>'Etape 1'!E190</f>
        <v>0</v>
      </c>
      <c r="G194" s="55">
        <f>'Etape 1'!F190</f>
        <v>0</v>
      </c>
      <c r="H194" s="55">
        <f>'Etape 1'!G190</f>
        <v>0</v>
      </c>
      <c r="I194" s="209">
        <v>1</v>
      </c>
      <c r="J194" s="58">
        <f t="shared" si="191"/>
        <v>0</v>
      </c>
      <c r="K194" s="21">
        <f t="shared" si="192"/>
        <v>0</v>
      </c>
      <c r="L194" s="21">
        <f t="shared" si="193"/>
        <v>0</v>
      </c>
      <c r="M194" s="21">
        <f t="shared" ca="1" si="194"/>
        <v>3</v>
      </c>
      <c r="N194" s="21">
        <f t="shared" ca="1" si="195"/>
        <v>3</v>
      </c>
      <c r="O194" s="21">
        <f t="shared" ca="1" si="196"/>
        <v>0</v>
      </c>
      <c r="P194" s="262" t="str">
        <f>IF('Etape 1'!J190=999,"",IF('Etape 1'!J190=9999,txt_Schritt1.Angaben.fehlen,VLOOKUP(N194,Matrix_1.2.3.Test.Punkte.ID.Beurteilung,4,1)))</f>
        <v/>
      </c>
      <c r="Q194" s="21">
        <f t="shared" ca="1" si="197"/>
        <v>0</v>
      </c>
      <c r="R194" s="136">
        <f t="shared" si="184"/>
        <v>183</v>
      </c>
      <c r="S194" s="136">
        <f t="shared" ca="1" si="181"/>
        <v>162.60797342192691</v>
      </c>
      <c r="T194" s="136">
        <f t="shared" ca="1" si="185"/>
        <v>750.60797342192689</v>
      </c>
      <c r="U194" s="136">
        <f t="shared" ca="1" si="186"/>
        <v>1224000.6079734219</v>
      </c>
      <c r="V194" s="211">
        <f t="shared" ca="1" si="187"/>
        <v>235406.80001774133</v>
      </c>
      <c r="W194" s="136">
        <f t="shared" ca="1" si="182"/>
        <v>183</v>
      </c>
      <c r="X194" s="136">
        <f t="shared" ca="1" si="198"/>
        <v>162.999000999001</v>
      </c>
      <c r="Y194" s="21">
        <f t="shared" si="199"/>
        <v>1</v>
      </c>
      <c r="Z194" s="21" t="str">
        <f t="shared" si="200"/>
        <v>&lt;IE0</v>
      </c>
      <c r="AA194" s="21">
        <f t="shared" si="201"/>
        <v>1</v>
      </c>
      <c r="AB194" s="21" t="str">
        <f t="shared" si="202"/>
        <v>a - "&lt; 1990 (Eff3)"</v>
      </c>
      <c r="AC194" s="21">
        <f t="shared" si="203"/>
        <v>999999</v>
      </c>
      <c r="AD194" s="21" t="str">
        <f t="shared" si="204"/>
        <v/>
      </c>
      <c r="AE194" s="21" t="str">
        <f t="shared" si="205"/>
        <v/>
      </c>
      <c r="AF194" s="21" t="str">
        <f t="shared" si="206"/>
        <v/>
      </c>
      <c r="AG194" s="21">
        <f t="shared" si="207"/>
        <v>0</v>
      </c>
      <c r="AH194" s="21">
        <f>IF('Etape 1'!H190=St.Wert_Hacken,1,0)</f>
        <v>0</v>
      </c>
      <c r="AI194" s="21">
        <f t="shared" si="208"/>
        <v>0</v>
      </c>
      <c r="AJ194" s="21">
        <f t="shared" si="209"/>
        <v>1000999</v>
      </c>
      <c r="AK194" s="58">
        <f t="shared" si="210"/>
        <v>1100</v>
      </c>
      <c r="AL194" s="58">
        <f t="shared" si="211"/>
        <v>440</v>
      </c>
      <c r="AM194" s="21">
        <f t="shared" si="212"/>
        <v>0</v>
      </c>
      <c r="AN194" s="58">
        <f t="shared" si="213"/>
        <v>1</v>
      </c>
      <c r="AO194" s="58" t="str">
        <f t="shared" si="214"/>
        <v>114</v>
      </c>
      <c r="AP194" s="58" t="str">
        <f t="shared" si="215"/>
        <v>164</v>
      </c>
      <c r="AQ194" s="21" t="e">
        <f t="shared" si="216"/>
        <v>#NUM!</v>
      </c>
      <c r="AR194" s="21" t="e">
        <f t="shared" si="217"/>
        <v>#NUM!</v>
      </c>
      <c r="AS194" s="136" t="e">
        <f t="shared" si="188"/>
        <v>#NUM!</v>
      </c>
      <c r="AT194" s="59" t="e">
        <f t="shared" si="218"/>
        <v>#NUM!</v>
      </c>
      <c r="AU194" s="21" t="e">
        <f t="shared" si="219"/>
        <v>#NUM!</v>
      </c>
      <c r="AV194" s="58">
        <f t="shared" si="220"/>
        <v>1500</v>
      </c>
      <c r="AW194" s="58">
        <f t="shared" si="221"/>
        <v>600</v>
      </c>
      <c r="AX194" s="60">
        <f t="shared" si="222"/>
        <v>0.11</v>
      </c>
      <c r="AY194" s="212">
        <f t="shared" si="189"/>
        <v>0</v>
      </c>
      <c r="AZ194" s="59">
        <f t="shared" si="223"/>
        <v>0</v>
      </c>
      <c r="BA194" s="21" t="e">
        <f t="shared" si="224"/>
        <v>#DIV/0!</v>
      </c>
      <c r="BB194" s="58">
        <f t="shared" si="225"/>
        <v>2900</v>
      </c>
      <c r="BC194" s="58">
        <f t="shared" si="226"/>
        <v>1160</v>
      </c>
      <c r="BD194" s="60">
        <f t="shared" si="227"/>
        <v>0.15</v>
      </c>
      <c r="BE194" s="212" t="e">
        <f t="shared" si="190"/>
        <v>#NUM!</v>
      </c>
      <c r="BF194" s="59" t="e">
        <f t="shared" si="228"/>
        <v>#NUM!</v>
      </c>
      <c r="BG194" s="21" t="e">
        <f t="shared" si="229"/>
        <v>#NUM!</v>
      </c>
      <c r="BH194" s="55">
        <f t="shared" ca="1" si="183"/>
        <v>0</v>
      </c>
    </row>
    <row r="195" spans="1:60" x14ac:dyDescent="0.2">
      <c r="A195" s="61">
        <f ca="1">RANK(W195,W$12:W$311,0)+COUNTIF(W$12:W195,W195)-1</f>
        <v>117</v>
      </c>
      <c r="B195" s="55">
        <f>'Etape 1'!A191</f>
        <v>184</v>
      </c>
      <c r="C195" s="55">
        <f>'Etape 1'!B191</f>
        <v>0</v>
      </c>
      <c r="D195" s="55">
        <f>'Etape 1'!C191</f>
        <v>0</v>
      </c>
      <c r="E195" s="55">
        <f>'Etape 1'!D191</f>
        <v>0</v>
      </c>
      <c r="F195" s="55">
        <f>'Etape 1'!E191</f>
        <v>0</v>
      </c>
      <c r="G195" s="55">
        <f>'Etape 1'!F191</f>
        <v>0</v>
      </c>
      <c r="H195" s="55">
        <f>'Etape 1'!G191</f>
        <v>0</v>
      </c>
      <c r="I195" s="209">
        <v>1</v>
      </c>
      <c r="J195" s="58">
        <f t="shared" si="191"/>
        <v>0</v>
      </c>
      <c r="K195" s="21">
        <f t="shared" si="192"/>
        <v>0</v>
      </c>
      <c r="L195" s="21">
        <f t="shared" si="193"/>
        <v>0</v>
      </c>
      <c r="M195" s="21">
        <f t="shared" ca="1" si="194"/>
        <v>3</v>
      </c>
      <c r="N195" s="21">
        <f t="shared" ca="1" si="195"/>
        <v>3</v>
      </c>
      <c r="O195" s="21">
        <f t="shared" ca="1" si="196"/>
        <v>0</v>
      </c>
      <c r="P195" s="262" t="str">
        <f>IF('Etape 1'!J191=999,"",IF('Etape 1'!J191=9999,txt_Schritt1.Angaben.fehlen,VLOOKUP(N195,Matrix_1.2.3.Test.Punkte.ID.Beurteilung,4,1)))</f>
        <v/>
      </c>
      <c r="Q195" s="21">
        <f t="shared" ca="1" si="197"/>
        <v>0</v>
      </c>
      <c r="R195" s="136">
        <f t="shared" si="184"/>
        <v>184</v>
      </c>
      <c r="S195" s="136">
        <f t="shared" ca="1" si="181"/>
        <v>162.61129568106313</v>
      </c>
      <c r="T195" s="136">
        <f t="shared" ca="1" si="185"/>
        <v>750.6112956810631</v>
      </c>
      <c r="U195" s="136">
        <f t="shared" ca="1" si="186"/>
        <v>1224000.611295681</v>
      </c>
      <c r="V195" s="211">
        <f t="shared" ca="1" si="187"/>
        <v>235406.80334000048</v>
      </c>
      <c r="W195" s="136">
        <f t="shared" ca="1" si="182"/>
        <v>184</v>
      </c>
      <c r="X195" s="136">
        <f t="shared" ca="1" si="198"/>
        <v>162.999000999001</v>
      </c>
      <c r="Y195" s="21">
        <f t="shared" si="199"/>
        <v>1</v>
      </c>
      <c r="Z195" s="21" t="str">
        <f t="shared" si="200"/>
        <v>&lt;IE0</v>
      </c>
      <c r="AA195" s="21">
        <f t="shared" si="201"/>
        <v>1</v>
      </c>
      <c r="AB195" s="21" t="str">
        <f t="shared" si="202"/>
        <v>a - "&lt; 1990 (Eff3)"</v>
      </c>
      <c r="AC195" s="21">
        <f t="shared" si="203"/>
        <v>999999</v>
      </c>
      <c r="AD195" s="21" t="str">
        <f t="shared" si="204"/>
        <v/>
      </c>
      <c r="AE195" s="21" t="str">
        <f t="shared" si="205"/>
        <v/>
      </c>
      <c r="AF195" s="21" t="str">
        <f t="shared" si="206"/>
        <v/>
      </c>
      <c r="AG195" s="21">
        <f t="shared" si="207"/>
        <v>0</v>
      </c>
      <c r="AH195" s="21">
        <f>IF('Etape 1'!H191=St.Wert_Hacken,1,0)</f>
        <v>0</v>
      </c>
      <c r="AI195" s="21">
        <f t="shared" si="208"/>
        <v>0</v>
      </c>
      <c r="AJ195" s="21">
        <f t="shared" si="209"/>
        <v>1000999</v>
      </c>
      <c r="AK195" s="58">
        <f t="shared" si="210"/>
        <v>1100</v>
      </c>
      <c r="AL195" s="58">
        <f t="shared" si="211"/>
        <v>440</v>
      </c>
      <c r="AM195" s="21">
        <f t="shared" si="212"/>
        <v>0</v>
      </c>
      <c r="AN195" s="58">
        <f t="shared" si="213"/>
        <v>1</v>
      </c>
      <c r="AO195" s="58" t="str">
        <f t="shared" si="214"/>
        <v>114</v>
      </c>
      <c r="AP195" s="58" t="str">
        <f t="shared" si="215"/>
        <v>164</v>
      </c>
      <c r="AQ195" s="21" t="e">
        <f t="shared" si="216"/>
        <v>#NUM!</v>
      </c>
      <c r="AR195" s="21" t="e">
        <f t="shared" si="217"/>
        <v>#NUM!</v>
      </c>
      <c r="AS195" s="136" t="e">
        <f t="shared" si="188"/>
        <v>#NUM!</v>
      </c>
      <c r="AT195" s="59" t="e">
        <f t="shared" si="218"/>
        <v>#NUM!</v>
      </c>
      <c r="AU195" s="21" t="e">
        <f t="shared" si="219"/>
        <v>#NUM!</v>
      </c>
      <c r="AV195" s="58">
        <f t="shared" si="220"/>
        <v>1500</v>
      </c>
      <c r="AW195" s="58">
        <f t="shared" si="221"/>
        <v>600</v>
      </c>
      <c r="AX195" s="60">
        <f t="shared" si="222"/>
        <v>0.11</v>
      </c>
      <c r="AY195" s="212">
        <f t="shared" si="189"/>
        <v>0</v>
      </c>
      <c r="AZ195" s="59">
        <f t="shared" si="223"/>
        <v>0</v>
      </c>
      <c r="BA195" s="21" t="e">
        <f t="shared" si="224"/>
        <v>#DIV/0!</v>
      </c>
      <c r="BB195" s="58">
        <f t="shared" si="225"/>
        <v>2900</v>
      </c>
      <c r="BC195" s="58">
        <f t="shared" si="226"/>
        <v>1160</v>
      </c>
      <c r="BD195" s="60">
        <f t="shared" si="227"/>
        <v>0.15</v>
      </c>
      <c r="BE195" s="212" t="e">
        <f t="shared" si="190"/>
        <v>#NUM!</v>
      </c>
      <c r="BF195" s="59" t="e">
        <f t="shared" si="228"/>
        <v>#NUM!</v>
      </c>
      <c r="BG195" s="21" t="e">
        <f t="shared" si="229"/>
        <v>#NUM!</v>
      </c>
      <c r="BH195" s="55">
        <f t="shared" ca="1" si="183"/>
        <v>0</v>
      </c>
    </row>
    <row r="196" spans="1:60" x14ac:dyDescent="0.2">
      <c r="A196" s="61">
        <f ca="1">RANK(W196,W$12:W$311,0)+COUNTIF(W$12:W196,W196)-1</f>
        <v>116</v>
      </c>
      <c r="B196" s="55">
        <f>'Etape 1'!A192</f>
        <v>185</v>
      </c>
      <c r="C196" s="55">
        <f>'Etape 1'!B192</f>
        <v>0</v>
      </c>
      <c r="D196" s="55">
        <f>'Etape 1'!C192</f>
        <v>0</v>
      </c>
      <c r="E196" s="55">
        <f>'Etape 1'!D192</f>
        <v>0</v>
      </c>
      <c r="F196" s="55">
        <f>'Etape 1'!E192</f>
        <v>0</v>
      </c>
      <c r="G196" s="55">
        <f>'Etape 1'!F192</f>
        <v>0</v>
      </c>
      <c r="H196" s="55">
        <f>'Etape 1'!G192</f>
        <v>0</v>
      </c>
      <c r="I196" s="209">
        <v>1</v>
      </c>
      <c r="J196" s="58">
        <f t="shared" si="191"/>
        <v>0</v>
      </c>
      <c r="K196" s="21">
        <f t="shared" si="192"/>
        <v>0</v>
      </c>
      <c r="L196" s="21">
        <f t="shared" si="193"/>
        <v>0</v>
      </c>
      <c r="M196" s="21">
        <f t="shared" ca="1" si="194"/>
        <v>3</v>
      </c>
      <c r="N196" s="21">
        <f t="shared" ca="1" si="195"/>
        <v>3</v>
      </c>
      <c r="O196" s="21">
        <f t="shared" ca="1" si="196"/>
        <v>0</v>
      </c>
      <c r="P196" s="262" t="str">
        <f>IF('Etape 1'!J192=999,"",IF('Etape 1'!J192=9999,txt_Schritt1.Angaben.fehlen,VLOOKUP(N196,Matrix_1.2.3.Test.Punkte.ID.Beurteilung,4,1)))</f>
        <v/>
      </c>
      <c r="Q196" s="21">
        <f t="shared" ca="1" si="197"/>
        <v>0</v>
      </c>
      <c r="R196" s="136">
        <f t="shared" si="184"/>
        <v>185</v>
      </c>
      <c r="S196" s="136">
        <f t="shared" ca="1" si="181"/>
        <v>162.61461794019934</v>
      </c>
      <c r="T196" s="136">
        <f t="shared" ca="1" si="185"/>
        <v>750.61461794019931</v>
      </c>
      <c r="U196" s="136">
        <f t="shared" ca="1" si="186"/>
        <v>1224000.6146179403</v>
      </c>
      <c r="V196" s="211">
        <f t="shared" ca="1" si="187"/>
        <v>235406.80666225962</v>
      </c>
      <c r="W196" s="136">
        <f t="shared" ca="1" si="182"/>
        <v>185</v>
      </c>
      <c r="X196" s="136">
        <f t="shared" ca="1" si="198"/>
        <v>162.999000999001</v>
      </c>
      <c r="Y196" s="21">
        <f t="shared" si="199"/>
        <v>1</v>
      </c>
      <c r="Z196" s="21" t="str">
        <f t="shared" si="200"/>
        <v>&lt;IE0</v>
      </c>
      <c r="AA196" s="21">
        <f t="shared" si="201"/>
        <v>1</v>
      </c>
      <c r="AB196" s="21" t="str">
        <f t="shared" si="202"/>
        <v>a - "&lt; 1990 (Eff3)"</v>
      </c>
      <c r="AC196" s="21">
        <f t="shared" si="203"/>
        <v>999999</v>
      </c>
      <c r="AD196" s="21" t="str">
        <f t="shared" si="204"/>
        <v/>
      </c>
      <c r="AE196" s="21" t="str">
        <f t="shared" si="205"/>
        <v/>
      </c>
      <c r="AF196" s="21" t="str">
        <f t="shared" si="206"/>
        <v/>
      </c>
      <c r="AG196" s="21">
        <f t="shared" si="207"/>
        <v>0</v>
      </c>
      <c r="AH196" s="21">
        <f>IF('Etape 1'!H192=St.Wert_Hacken,1,0)</f>
        <v>0</v>
      </c>
      <c r="AI196" s="21">
        <f t="shared" si="208"/>
        <v>0</v>
      </c>
      <c r="AJ196" s="21">
        <f t="shared" si="209"/>
        <v>1000999</v>
      </c>
      <c r="AK196" s="58">
        <f t="shared" si="210"/>
        <v>1100</v>
      </c>
      <c r="AL196" s="58">
        <f t="shared" si="211"/>
        <v>440</v>
      </c>
      <c r="AM196" s="21">
        <f t="shared" si="212"/>
        <v>0</v>
      </c>
      <c r="AN196" s="58">
        <f t="shared" si="213"/>
        <v>1</v>
      </c>
      <c r="AO196" s="58" t="str">
        <f t="shared" si="214"/>
        <v>114</v>
      </c>
      <c r="AP196" s="58" t="str">
        <f t="shared" si="215"/>
        <v>164</v>
      </c>
      <c r="AQ196" s="21" t="e">
        <f t="shared" si="216"/>
        <v>#NUM!</v>
      </c>
      <c r="AR196" s="21" t="e">
        <f t="shared" si="217"/>
        <v>#NUM!</v>
      </c>
      <c r="AS196" s="136" t="e">
        <f t="shared" si="188"/>
        <v>#NUM!</v>
      </c>
      <c r="AT196" s="59" t="e">
        <f t="shared" si="218"/>
        <v>#NUM!</v>
      </c>
      <c r="AU196" s="21" t="e">
        <f t="shared" si="219"/>
        <v>#NUM!</v>
      </c>
      <c r="AV196" s="58">
        <f t="shared" si="220"/>
        <v>1500</v>
      </c>
      <c r="AW196" s="58">
        <f t="shared" si="221"/>
        <v>600</v>
      </c>
      <c r="AX196" s="60">
        <f t="shared" si="222"/>
        <v>0.11</v>
      </c>
      <c r="AY196" s="212">
        <f t="shared" si="189"/>
        <v>0</v>
      </c>
      <c r="AZ196" s="59">
        <f t="shared" si="223"/>
        <v>0</v>
      </c>
      <c r="BA196" s="21" t="e">
        <f t="shared" si="224"/>
        <v>#DIV/0!</v>
      </c>
      <c r="BB196" s="58">
        <f t="shared" si="225"/>
        <v>2900</v>
      </c>
      <c r="BC196" s="58">
        <f t="shared" si="226"/>
        <v>1160</v>
      </c>
      <c r="BD196" s="60">
        <f t="shared" si="227"/>
        <v>0.15</v>
      </c>
      <c r="BE196" s="212" t="e">
        <f t="shared" si="190"/>
        <v>#NUM!</v>
      </c>
      <c r="BF196" s="59" t="e">
        <f t="shared" si="228"/>
        <v>#NUM!</v>
      </c>
      <c r="BG196" s="21" t="e">
        <f t="shared" si="229"/>
        <v>#NUM!</v>
      </c>
      <c r="BH196" s="55">
        <f t="shared" ca="1" si="183"/>
        <v>0</v>
      </c>
    </row>
    <row r="197" spans="1:60" x14ac:dyDescent="0.2">
      <c r="A197" s="61">
        <f ca="1">RANK(W197,W$12:W$311,0)+COUNTIF(W$12:W197,W197)-1</f>
        <v>115</v>
      </c>
      <c r="B197" s="55">
        <f>'Etape 1'!A193</f>
        <v>186</v>
      </c>
      <c r="C197" s="55">
        <f>'Etape 1'!B193</f>
        <v>0</v>
      </c>
      <c r="D197" s="55">
        <f>'Etape 1'!C193</f>
        <v>0</v>
      </c>
      <c r="E197" s="55">
        <f>'Etape 1'!D193</f>
        <v>0</v>
      </c>
      <c r="F197" s="55">
        <f>'Etape 1'!E193</f>
        <v>0</v>
      </c>
      <c r="G197" s="55">
        <f>'Etape 1'!F193</f>
        <v>0</v>
      </c>
      <c r="H197" s="55">
        <f>'Etape 1'!G193</f>
        <v>0</v>
      </c>
      <c r="I197" s="209">
        <v>1</v>
      </c>
      <c r="J197" s="58">
        <f t="shared" si="191"/>
        <v>0</v>
      </c>
      <c r="K197" s="21">
        <f t="shared" si="192"/>
        <v>0</v>
      </c>
      <c r="L197" s="21">
        <f t="shared" si="193"/>
        <v>0</v>
      </c>
      <c r="M197" s="21">
        <f t="shared" ca="1" si="194"/>
        <v>3</v>
      </c>
      <c r="N197" s="21">
        <f t="shared" ca="1" si="195"/>
        <v>3</v>
      </c>
      <c r="O197" s="21">
        <f t="shared" ca="1" si="196"/>
        <v>0</v>
      </c>
      <c r="P197" s="262" t="str">
        <f>IF('Etape 1'!J193=999,"",IF('Etape 1'!J193=9999,txt_Schritt1.Angaben.fehlen,VLOOKUP(N197,Matrix_1.2.3.Test.Punkte.ID.Beurteilung,4,1)))</f>
        <v/>
      </c>
      <c r="Q197" s="21">
        <f t="shared" ca="1" si="197"/>
        <v>0</v>
      </c>
      <c r="R197" s="136">
        <f t="shared" si="184"/>
        <v>186</v>
      </c>
      <c r="S197" s="136">
        <f t="shared" ca="1" si="181"/>
        <v>162.61794019933555</v>
      </c>
      <c r="T197" s="136">
        <f t="shared" ca="1" si="185"/>
        <v>750.61794019933552</v>
      </c>
      <c r="U197" s="136">
        <f t="shared" ca="1" si="186"/>
        <v>1224000.6179401993</v>
      </c>
      <c r="V197" s="211">
        <f t="shared" ca="1" si="187"/>
        <v>235406.80998451874</v>
      </c>
      <c r="W197" s="136">
        <f t="shared" ca="1" si="182"/>
        <v>186</v>
      </c>
      <c r="X197" s="136">
        <f t="shared" ca="1" si="198"/>
        <v>162.999000999001</v>
      </c>
      <c r="Y197" s="21">
        <f t="shared" si="199"/>
        <v>1</v>
      </c>
      <c r="Z197" s="21" t="str">
        <f t="shared" si="200"/>
        <v>&lt;IE0</v>
      </c>
      <c r="AA197" s="21">
        <f t="shared" si="201"/>
        <v>1</v>
      </c>
      <c r="AB197" s="21" t="str">
        <f t="shared" si="202"/>
        <v>a - "&lt; 1990 (Eff3)"</v>
      </c>
      <c r="AC197" s="21">
        <f t="shared" si="203"/>
        <v>999999</v>
      </c>
      <c r="AD197" s="21" t="str">
        <f t="shared" si="204"/>
        <v/>
      </c>
      <c r="AE197" s="21" t="str">
        <f t="shared" si="205"/>
        <v/>
      </c>
      <c r="AF197" s="21" t="str">
        <f t="shared" si="206"/>
        <v/>
      </c>
      <c r="AG197" s="21">
        <f t="shared" si="207"/>
        <v>0</v>
      </c>
      <c r="AH197" s="21">
        <f>IF('Etape 1'!H193=St.Wert_Hacken,1,0)</f>
        <v>0</v>
      </c>
      <c r="AI197" s="21">
        <f t="shared" si="208"/>
        <v>0</v>
      </c>
      <c r="AJ197" s="21">
        <f t="shared" si="209"/>
        <v>1000999</v>
      </c>
      <c r="AK197" s="58">
        <f t="shared" si="210"/>
        <v>1100</v>
      </c>
      <c r="AL197" s="58">
        <f t="shared" si="211"/>
        <v>440</v>
      </c>
      <c r="AM197" s="21">
        <f t="shared" si="212"/>
        <v>0</v>
      </c>
      <c r="AN197" s="58">
        <f t="shared" si="213"/>
        <v>1</v>
      </c>
      <c r="AO197" s="58" t="str">
        <f t="shared" si="214"/>
        <v>114</v>
      </c>
      <c r="AP197" s="58" t="str">
        <f t="shared" si="215"/>
        <v>164</v>
      </c>
      <c r="AQ197" s="21" t="e">
        <f t="shared" si="216"/>
        <v>#NUM!</v>
      </c>
      <c r="AR197" s="21" t="e">
        <f t="shared" si="217"/>
        <v>#NUM!</v>
      </c>
      <c r="AS197" s="136" t="e">
        <f t="shared" si="188"/>
        <v>#NUM!</v>
      </c>
      <c r="AT197" s="59" t="e">
        <f t="shared" si="218"/>
        <v>#NUM!</v>
      </c>
      <c r="AU197" s="21" t="e">
        <f t="shared" si="219"/>
        <v>#NUM!</v>
      </c>
      <c r="AV197" s="58">
        <f t="shared" si="220"/>
        <v>1500</v>
      </c>
      <c r="AW197" s="58">
        <f t="shared" si="221"/>
        <v>600</v>
      </c>
      <c r="AX197" s="60">
        <f t="shared" si="222"/>
        <v>0.11</v>
      </c>
      <c r="AY197" s="212">
        <f t="shared" si="189"/>
        <v>0</v>
      </c>
      <c r="AZ197" s="59">
        <f t="shared" si="223"/>
        <v>0</v>
      </c>
      <c r="BA197" s="21" t="e">
        <f t="shared" si="224"/>
        <v>#DIV/0!</v>
      </c>
      <c r="BB197" s="58">
        <f t="shared" si="225"/>
        <v>2900</v>
      </c>
      <c r="BC197" s="58">
        <f t="shared" si="226"/>
        <v>1160</v>
      </c>
      <c r="BD197" s="60">
        <f t="shared" si="227"/>
        <v>0.15</v>
      </c>
      <c r="BE197" s="212" t="e">
        <f t="shared" si="190"/>
        <v>#NUM!</v>
      </c>
      <c r="BF197" s="59" t="e">
        <f t="shared" si="228"/>
        <v>#NUM!</v>
      </c>
      <c r="BG197" s="21" t="e">
        <f t="shared" si="229"/>
        <v>#NUM!</v>
      </c>
      <c r="BH197" s="55">
        <f t="shared" ca="1" si="183"/>
        <v>0</v>
      </c>
    </row>
    <row r="198" spans="1:60" x14ac:dyDescent="0.2">
      <c r="A198" s="61">
        <f ca="1">RANK(W198,W$12:W$311,0)+COUNTIF(W$12:W198,W198)-1</f>
        <v>114</v>
      </c>
      <c r="B198" s="55">
        <f>'Etape 1'!A194</f>
        <v>187</v>
      </c>
      <c r="C198" s="55">
        <f>'Etape 1'!B194</f>
        <v>0</v>
      </c>
      <c r="D198" s="55">
        <f>'Etape 1'!C194</f>
        <v>0</v>
      </c>
      <c r="E198" s="55">
        <f>'Etape 1'!D194</f>
        <v>0</v>
      </c>
      <c r="F198" s="55">
        <f>'Etape 1'!E194</f>
        <v>0</v>
      </c>
      <c r="G198" s="55">
        <f>'Etape 1'!F194</f>
        <v>0</v>
      </c>
      <c r="H198" s="55">
        <f>'Etape 1'!G194</f>
        <v>0</v>
      </c>
      <c r="I198" s="209">
        <v>1</v>
      </c>
      <c r="J198" s="58">
        <f t="shared" si="191"/>
        <v>0</v>
      </c>
      <c r="K198" s="21">
        <f t="shared" si="192"/>
        <v>0</v>
      </c>
      <c r="L198" s="21">
        <f t="shared" si="193"/>
        <v>0</v>
      </c>
      <c r="M198" s="21">
        <f t="shared" ca="1" si="194"/>
        <v>3</v>
      </c>
      <c r="N198" s="21">
        <f t="shared" ca="1" si="195"/>
        <v>3</v>
      </c>
      <c r="O198" s="21">
        <f t="shared" ca="1" si="196"/>
        <v>0</v>
      </c>
      <c r="P198" s="262" t="str">
        <f>IF('Etape 1'!J194=999,"",IF('Etape 1'!J194=9999,txt_Schritt1.Angaben.fehlen,VLOOKUP(N198,Matrix_1.2.3.Test.Punkte.ID.Beurteilung,4,1)))</f>
        <v/>
      </c>
      <c r="Q198" s="21">
        <f t="shared" ca="1" si="197"/>
        <v>0</v>
      </c>
      <c r="R198" s="136">
        <f t="shared" si="184"/>
        <v>187</v>
      </c>
      <c r="S198" s="136">
        <f t="shared" ca="1" si="181"/>
        <v>162.62126245847176</v>
      </c>
      <c r="T198" s="136">
        <f t="shared" ca="1" si="185"/>
        <v>750.62126245847173</v>
      </c>
      <c r="U198" s="136">
        <f t="shared" ca="1" si="186"/>
        <v>1224000.6212624584</v>
      </c>
      <c r="V198" s="211">
        <f t="shared" ca="1" si="187"/>
        <v>235406.81330677788</v>
      </c>
      <c r="W198" s="136">
        <f t="shared" ca="1" si="182"/>
        <v>187</v>
      </c>
      <c r="X198" s="136">
        <f t="shared" ca="1" si="198"/>
        <v>162.999000999001</v>
      </c>
      <c r="Y198" s="21">
        <f t="shared" si="199"/>
        <v>1</v>
      </c>
      <c r="Z198" s="21" t="str">
        <f t="shared" si="200"/>
        <v>&lt;IE0</v>
      </c>
      <c r="AA198" s="21">
        <f t="shared" si="201"/>
        <v>1</v>
      </c>
      <c r="AB198" s="21" t="str">
        <f t="shared" si="202"/>
        <v>a - "&lt; 1990 (Eff3)"</v>
      </c>
      <c r="AC198" s="21">
        <f t="shared" si="203"/>
        <v>999999</v>
      </c>
      <c r="AD198" s="21" t="str">
        <f t="shared" si="204"/>
        <v/>
      </c>
      <c r="AE198" s="21" t="str">
        <f t="shared" si="205"/>
        <v/>
      </c>
      <c r="AF198" s="21" t="str">
        <f t="shared" si="206"/>
        <v/>
      </c>
      <c r="AG198" s="21">
        <f t="shared" si="207"/>
        <v>0</v>
      </c>
      <c r="AH198" s="21">
        <f>IF('Etape 1'!H194=St.Wert_Hacken,1,0)</f>
        <v>0</v>
      </c>
      <c r="AI198" s="21">
        <f t="shared" si="208"/>
        <v>0</v>
      </c>
      <c r="AJ198" s="21">
        <f t="shared" si="209"/>
        <v>1000999</v>
      </c>
      <c r="AK198" s="58">
        <f t="shared" si="210"/>
        <v>1100</v>
      </c>
      <c r="AL198" s="58">
        <f t="shared" si="211"/>
        <v>440</v>
      </c>
      <c r="AM198" s="21">
        <f t="shared" si="212"/>
        <v>0</v>
      </c>
      <c r="AN198" s="58">
        <f t="shared" si="213"/>
        <v>1</v>
      </c>
      <c r="AO198" s="58" t="str">
        <f t="shared" si="214"/>
        <v>114</v>
      </c>
      <c r="AP198" s="58" t="str">
        <f t="shared" si="215"/>
        <v>164</v>
      </c>
      <c r="AQ198" s="21" t="e">
        <f t="shared" si="216"/>
        <v>#NUM!</v>
      </c>
      <c r="AR198" s="21" t="e">
        <f t="shared" si="217"/>
        <v>#NUM!</v>
      </c>
      <c r="AS198" s="136" t="e">
        <f t="shared" si="188"/>
        <v>#NUM!</v>
      </c>
      <c r="AT198" s="59" t="e">
        <f t="shared" si="218"/>
        <v>#NUM!</v>
      </c>
      <c r="AU198" s="21" t="e">
        <f t="shared" si="219"/>
        <v>#NUM!</v>
      </c>
      <c r="AV198" s="58">
        <f t="shared" si="220"/>
        <v>1500</v>
      </c>
      <c r="AW198" s="58">
        <f t="shared" si="221"/>
        <v>600</v>
      </c>
      <c r="AX198" s="60">
        <f t="shared" si="222"/>
        <v>0.11</v>
      </c>
      <c r="AY198" s="212">
        <f t="shared" si="189"/>
        <v>0</v>
      </c>
      <c r="AZ198" s="59">
        <f t="shared" si="223"/>
        <v>0</v>
      </c>
      <c r="BA198" s="21" t="e">
        <f t="shared" si="224"/>
        <v>#DIV/0!</v>
      </c>
      <c r="BB198" s="58">
        <f t="shared" si="225"/>
        <v>2900</v>
      </c>
      <c r="BC198" s="58">
        <f t="shared" si="226"/>
        <v>1160</v>
      </c>
      <c r="BD198" s="60">
        <f t="shared" si="227"/>
        <v>0.15</v>
      </c>
      <c r="BE198" s="212" t="e">
        <f t="shared" si="190"/>
        <v>#NUM!</v>
      </c>
      <c r="BF198" s="59" t="e">
        <f t="shared" si="228"/>
        <v>#NUM!</v>
      </c>
      <c r="BG198" s="21" t="e">
        <f t="shared" si="229"/>
        <v>#NUM!</v>
      </c>
      <c r="BH198" s="55">
        <f t="shared" ca="1" si="183"/>
        <v>0</v>
      </c>
    </row>
    <row r="199" spans="1:60" x14ac:dyDescent="0.2">
      <c r="A199" s="61">
        <f ca="1">RANK(W199,W$12:W$311,0)+COUNTIF(W$12:W199,W199)-1</f>
        <v>113</v>
      </c>
      <c r="B199" s="55">
        <f>'Etape 1'!A195</f>
        <v>188</v>
      </c>
      <c r="C199" s="55">
        <f>'Etape 1'!B195</f>
        <v>0</v>
      </c>
      <c r="D199" s="55">
        <f>'Etape 1'!C195</f>
        <v>0</v>
      </c>
      <c r="E199" s="55">
        <f>'Etape 1'!D195</f>
        <v>0</v>
      </c>
      <c r="F199" s="55">
        <f>'Etape 1'!E195</f>
        <v>0</v>
      </c>
      <c r="G199" s="55">
        <f>'Etape 1'!F195</f>
        <v>0</v>
      </c>
      <c r="H199" s="55">
        <f>'Etape 1'!G195</f>
        <v>0</v>
      </c>
      <c r="I199" s="209">
        <v>1</v>
      </c>
      <c r="J199" s="58">
        <f t="shared" si="191"/>
        <v>0</v>
      </c>
      <c r="K199" s="21">
        <f t="shared" si="192"/>
        <v>0</v>
      </c>
      <c r="L199" s="21">
        <f t="shared" si="193"/>
        <v>0</v>
      </c>
      <c r="M199" s="21">
        <f t="shared" ca="1" si="194"/>
        <v>3</v>
      </c>
      <c r="N199" s="21">
        <f t="shared" ca="1" si="195"/>
        <v>3</v>
      </c>
      <c r="O199" s="21">
        <f t="shared" ca="1" si="196"/>
        <v>0</v>
      </c>
      <c r="P199" s="262" t="str">
        <f>IF('Etape 1'!J195=999,"",IF('Etape 1'!J195=9999,txt_Schritt1.Angaben.fehlen,VLOOKUP(N199,Matrix_1.2.3.Test.Punkte.ID.Beurteilung,4,1)))</f>
        <v/>
      </c>
      <c r="Q199" s="21">
        <f t="shared" ca="1" si="197"/>
        <v>0</v>
      </c>
      <c r="R199" s="136">
        <f t="shared" si="184"/>
        <v>188</v>
      </c>
      <c r="S199" s="136">
        <f t="shared" ca="1" si="181"/>
        <v>162.62458471760797</v>
      </c>
      <c r="T199" s="136">
        <f t="shared" ca="1" si="185"/>
        <v>750.62458471760795</v>
      </c>
      <c r="U199" s="136">
        <f t="shared" ca="1" si="186"/>
        <v>1224000.6245847177</v>
      </c>
      <c r="V199" s="211">
        <f t="shared" ca="1" si="187"/>
        <v>235406.81662903703</v>
      </c>
      <c r="W199" s="136">
        <f t="shared" ca="1" si="182"/>
        <v>188</v>
      </c>
      <c r="X199" s="136">
        <f t="shared" ca="1" si="198"/>
        <v>162.999000999001</v>
      </c>
      <c r="Y199" s="21">
        <f t="shared" si="199"/>
        <v>1</v>
      </c>
      <c r="Z199" s="21" t="str">
        <f t="shared" si="200"/>
        <v>&lt;IE0</v>
      </c>
      <c r="AA199" s="21">
        <f t="shared" si="201"/>
        <v>1</v>
      </c>
      <c r="AB199" s="21" t="str">
        <f t="shared" si="202"/>
        <v>a - "&lt; 1990 (Eff3)"</v>
      </c>
      <c r="AC199" s="21">
        <f t="shared" si="203"/>
        <v>999999</v>
      </c>
      <c r="AD199" s="21" t="str">
        <f t="shared" si="204"/>
        <v/>
      </c>
      <c r="AE199" s="21" t="str">
        <f t="shared" si="205"/>
        <v/>
      </c>
      <c r="AF199" s="21" t="str">
        <f t="shared" si="206"/>
        <v/>
      </c>
      <c r="AG199" s="21">
        <f t="shared" si="207"/>
        <v>0</v>
      </c>
      <c r="AH199" s="21">
        <f>IF('Etape 1'!H195=St.Wert_Hacken,1,0)</f>
        <v>0</v>
      </c>
      <c r="AI199" s="21">
        <f t="shared" si="208"/>
        <v>0</v>
      </c>
      <c r="AJ199" s="21">
        <f t="shared" si="209"/>
        <v>1000999</v>
      </c>
      <c r="AK199" s="58">
        <f t="shared" si="210"/>
        <v>1100</v>
      </c>
      <c r="AL199" s="58">
        <f t="shared" si="211"/>
        <v>440</v>
      </c>
      <c r="AM199" s="21">
        <f t="shared" si="212"/>
        <v>0</v>
      </c>
      <c r="AN199" s="58">
        <f t="shared" si="213"/>
        <v>1</v>
      </c>
      <c r="AO199" s="58" t="str">
        <f t="shared" si="214"/>
        <v>114</v>
      </c>
      <c r="AP199" s="58" t="str">
        <f t="shared" si="215"/>
        <v>164</v>
      </c>
      <c r="AQ199" s="21" t="e">
        <f t="shared" si="216"/>
        <v>#NUM!</v>
      </c>
      <c r="AR199" s="21" t="e">
        <f t="shared" si="217"/>
        <v>#NUM!</v>
      </c>
      <c r="AS199" s="136" t="e">
        <f t="shared" si="188"/>
        <v>#NUM!</v>
      </c>
      <c r="AT199" s="59" t="e">
        <f t="shared" si="218"/>
        <v>#NUM!</v>
      </c>
      <c r="AU199" s="21" t="e">
        <f t="shared" si="219"/>
        <v>#NUM!</v>
      </c>
      <c r="AV199" s="58">
        <f t="shared" si="220"/>
        <v>1500</v>
      </c>
      <c r="AW199" s="58">
        <f t="shared" si="221"/>
        <v>600</v>
      </c>
      <c r="AX199" s="60">
        <f t="shared" si="222"/>
        <v>0.11</v>
      </c>
      <c r="AY199" s="212">
        <f t="shared" si="189"/>
        <v>0</v>
      </c>
      <c r="AZ199" s="59">
        <f t="shared" si="223"/>
        <v>0</v>
      </c>
      <c r="BA199" s="21" t="e">
        <f t="shared" si="224"/>
        <v>#DIV/0!</v>
      </c>
      <c r="BB199" s="58">
        <f t="shared" si="225"/>
        <v>2900</v>
      </c>
      <c r="BC199" s="58">
        <f t="shared" si="226"/>
        <v>1160</v>
      </c>
      <c r="BD199" s="60">
        <f t="shared" si="227"/>
        <v>0.15</v>
      </c>
      <c r="BE199" s="212" t="e">
        <f t="shared" si="190"/>
        <v>#NUM!</v>
      </c>
      <c r="BF199" s="59" t="e">
        <f t="shared" si="228"/>
        <v>#NUM!</v>
      </c>
      <c r="BG199" s="21" t="e">
        <f t="shared" si="229"/>
        <v>#NUM!</v>
      </c>
      <c r="BH199" s="55">
        <f t="shared" ca="1" si="183"/>
        <v>0</v>
      </c>
    </row>
    <row r="200" spans="1:60" x14ac:dyDescent="0.2">
      <c r="A200" s="61">
        <f ca="1">RANK(W200,W$12:W$311,0)+COUNTIF(W$12:W200,W200)-1</f>
        <v>112</v>
      </c>
      <c r="B200" s="55">
        <f>'Etape 1'!A196</f>
        <v>189</v>
      </c>
      <c r="C200" s="55">
        <f>'Etape 1'!B196</f>
        <v>0</v>
      </c>
      <c r="D200" s="55">
        <f>'Etape 1'!C196</f>
        <v>0</v>
      </c>
      <c r="E200" s="55">
        <f>'Etape 1'!D196</f>
        <v>0</v>
      </c>
      <c r="F200" s="55">
        <f>'Etape 1'!E196</f>
        <v>0</v>
      </c>
      <c r="G200" s="55">
        <f>'Etape 1'!F196</f>
        <v>0</v>
      </c>
      <c r="H200" s="55">
        <f>'Etape 1'!G196</f>
        <v>0</v>
      </c>
      <c r="I200" s="209">
        <v>1</v>
      </c>
      <c r="J200" s="58">
        <f t="shared" si="191"/>
        <v>0</v>
      </c>
      <c r="K200" s="21">
        <f t="shared" si="192"/>
        <v>0</v>
      </c>
      <c r="L200" s="21">
        <f t="shared" si="193"/>
        <v>0</v>
      </c>
      <c r="M200" s="21">
        <f t="shared" ca="1" si="194"/>
        <v>3</v>
      </c>
      <c r="N200" s="21">
        <f t="shared" ca="1" si="195"/>
        <v>3</v>
      </c>
      <c r="O200" s="21">
        <f t="shared" ca="1" si="196"/>
        <v>0</v>
      </c>
      <c r="P200" s="262" t="str">
        <f>IF('Etape 1'!J196=999,"",IF('Etape 1'!J196=9999,txt_Schritt1.Angaben.fehlen,VLOOKUP(N200,Matrix_1.2.3.Test.Punkte.ID.Beurteilung,4,1)))</f>
        <v/>
      </c>
      <c r="Q200" s="21">
        <f t="shared" ca="1" si="197"/>
        <v>0</v>
      </c>
      <c r="R200" s="136">
        <f t="shared" si="184"/>
        <v>189</v>
      </c>
      <c r="S200" s="136">
        <f t="shared" ca="1" si="181"/>
        <v>162.62790697674419</v>
      </c>
      <c r="T200" s="136">
        <f t="shared" ca="1" si="185"/>
        <v>750.62790697674416</v>
      </c>
      <c r="U200" s="136">
        <f t="shared" ca="1" si="186"/>
        <v>1224000.6279069767</v>
      </c>
      <c r="V200" s="211">
        <f t="shared" ca="1" si="187"/>
        <v>235406.81995129614</v>
      </c>
      <c r="W200" s="136">
        <f t="shared" ca="1" si="182"/>
        <v>189</v>
      </c>
      <c r="X200" s="136">
        <f t="shared" ca="1" si="198"/>
        <v>162.999000999001</v>
      </c>
      <c r="Y200" s="21">
        <f t="shared" si="199"/>
        <v>1</v>
      </c>
      <c r="Z200" s="21" t="str">
        <f t="shared" si="200"/>
        <v>&lt;IE0</v>
      </c>
      <c r="AA200" s="21">
        <f t="shared" si="201"/>
        <v>1</v>
      </c>
      <c r="AB200" s="21" t="str">
        <f t="shared" si="202"/>
        <v>a - "&lt; 1990 (Eff3)"</v>
      </c>
      <c r="AC200" s="21">
        <f t="shared" si="203"/>
        <v>999999</v>
      </c>
      <c r="AD200" s="21" t="str">
        <f t="shared" si="204"/>
        <v/>
      </c>
      <c r="AE200" s="21" t="str">
        <f t="shared" si="205"/>
        <v/>
      </c>
      <c r="AF200" s="21" t="str">
        <f t="shared" si="206"/>
        <v/>
      </c>
      <c r="AG200" s="21">
        <f t="shared" si="207"/>
        <v>0</v>
      </c>
      <c r="AH200" s="21">
        <f>IF('Etape 1'!H196=St.Wert_Hacken,1,0)</f>
        <v>0</v>
      </c>
      <c r="AI200" s="21">
        <f t="shared" si="208"/>
        <v>0</v>
      </c>
      <c r="AJ200" s="21">
        <f t="shared" si="209"/>
        <v>1000999</v>
      </c>
      <c r="AK200" s="58">
        <f t="shared" si="210"/>
        <v>1100</v>
      </c>
      <c r="AL200" s="58">
        <f t="shared" si="211"/>
        <v>440</v>
      </c>
      <c r="AM200" s="21">
        <f t="shared" si="212"/>
        <v>0</v>
      </c>
      <c r="AN200" s="58">
        <f t="shared" si="213"/>
        <v>1</v>
      </c>
      <c r="AO200" s="58" t="str">
        <f t="shared" si="214"/>
        <v>114</v>
      </c>
      <c r="AP200" s="58" t="str">
        <f t="shared" si="215"/>
        <v>164</v>
      </c>
      <c r="AQ200" s="21" t="e">
        <f t="shared" si="216"/>
        <v>#NUM!</v>
      </c>
      <c r="AR200" s="21" t="e">
        <f t="shared" si="217"/>
        <v>#NUM!</v>
      </c>
      <c r="AS200" s="136" t="e">
        <f t="shared" si="188"/>
        <v>#NUM!</v>
      </c>
      <c r="AT200" s="59" t="e">
        <f t="shared" si="218"/>
        <v>#NUM!</v>
      </c>
      <c r="AU200" s="21" t="e">
        <f t="shared" si="219"/>
        <v>#NUM!</v>
      </c>
      <c r="AV200" s="58">
        <f t="shared" si="220"/>
        <v>1500</v>
      </c>
      <c r="AW200" s="58">
        <f t="shared" si="221"/>
        <v>600</v>
      </c>
      <c r="AX200" s="60">
        <f t="shared" si="222"/>
        <v>0.11</v>
      </c>
      <c r="AY200" s="212">
        <f t="shared" si="189"/>
        <v>0</v>
      </c>
      <c r="AZ200" s="59">
        <f t="shared" si="223"/>
        <v>0</v>
      </c>
      <c r="BA200" s="21" t="e">
        <f t="shared" si="224"/>
        <v>#DIV/0!</v>
      </c>
      <c r="BB200" s="58">
        <f t="shared" si="225"/>
        <v>2900</v>
      </c>
      <c r="BC200" s="58">
        <f t="shared" si="226"/>
        <v>1160</v>
      </c>
      <c r="BD200" s="60">
        <f t="shared" si="227"/>
        <v>0.15</v>
      </c>
      <c r="BE200" s="212" t="e">
        <f t="shared" si="190"/>
        <v>#NUM!</v>
      </c>
      <c r="BF200" s="59" t="e">
        <f t="shared" si="228"/>
        <v>#NUM!</v>
      </c>
      <c r="BG200" s="21" t="e">
        <f t="shared" si="229"/>
        <v>#NUM!</v>
      </c>
      <c r="BH200" s="55">
        <f t="shared" ca="1" si="183"/>
        <v>0</v>
      </c>
    </row>
    <row r="201" spans="1:60" x14ac:dyDescent="0.2">
      <c r="A201" s="61">
        <f ca="1">RANK(W201,W$12:W$311,0)+COUNTIF(W$12:W201,W201)-1</f>
        <v>111</v>
      </c>
      <c r="B201" s="55">
        <f>'Etape 1'!A197</f>
        <v>190</v>
      </c>
      <c r="C201" s="55">
        <f>'Etape 1'!B197</f>
        <v>0</v>
      </c>
      <c r="D201" s="55">
        <f>'Etape 1'!C197</f>
        <v>0</v>
      </c>
      <c r="E201" s="55">
        <f>'Etape 1'!D197</f>
        <v>0</v>
      </c>
      <c r="F201" s="55">
        <f>'Etape 1'!E197</f>
        <v>0</v>
      </c>
      <c r="G201" s="55">
        <f>'Etape 1'!F197</f>
        <v>0</v>
      </c>
      <c r="H201" s="55">
        <f>'Etape 1'!G197</f>
        <v>0</v>
      </c>
      <c r="I201" s="209">
        <v>1</v>
      </c>
      <c r="J201" s="58">
        <f t="shared" si="191"/>
        <v>0</v>
      </c>
      <c r="K201" s="21">
        <f t="shared" si="192"/>
        <v>0</v>
      </c>
      <c r="L201" s="21">
        <f t="shared" si="193"/>
        <v>0</v>
      </c>
      <c r="M201" s="21">
        <f t="shared" ca="1" si="194"/>
        <v>3</v>
      </c>
      <c r="N201" s="21">
        <f t="shared" ca="1" si="195"/>
        <v>3</v>
      </c>
      <c r="O201" s="21">
        <f t="shared" ca="1" si="196"/>
        <v>0</v>
      </c>
      <c r="P201" s="262" t="str">
        <f>IF('Etape 1'!J197=999,"",IF('Etape 1'!J197=9999,txt_Schritt1.Angaben.fehlen,VLOOKUP(N201,Matrix_1.2.3.Test.Punkte.ID.Beurteilung,4,1)))</f>
        <v/>
      </c>
      <c r="Q201" s="21">
        <f t="shared" ca="1" si="197"/>
        <v>0</v>
      </c>
      <c r="R201" s="136">
        <f t="shared" si="184"/>
        <v>190</v>
      </c>
      <c r="S201" s="136">
        <f t="shared" ca="1" si="181"/>
        <v>162.6312292358804</v>
      </c>
      <c r="T201" s="136">
        <f t="shared" ca="1" si="185"/>
        <v>750.63122923588037</v>
      </c>
      <c r="U201" s="136">
        <f t="shared" ca="1" si="186"/>
        <v>1224000.6312292358</v>
      </c>
      <c r="V201" s="211">
        <f t="shared" ca="1" si="187"/>
        <v>235406.82327355529</v>
      </c>
      <c r="W201" s="136">
        <f t="shared" ca="1" si="182"/>
        <v>190</v>
      </c>
      <c r="X201" s="136">
        <f t="shared" ca="1" si="198"/>
        <v>162.999000999001</v>
      </c>
      <c r="Y201" s="21">
        <f t="shared" si="199"/>
        <v>1</v>
      </c>
      <c r="Z201" s="21" t="str">
        <f t="shared" si="200"/>
        <v>&lt;IE0</v>
      </c>
      <c r="AA201" s="21">
        <f t="shared" si="201"/>
        <v>1</v>
      </c>
      <c r="AB201" s="21" t="str">
        <f t="shared" si="202"/>
        <v>a - "&lt; 1990 (Eff3)"</v>
      </c>
      <c r="AC201" s="21">
        <f t="shared" si="203"/>
        <v>999999</v>
      </c>
      <c r="AD201" s="21" t="str">
        <f t="shared" si="204"/>
        <v/>
      </c>
      <c r="AE201" s="21" t="str">
        <f t="shared" si="205"/>
        <v/>
      </c>
      <c r="AF201" s="21" t="str">
        <f t="shared" si="206"/>
        <v/>
      </c>
      <c r="AG201" s="21">
        <f t="shared" si="207"/>
        <v>0</v>
      </c>
      <c r="AH201" s="21">
        <f>IF('Etape 1'!H197=St.Wert_Hacken,1,0)</f>
        <v>0</v>
      </c>
      <c r="AI201" s="21">
        <f t="shared" si="208"/>
        <v>0</v>
      </c>
      <c r="AJ201" s="21">
        <f t="shared" si="209"/>
        <v>1000999</v>
      </c>
      <c r="AK201" s="58">
        <f t="shared" si="210"/>
        <v>1100</v>
      </c>
      <c r="AL201" s="58">
        <f t="shared" si="211"/>
        <v>440</v>
      </c>
      <c r="AM201" s="21">
        <f t="shared" si="212"/>
        <v>0</v>
      </c>
      <c r="AN201" s="58">
        <f t="shared" si="213"/>
        <v>1</v>
      </c>
      <c r="AO201" s="58" t="str">
        <f t="shared" si="214"/>
        <v>114</v>
      </c>
      <c r="AP201" s="58" t="str">
        <f t="shared" si="215"/>
        <v>164</v>
      </c>
      <c r="AQ201" s="21" t="e">
        <f t="shared" si="216"/>
        <v>#NUM!</v>
      </c>
      <c r="AR201" s="21" t="e">
        <f t="shared" si="217"/>
        <v>#NUM!</v>
      </c>
      <c r="AS201" s="136" t="e">
        <f t="shared" si="188"/>
        <v>#NUM!</v>
      </c>
      <c r="AT201" s="59" t="e">
        <f t="shared" si="218"/>
        <v>#NUM!</v>
      </c>
      <c r="AU201" s="21" t="e">
        <f t="shared" si="219"/>
        <v>#NUM!</v>
      </c>
      <c r="AV201" s="58">
        <f t="shared" si="220"/>
        <v>1500</v>
      </c>
      <c r="AW201" s="58">
        <f t="shared" si="221"/>
        <v>600</v>
      </c>
      <c r="AX201" s="60">
        <f t="shared" si="222"/>
        <v>0.11</v>
      </c>
      <c r="AY201" s="212">
        <f t="shared" si="189"/>
        <v>0</v>
      </c>
      <c r="AZ201" s="59">
        <f t="shared" si="223"/>
        <v>0</v>
      </c>
      <c r="BA201" s="21" t="e">
        <f t="shared" si="224"/>
        <v>#DIV/0!</v>
      </c>
      <c r="BB201" s="58">
        <f t="shared" si="225"/>
        <v>2900</v>
      </c>
      <c r="BC201" s="58">
        <f t="shared" si="226"/>
        <v>1160</v>
      </c>
      <c r="BD201" s="60">
        <f t="shared" si="227"/>
        <v>0.15</v>
      </c>
      <c r="BE201" s="212" t="e">
        <f t="shared" si="190"/>
        <v>#NUM!</v>
      </c>
      <c r="BF201" s="59" t="e">
        <f t="shared" si="228"/>
        <v>#NUM!</v>
      </c>
      <c r="BG201" s="21" t="e">
        <f t="shared" si="229"/>
        <v>#NUM!</v>
      </c>
      <c r="BH201" s="55">
        <f t="shared" ca="1" si="183"/>
        <v>0</v>
      </c>
    </row>
    <row r="202" spans="1:60" x14ac:dyDescent="0.2">
      <c r="A202" s="61">
        <f ca="1">RANK(W202,W$12:W$311,0)+COUNTIF(W$12:W202,W202)-1</f>
        <v>110</v>
      </c>
      <c r="B202" s="55">
        <f>'Etape 1'!A198</f>
        <v>191</v>
      </c>
      <c r="C202" s="55">
        <f>'Etape 1'!B198</f>
        <v>0</v>
      </c>
      <c r="D202" s="55">
        <f>'Etape 1'!C198</f>
        <v>0</v>
      </c>
      <c r="E202" s="55">
        <f>'Etape 1'!D198</f>
        <v>0</v>
      </c>
      <c r="F202" s="55">
        <f>'Etape 1'!E198</f>
        <v>0</v>
      </c>
      <c r="G202" s="55">
        <f>'Etape 1'!F198</f>
        <v>0</v>
      </c>
      <c r="H202" s="55">
        <f>'Etape 1'!G198</f>
        <v>0</v>
      </c>
      <c r="I202" s="209">
        <v>1</v>
      </c>
      <c r="J202" s="58">
        <f t="shared" si="191"/>
        <v>0</v>
      </c>
      <c r="K202" s="21">
        <f t="shared" si="192"/>
        <v>0</v>
      </c>
      <c r="L202" s="21">
        <f t="shared" si="193"/>
        <v>0</v>
      </c>
      <c r="M202" s="21">
        <f t="shared" ca="1" si="194"/>
        <v>3</v>
      </c>
      <c r="N202" s="21">
        <f t="shared" ca="1" si="195"/>
        <v>3</v>
      </c>
      <c r="O202" s="21">
        <f t="shared" ca="1" si="196"/>
        <v>0</v>
      </c>
      <c r="P202" s="262" t="str">
        <f>IF('Etape 1'!J198=999,"",IF('Etape 1'!J198=9999,txt_Schritt1.Angaben.fehlen,VLOOKUP(N202,Matrix_1.2.3.Test.Punkte.ID.Beurteilung,4,1)))</f>
        <v/>
      </c>
      <c r="Q202" s="21">
        <f t="shared" ca="1" si="197"/>
        <v>0</v>
      </c>
      <c r="R202" s="136">
        <f t="shared" si="184"/>
        <v>191</v>
      </c>
      <c r="S202" s="136">
        <f t="shared" ca="1" si="181"/>
        <v>162.63455149501661</v>
      </c>
      <c r="T202" s="136">
        <f t="shared" ca="1" si="185"/>
        <v>750.63455149501658</v>
      </c>
      <c r="U202" s="136">
        <f t="shared" ca="1" si="186"/>
        <v>1224000.6345514951</v>
      </c>
      <c r="V202" s="211">
        <f t="shared" ca="1" si="187"/>
        <v>235406.82659581443</v>
      </c>
      <c r="W202" s="136">
        <f t="shared" ca="1" si="182"/>
        <v>191</v>
      </c>
      <c r="X202" s="136">
        <f t="shared" ca="1" si="198"/>
        <v>162.999000999001</v>
      </c>
      <c r="Y202" s="21">
        <f t="shared" si="199"/>
        <v>1</v>
      </c>
      <c r="Z202" s="21" t="str">
        <f t="shared" si="200"/>
        <v>&lt;IE0</v>
      </c>
      <c r="AA202" s="21">
        <f t="shared" si="201"/>
        <v>1</v>
      </c>
      <c r="AB202" s="21" t="str">
        <f t="shared" si="202"/>
        <v>a - "&lt; 1990 (Eff3)"</v>
      </c>
      <c r="AC202" s="21">
        <f t="shared" si="203"/>
        <v>999999</v>
      </c>
      <c r="AD202" s="21" t="str">
        <f t="shared" si="204"/>
        <v/>
      </c>
      <c r="AE202" s="21" t="str">
        <f t="shared" si="205"/>
        <v/>
      </c>
      <c r="AF202" s="21" t="str">
        <f t="shared" si="206"/>
        <v/>
      </c>
      <c r="AG202" s="21">
        <f t="shared" si="207"/>
        <v>0</v>
      </c>
      <c r="AH202" s="21">
        <f>IF('Etape 1'!H198=St.Wert_Hacken,1,0)</f>
        <v>0</v>
      </c>
      <c r="AI202" s="21">
        <f t="shared" si="208"/>
        <v>0</v>
      </c>
      <c r="AJ202" s="21">
        <f t="shared" si="209"/>
        <v>1000999</v>
      </c>
      <c r="AK202" s="58">
        <f t="shared" si="210"/>
        <v>1100</v>
      </c>
      <c r="AL202" s="58">
        <f t="shared" si="211"/>
        <v>440</v>
      </c>
      <c r="AM202" s="21">
        <f t="shared" si="212"/>
        <v>0</v>
      </c>
      <c r="AN202" s="58">
        <f t="shared" si="213"/>
        <v>1</v>
      </c>
      <c r="AO202" s="58" t="str">
        <f t="shared" si="214"/>
        <v>114</v>
      </c>
      <c r="AP202" s="58" t="str">
        <f t="shared" si="215"/>
        <v>164</v>
      </c>
      <c r="AQ202" s="21" t="e">
        <f t="shared" si="216"/>
        <v>#NUM!</v>
      </c>
      <c r="AR202" s="21" t="e">
        <f t="shared" si="217"/>
        <v>#NUM!</v>
      </c>
      <c r="AS202" s="136" t="e">
        <f t="shared" si="188"/>
        <v>#NUM!</v>
      </c>
      <c r="AT202" s="59" t="e">
        <f t="shared" si="218"/>
        <v>#NUM!</v>
      </c>
      <c r="AU202" s="21" t="e">
        <f t="shared" si="219"/>
        <v>#NUM!</v>
      </c>
      <c r="AV202" s="58">
        <f t="shared" si="220"/>
        <v>1500</v>
      </c>
      <c r="AW202" s="58">
        <f t="shared" si="221"/>
        <v>600</v>
      </c>
      <c r="AX202" s="60">
        <f t="shared" si="222"/>
        <v>0.11</v>
      </c>
      <c r="AY202" s="212">
        <f t="shared" si="189"/>
        <v>0</v>
      </c>
      <c r="AZ202" s="59">
        <f t="shared" si="223"/>
        <v>0</v>
      </c>
      <c r="BA202" s="21" t="e">
        <f t="shared" si="224"/>
        <v>#DIV/0!</v>
      </c>
      <c r="BB202" s="58">
        <f t="shared" si="225"/>
        <v>2900</v>
      </c>
      <c r="BC202" s="58">
        <f t="shared" si="226"/>
        <v>1160</v>
      </c>
      <c r="BD202" s="60">
        <f t="shared" si="227"/>
        <v>0.15</v>
      </c>
      <c r="BE202" s="212" t="e">
        <f t="shared" si="190"/>
        <v>#NUM!</v>
      </c>
      <c r="BF202" s="59" t="e">
        <f t="shared" si="228"/>
        <v>#NUM!</v>
      </c>
      <c r="BG202" s="21" t="e">
        <f t="shared" si="229"/>
        <v>#NUM!</v>
      </c>
      <c r="BH202" s="55">
        <f t="shared" ca="1" si="183"/>
        <v>0</v>
      </c>
    </row>
    <row r="203" spans="1:60" x14ac:dyDescent="0.2">
      <c r="A203" s="61">
        <f ca="1">RANK(W203,W$12:W$311,0)+COUNTIF(W$12:W203,W203)-1</f>
        <v>109</v>
      </c>
      <c r="B203" s="55">
        <f>'Etape 1'!A199</f>
        <v>192</v>
      </c>
      <c r="C203" s="55">
        <f>'Etape 1'!B199</f>
        <v>0</v>
      </c>
      <c r="D203" s="55">
        <f>'Etape 1'!C199</f>
        <v>0</v>
      </c>
      <c r="E203" s="55">
        <f>'Etape 1'!D199</f>
        <v>0</v>
      </c>
      <c r="F203" s="55">
        <f>'Etape 1'!E199</f>
        <v>0</v>
      </c>
      <c r="G203" s="55">
        <f>'Etape 1'!F199</f>
        <v>0</v>
      </c>
      <c r="H203" s="55">
        <f>'Etape 1'!G199</f>
        <v>0</v>
      </c>
      <c r="I203" s="209">
        <v>1</v>
      </c>
      <c r="J203" s="58">
        <f t="shared" si="191"/>
        <v>0</v>
      </c>
      <c r="K203" s="21">
        <f t="shared" si="192"/>
        <v>0</v>
      </c>
      <c r="L203" s="21">
        <f t="shared" si="193"/>
        <v>0</v>
      </c>
      <c r="M203" s="21">
        <f t="shared" ca="1" si="194"/>
        <v>3</v>
      </c>
      <c r="N203" s="21">
        <f t="shared" ca="1" si="195"/>
        <v>3</v>
      </c>
      <c r="O203" s="21">
        <f t="shared" ca="1" si="196"/>
        <v>0</v>
      </c>
      <c r="P203" s="262" t="str">
        <f>IF('Etape 1'!J199=999,"",IF('Etape 1'!J199=9999,txt_Schritt1.Angaben.fehlen,VLOOKUP(N203,Matrix_1.2.3.Test.Punkte.ID.Beurteilung,4,1)))</f>
        <v/>
      </c>
      <c r="Q203" s="21">
        <f t="shared" ca="1" si="197"/>
        <v>0</v>
      </c>
      <c r="R203" s="136">
        <f t="shared" si="184"/>
        <v>192</v>
      </c>
      <c r="S203" s="136">
        <f t="shared" ca="1" si="181"/>
        <v>162.63787375415282</v>
      </c>
      <c r="T203" s="136">
        <f t="shared" ca="1" si="185"/>
        <v>750.63787375415279</v>
      </c>
      <c r="U203" s="136">
        <f t="shared" ca="1" si="186"/>
        <v>1224000.6378737541</v>
      </c>
      <c r="V203" s="211">
        <f t="shared" ca="1" si="187"/>
        <v>235406.82991807358</v>
      </c>
      <c r="W203" s="136">
        <f t="shared" ca="1" si="182"/>
        <v>192</v>
      </c>
      <c r="X203" s="136">
        <f t="shared" ca="1" si="198"/>
        <v>162.999000999001</v>
      </c>
      <c r="Y203" s="21">
        <f t="shared" si="199"/>
        <v>1</v>
      </c>
      <c r="Z203" s="21" t="str">
        <f t="shared" si="200"/>
        <v>&lt;IE0</v>
      </c>
      <c r="AA203" s="21">
        <f t="shared" si="201"/>
        <v>1</v>
      </c>
      <c r="AB203" s="21" t="str">
        <f t="shared" si="202"/>
        <v>a - "&lt; 1990 (Eff3)"</v>
      </c>
      <c r="AC203" s="21">
        <f t="shared" si="203"/>
        <v>999999</v>
      </c>
      <c r="AD203" s="21" t="str">
        <f t="shared" si="204"/>
        <v/>
      </c>
      <c r="AE203" s="21" t="str">
        <f t="shared" si="205"/>
        <v/>
      </c>
      <c r="AF203" s="21" t="str">
        <f t="shared" si="206"/>
        <v/>
      </c>
      <c r="AG203" s="21">
        <f t="shared" si="207"/>
        <v>0</v>
      </c>
      <c r="AH203" s="21">
        <f>IF('Etape 1'!H199=St.Wert_Hacken,1,0)</f>
        <v>0</v>
      </c>
      <c r="AI203" s="21">
        <f t="shared" si="208"/>
        <v>0</v>
      </c>
      <c r="AJ203" s="21">
        <f t="shared" si="209"/>
        <v>1000999</v>
      </c>
      <c r="AK203" s="58">
        <f t="shared" si="210"/>
        <v>1100</v>
      </c>
      <c r="AL203" s="58">
        <f t="shared" si="211"/>
        <v>440</v>
      </c>
      <c r="AM203" s="21">
        <f t="shared" si="212"/>
        <v>0</v>
      </c>
      <c r="AN203" s="58">
        <f t="shared" si="213"/>
        <v>1</v>
      </c>
      <c r="AO203" s="58" t="str">
        <f t="shared" si="214"/>
        <v>114</v>
      </c>
      <c r="AP203" s="58" t="str">
        <f t="shared" si="215"/>
        <v>164</v>
      </c>
      <c r="AQ203" s="21" t="e">
        <f t="shared" si="216"/>
        <v>#NUM!</v>
      </c>
      <c r="AR203" s="21" t="e">
        <f t="shared" si="217"/>
        <v>#NUM!</v>
      </c>
      <c r="AS203" s="136" t="e">
        <f t="shared" si="188"/>
        <v>#NUM!</v>
      </c>
      <c r="AT203" s="59" t="e">
        <f t="shared" si="218"/>
        <v>#NUM!</v>
      </c>
      <c r="AU203" s="21" t="e">
        <f t="shared" si="219"/>
        <v>#NUM!</v>
      </c>
      <c r="AV203" s="58">
        <f t="shared" si="220"/>
        <v>1500</v>
      </c>
      <c r="AW203" s="58">
        <f t="shared" si="221"/>
        <v>600</v>
      </c>
      <c r="AX203" s="60">
        <f t="shared" si="222"/>
        <v>0.11</v>
      </c>
      <c r="AY203" s="212">
        <f t="shared" si="189"/>
        <v>0</v>
      </c>
      <c r="AZ203" s="59">
        <f t="shared" si="223"/>
        <v>0</v>
      </c>
      <c r="BA203" s="21" t="e">
        <f t="shared" si="224"/>
        <v>#DIV/0!</v>
      </c>
      <c r="BB203" s="58">
        <f t="shared" si="225"/>
        <v>2900</v>
      </c>
      <c r="BC203" s="58">
        <f t="shared" si="226"/>
        <v>1160</v>
      </c>
      <c r="BD203" s="60">
        <f t="shared" si="227"/>
        <v>0.15</v>
      </c>
      <c r="BE203" s="212" t="e">
        <f t="shared" si="190"/>
        <v>#NUM!</v>
      </c>
      <c r="BF203" s="59" t="e">
        <f t="shared" si="228"/>
        <v>#NUM!</v>
      </c>
      <c r="BG203" s="21" t="e">
        <f t="shared" si="229"/>
        <v>#NUM!</v>
      </c>
      <c r="BH203" s="55">
        <f t="shared" ca="1" si="183"/>
        <v>0</v>
      </c>
    </row>
    <row r="204" spans="1:60" x14ac:dyDescent="0.2">
      <c r="A204" s="61">
        <f ca="1">RANK(W204,W$12:W$311,0)+COUNTIF(W$12:W204,W204)-1</f>
        <v>108</v>
      </c>
      <c r="B204" s="55">
        <f>'Etape 1'!A200</f>
        <v>193</v>
      </c>
      <c r="C204" s="55">
        <f>'Etape 1'!B200</f>
        <v>0</v>
      </c>
      <c r="D204" s="55">
        <f>'Etape 1'!C200</f>
        <v>0</v>
      </c>
      <c r="E204" s="55">
        <f>'Etape 1'!D200</f>
        <v>0</v>
      </c>
      <c r="F204" s="55">
        <f>'Etape 1'!E200</f>
        <v>0</v>
      </c>
      <c r="G204" s="55">
        <f>'Etape 1'!F200</f>
        <v>0</v>
      </c>
      <c r="H204" s="55">
        <f>'Etape 1'!G200</f>
        <v>0</v>
      </c>
      <c r="I204" s="209">
        <v>1</v>
      </c>
      <c r="J204" s="58">
        <f t="shared" si="191"/>
        <v>0</v>
      </c>
      <c r="K204" s="21">
        <f t="shared" si="192"/>
        <v>0</v>
      </c>
      <c r="L204" s="21">
        <f t="shared" si="193"/>
        <v>0</v>
      </c>
      <c r="M204" s="21">
        <f t="shared" ca="1" si="194"/>
        <v>3</v>
      </c>
      <c r="N204" s="21">
        <f t="shared" ca="1" si="195"/>
        <v>3</v>
      </c>
      <c r="O204" s="21">
        <f t="shared" ca="1" si="196"/>
        <v>0</v>
      </c>
      <c r="P204" s="262" t="str">
        <f>IF('Etape 1'!J200=999,"",IF('Etape 1'!J200=9999,txt_Schritt1.Angaben.fehlen,VLOOKUP(N204,Matrix_1.2.3.Test.Punkte.ID.Beurteilung,4,1)))</f>
        <v/>
      </c>
      <c r="Q204" s="21">
        <f t="shared" ca="1" si="197"/>
        <v>0</v>
      </c>
      <c r="R204" s="136">
        <f t="shared" si="184"/>
        <v>193</v>
      </c>
      <c r="S204" s="136">
        <f t="shared" ref="S204:S267" ca="1" si="230">IF(Q204=0,3,Q204)*St.Wert_1.2.3.Test.PkteMax-N204+$B204/(MAX($B$12:$B$311)+1)</f>
        <v>162.64119601328903</v>
      </c>
      <c r="T204" s="136">
        <f t="shared" ca="1" si="185"/>
        <v>750.641196013289</v>
      </c>
      <c r="U204" s="136">
        <f t="shared" ca="1" si="186"/>
        <v>1224000.6411960132</v>
      </c>
      <c r="V204" s="211">
        <f t="shared" ca="1" si="187"/>
        <v>235406.83324033269</v>
      </c>
      <c r="W204" s="136">
        <f t="shared" ref="W204:W267" ca="1" si="231">INDIRECT(ADDRESS(ROW(W204),Wert_Sortiervariante.SpaltenNr))</f>
        <v>193</v>
      </c>
      <c r="X204" s="136">
        <f t="shared" ca="1" si="198"/>
        <v>162.999000999001</v>
      </c>
      <c r="Y204" s="21">
        <f t="shared" si="199"/>
        <v>1</v>
      </c>
      <c r="Z204" s="21" t="str">
        <f t="shared" si="200"/>
        <v>&lt;IE0</v>
      </c>
      <c r="AA204" s="21">
        <f t="shared" si="201"/>
        <v>1</v>
      </c>
      <c r="AB204" s="21" t="str">
        <f t="shared" si="202"/>
        <v>a - "&lt; 1990 (Eff3)"</v>
      </c>
      <c r="AC204" s="21">
        <f t="shared" si="203"/>
        <v>999999</v>
      </c>
      <c r="AD204" s="21" t="str">
        <f t="shared" si="204"/>
        <v/>
      </c>
      <c r="AE204" s="21" t="str">
        <f t="shared" si="205"/>
        <v/>
      </c>
      <c r="AF204" s="21" t="str">
        <f t="shared" si="206"/>
        <v/>
      </c>
      <c r="AG204" s="21">
        <f t="shared" si="207"/>
        <v>0</v>
      </c>
      <c r="AH204" s="21">
        <f>IF('Etape 1'!H200=St.Wert_Hacken,1,0)</f>
        <v>0</v>
      </c>
      <c r="AI204" s="21">
        <f t="shared" si="208"/>
        <v>0</v>
      </c>
      <c r="AJ204" s="21">
        <f t="shared" si="209"/>
        <v>1000999</v>
      </c>
      <c r="AK204" s="58">
        <f t="shared" si="210"/>
        <v>1100</v>
      </c>
      <c r="AL204" s="58">
        <f t="shared" si="211"/>
        <v>440</v>
      </c>
      <c r="AM204" s="21">
        <f t="shared" si="212"/>
        <v>0</v>
      </c>
      <c r="AN204" s="58">
        <f t="shared" si="213"/>
        <v>1</v>
      </c>
      <c r="AO204" s="58" t="str">
        <f t="shared" si="214"/>
        <v>114</v>
      </c>
      <c r="AP204" s="58" t="str">
        <f t="shared" si="215"/>
        <v>164</v>
      </c>
      <c r="AQ204" s="21" t="e">
        <f t="shared" si="216"/>
        <v>#NUM!</v>
      </c>
      <c r="AR204" s="21" t="e">
        <f t="shared" si="217"/>
        <v>#NUM!</v>
      </c>
      <c r="AS204" s="136" t="e">
        <f t="shared" si="188"/>
        <v>#NUM!</v>
      </c>
      <c r="AT204" s="59" t="e">
        <f t="shared" si="218"/>
        <v>#NUM!</v>
      </c>
      <c r="AU204" s="21" t="e">
        <f t="shared" si="219"/>
        <v>#NUM!</v>
      </c>
      <c r="AV204" s="58">
        <f t="shared" si="220"/>
        <v>1500</v>
      </c>
      <c r="AW204" s="58">
        <f t="shared" si="221"/>
        <v>600</v>
      </c>
      <c r="AX204" s="60">
        <f t="shared" si="222"/>
        <v>0.11</v>
      </c>
      <c r="AY204" s="212">
        <f t="shared" si="189"/>
        <v>0</v>
      </c>
      <c r="AZ204" s="59">
        <f t="shared" si="223"/>
        <v>0</v>
      </c>
      <c r="BA204" s="21" t="e">
        <f t="shared" si="224"/>
        <v>#DIV/0!</v>
      </c>
      <c r="BB204" s="58">
        <f t="shared" si="225"/>
        <v>2900</v>
      </c>
      <c r="BC204" s="58">
        <f t="shared" si="226"/>
        <v>1160</v>
      </c>
      <c r="BD204" s="60">
        <f t="shared" si="227"/>
        <v>0.15</v>
      </c>
      <c r="BE204" s="212" t="e">
        <f t="shared" si="190"/>
        <v>#NUM!</v>
      </c>
      <c r="BF204" s="59" t="e">
        <f t="shared" si="228"/>
        <v>#NUM!</v>
      </c>
      <c r="BG204" s="21" t="e">
        <f t="shared" si="229"/>
        <v>#NUM!</v>
      </c>
      <c r="BH204" s="55">
        <f t="shared" ref="BH204:BH267" ca="1" si="232">IF(ISERROR(VLOOKUP(A204,Matrix_Berechnungen2.Rang1.Rang2.Pumpendaten.Endresultate,BH$8,FALSE)),0,VLOOKUP(A204,Matrix_Berechnungen2.Rang1.Rang2.Pumpendaten.Endresultate,BH$8,FALSE))</f>
        <v>0</v>
      </c>
    </row>
    <row r="205" spans="1:60" x14ac:dyDescent="0.2">
      <c r="A205" s="61">
        <f ca="1">RANK(W205,W$12:W$311,0)+COUNTIF(W$12:W205,W205)-1</f>
        <v>107</v>
      </c>
      <c r="B205" s="55">
        <f>'Etape 1'!A201</f>
        <v>194</v>
      </c>
      <c r="C205" s="55">
        <f>'Etape 1'!B201</f>
        <v>0</v>
      </c>
      <c r="D205" s="55">
        <f>'Etape 1'!C201</f>
        <v>0</v>
      </c>
      <c r="E205" s="55">
        <f>'Etape 1'!D201</f>
        <v>0</v>
      </c>
      <c r="F205" s="55">
        <f>'Etape 1'!E201</f>
        <v>0</v>
      </c>
      <c r="G205" s="55">
        <f>'Etape 1'!F201</f>
        <v>0</v>
      </c>
      <c r="H205" s="55">
        <f>'Etape 1'!G201</f>
        <v>0</v>
      </c>
      <c r="I205" s="209">
        <v>1</v>
      </c>
      <c r="J205" s="58">
        <f t="shared" si="191"/>
        <v>0</v>
      </c>
      <c r="K205" s="21">
        <f t="shared" si="192"/>
        <v>0</v>
      </c>
      <c r="L205" s="21">
        <f t="shared" si="193"/>
        <v>0</v>
      </c>
      <c r="M205" s="21">
        <f t="shared" ca="1" si="194"/>
        <v>3</v>
      </c>
      <c r="N205" s="21">
        <f t="shared" ca="1" si="195"/>
        <v>3</v>
      </c>
      <c r="O205" s="21">
        <f t="shared" ca="1" si="196"/>
        <v>0</v>
      </c>
      <c r="P205" s="262" t="str">
        <f>IF('Etape 1'!J201=999,"",IF('Etape 1'!J201=9999,txt_Schritt1.Angaben.fehlen,VLOOKUP(N205,Matrix_1.2.3.Test.Punkte.ID.Beurteilung,4,1)))</f>
        <v/>
      </c>
      <c r="Q205" s="21">
        <f t="shared" ca="1" si="197"/>
        <v>0</v>
      </c>
      <c r="R205" s="136">
        <f t="shared" ref="R205:R268" si="233">$B205</f>
        <v>194</v>
      </c>
      <c r="S205" s="136">
        <f t="shared" ca="1" si="230"/>
        <v>162.64451827242524</v>
      </c>
      <c r="T205" s="136">
        <f t="shared" ref="T205:T268" ca="1" si="234">IF(Q205=0,3,Q205)*MAX($F$12:$F$311)-F205+$B205/(MAX($B$12:$B$311)+1)</f>
        <v>750.64451827242522</v>
      </c>
      <c r="U205" s="136">
        <f t="shared" ref="U205:U268" ca="1" si="235">IF(Q205=0,3,Q205)*MAX($J$12:$J$311)-J205+$B205/(MAX($B$12:$B$311)+1)</f>
        <v>1224000.6445182725</v>
      </c>
      <c r="V205" s="211">
        <f t="shared" ref="V205:V268" ca="1" si="236">IF(Q205=0,3,Q205)*MAX($BH$12:$BH$311)-BH205+$B205/(MAX($B$12:$B$311)+1)</f>
        <v>235406.83656259184</v>
      </c>
      <c r="W205" s="136">
        <f t="shared" ca="1" si="231"/>
        <v>194</v>
      </c>
      <c r="X205" s="136">
        <f t="shared" ca="1" si="198"/>
        <v>162.999000999001</v>
      </c>
      <c r="Y205" s="21">
        <f t="shared" si="199"/>
        <v>1</v>
      </c>
      <c r="Z205" s="21" t="str">
        <f t="shared" si="200"/>
        <v>&lt;IE0</v>
      </c>
      <c r="AA205" s="21">
        <f t="shared" si="201"/>
        <v>1</v>
      </c>
      <c r="AB205" s="21" t="str">
        <f t="shared" si="202"/>
        <v>a - "&lt; 1990 (Eff3)"</v>
      </c>
      <c r="AC205" s="21">
        <f t="shared" si="203"/>
        <v>999999</v>
      </c>
      <c r="AD205" s="21" t="str">
        <f t="shared" si="204"/>
        <v/>
      </c>
      <c r="AE205" s="21" t="str">
        <f t="shared" si="205"/>
        <v/>
      </c>
      <c r="AF205" s="21" t="str">
        <f t="shared" si="206"/>
        <v/>
      </c>
      <c r="AG205" s="21">
        <f t="shared" si="207"/>
        <v>0</v>
      </c>
      <c r="AH205" s="21">
        <f>IF('Etape 1'!H201=St.Wert_Hacken,1,0)</f>
        <v>0</v>
      </c>
      <c r="AI205" s="21">
        <f t="shared" si="208"/>
        <v>0</v>
      </c>
      <c r="AJ205" s="21">
        <f t="shared" si="209"/>
        <v>1000999</v>
      </c>
      <c r="AK205" s="58">
        <f t="shared" si="210"/>
        <v>1100</v>
      </c>
      <c r="AL205" s="58">
        <f t="shared" si="211"/>
        <v>440</v>
      </c>
      <c r="AM205" s="21">
        <f t="shared" si="212"/>
        <v>0</v>
      </c>
      <c r="AN205" s="58">
        <f t="shared" si="213"/>
        <v>1</v>
      </c>
      <c r="AO205" s="58" t="str">
        <f t="shared" si="214"/>
        <v>114</v>
      </c>
      <c r="AP205" s="58" t="str">
        <f t="shared" si="215"/>
        <v>164</v>
      </c>
      <c r="AQ205" s="21" t="e">
        <f t="shared" si="216"/>
        <v>#NUM!</v>
      </c>
      <c r="AR205" s="21" t="e">
        <f t="shared" si="217"/>
        <v>#NUM!</v>
      </c>
      <c r="AS205" s="136" t="e">
        <f t="shared" ref="AS205:AS268" si="237">J205*(1-AQ205/AR205)</f>
        <v>#NUM!</v>
      </c>
      <c r="AT205" s="59" t="e">
        <f t="shared" si="218"/>
        <v>#NUM!</v>
      </c>
      <c r="AU205" s="21" t="e">
        <f t="shared" si="219"/>
        <v>#NUM!</v>
      </c>
      <c r="AV205" s="58">
        <f t="shared" si="220"/>
        <v>1500</v>
      </c>
      <c r="AW205" s="58">
        <f t="shared" si="221"/>
        <v>600</v>
      </c>
      <c r="AX205" s="60">
        <f t="shared" si="222"/>
        <v>0.11</v>
      </c>
      <c r="AY205" s="212">
        <f t="shared" ref="AY205:AY268" si="238">J205*AX205</f>
        <v>0</v>
      </c>
      <c r="AZ205" s="59">
        <f t="shared" si="223"/>
        <v>0</v>
      </c>
      <c r="BA205" s="21" t="e">
        <f t="shared" si="224"/>
        <v>#DIV/0!</v>
      </c>
      <c r="BB205" s="58">
        <f t="shared" si="225"/>
        <v>2900</v>
      </c>
      <c r="BC205" s="58">
        <f t="shared" si="226"/>
        <v>1160</v>
      </c>
      <c r="BD205" s="60">
        <f t="shared" si="227"/>
        <v>0.15</v>
      </c>
      <c r="BE205" s="212" t="e">
        <f t="shared" ref="BE205:BE268" si="239">J205*(1-AQ205/AR205*(1-AX205)*(1-BD205))</f>
        <v>#NUM!</v>
      </c>
      <c r="BF205" s="59" t="e">
        <f t="shared" si="228"/>
        <v>#NUM!</v>
      </c>
      <c r="BG205" s="21" t="e">
        <f t="shared" si="229"/>
        <v>#NUM!</v>
      </c>
      <c r="BH205" s="55">
        <f t="shared" ca="1" si="232"/>
        <v>0</v>
      </c>
    </row>
    <row r="206" spans="1:60" x14ac:dyDescent="0.2">
      <c r="A206" s="61">
        <f ca="1">RANK(W206,W$12:W$311,0)+COUNTIF(W$12:W206,W206)-1</f>
        <v>106</v>
      </c>
      <c r="B206" s="55">
        <f>'Etape 1'!A202</f>
        <v>195</v>
      </c>
      <c r="C206" s="55">
        <f>'Etape 1'!B202</f>
        <v>0</v>
      </c>
      <c r="D206" s="55">
        <f>'Etape 1'!C202</f>
        <v>0</v>
      </c>
      <c r="E206" s="55">
        <f>'Etape 1'!D202</f>
        <v>0</v>
      </c>
      <c r="F206" s="55">
        <f>'Etape 1'!E202</f>
        <v>0</v>
      </c>
      <c r="G206" s="55">
        <f>'Etape 1'!F202</f>
        <v>0</v>
      </c>
      <c r="H206" s="55">
        <f>'Etape 1'!G202</f>
        <v>0</v>
      </c>
      <c r="I206" s="209">
        <v>1</v>
      </c>
      <c r="J206" s="58">
        <f t="shared" ref="J206:J269" si="240">F206*G206*I206</f>
        <v>0</v>
      </c>
      <c r="K206" s="21">
        <f t="shared" si="192"/>
        <v>0</v>
      </c>
      <c r="L206" s="21">
        <f t="shared" si="193"/>
        <v>0</v>
      </c>
      <c r="M206" s="21">
        <f t="shared" ca="1" si="194"/>
        <v>3</v>
      </c>
      <c r="N206" s="21">
        <f t="shared" ca="1" si="195"/>
        <v>3</v>
      </c>
      <c r="O206" s="21">
        <f t="shared" ca="1" si="196"/>
        <v>0</v>
      </c>
      <c r="P206" s="262" t="str">
        <f>IF('Etape 1'!J202=999,"",IF('Etape 1'!J202=9999,txt_Schritt1.Angaben.fehlen,VLOOKUP(N206,Matrix_1.2.3.Test.Punkte.ID.Beurteilung,4,1)))</f>
        <v/>
      </c>
      <c r="Q206" s="21">
        <f t="shared" ca="1" si="197"/>
        <v>0</v>
      </c>
      <c r="R206" s="136">
        <f t="shared" si="233"/>
        <v>195</v>
      </c>
      <c r="S206" s="136">
        <f t="shared" ca="1" si="230"/>
        <v>162.64784053156146</v>
      </c>
      <c r="T206" s="136">
        <f t="shared" ca="1" si="234"/>
        <v>750.64784053156143</v>
      </c>
      <c r="U206" s="136">
        <f t="shared" ca="1" si="235"/>
        <v>1224000.6478405315</v>
      </c>
      <c r="V206" s="211">
        <f t="shared" ca="1" si="236"/>
        <v>235406.83988485098</v>
      </c>
      <c r="W206" s="136">
        <f t="shared" ca="1" si="231"/>
        <v>195</v>
      </c>
      <c r="X206" s="136">
        <f t="shared" ca="1" si="198"/>
        <v>162.999000999001</v>
      </c>
      <c r="Y206" s="21">
        <f t="shared" si="199"/>
        <v>1</v>
      </c>
      <c r="Z206" s="21" t="str">
        <f t="shared" si="200"/>
        <v>&lt;IE0</v>
      </c>
      <c r="AA206" s="21">
        <f t="shared" si="201"/>
        <v>1</v>
      </c>
      <c r="AB206" s="21" t="str">
        <f t="shared" si="202"/>
        <v>a - "&lt; 1990 (Eff3)"</v>
      </c>
      <c r="AC206" s="21">
        <f t="shared" si="203"/>
        <v>999999</v>
      </c>
      <c r="AD206" s="21" t="str">
        <f t="shared" si="204"/>
        <v/>
      </c>
      <c r="AE206" s="21" t="str">
        <f t="shared" si="205"/>
        <v/>
      </c>
      <c r="AF206" s="21" t="str">
        <f t="shared" si="206"/>
        <v/>
      </c>
      <c r="AG206" s="21">
        <f t="shared" si="207"/>
        <v>0</v>
      </c>
      <c r="AH206" s="21">
        <f>IF('Etape 1'!H202=St.Wert_Hacken,1,0)</f>
        <v>0</v>
      </c>
      <c r="AI206" s="21">
        <f t="shared" si="208"/>
        <v>0</v>
      </c>
      <c r="AJ206" s="21">
        <f t="shared" si="209"/>
        <v>1000999</v>
      </c>
      <c r="AK206" s="58">
        <f t="shared" si="210"/>
        <v>1100</v>
      </c>
      <c r="AL206" s="58">
        <f t="shared" si="211"/>
        <v>440</v>
      </c>
      <c r="AM206" s="21">
        <f t="shared" si="212"/>
        <v>0</v>
      </c>
      <c r="AN206" s="58">
        <f t="shared" si="213"/>
        <v>1</v>
      </c>
      <c r="AO206" s="58" t="str">
        <f t="shared" si="214"/>
        <v>114</v>
      </c>
      <c r="AP206" s="58" t="str">
        <f t="shared" si="215"/>
        <v>164</v>
      </c>
      <c r="AQ206" s="21" t="e">
        <f t="shared" si="216"/>
        <v>#NUM!</v>
      </c>
      <c r="AR206" s="21" t="e">
        <f t="shared" si="217"/>
        <v>#NUM!</v>
      </c>
      <c r="AS206" s="136" t="e">
        <f t="shared" si="237"/>
        <v>#NUM!</v>
      </c>
      <c r="AT206" s="59" t="e">
        <f t="shared" si="218"/>
        <v>#NUM!</v>
      </c>
      <c r="AU206" s="21" t="e">
        <f t="shared" si="219"/>
        <v>#NUM!</v>
      </c>
      <c r="AV206" s="58">
        <f t="shared" si="220"/>
        <v>1500</v>
      </c>
      <c r="AW206" s="58">
        <f t="shared" si="221"/>
        <v>600</v>
      </c>
      <c r="AX206" s="60">
        <f t="shared" si="222"/>
        <v>0.11</v>
      </c>
      <c r="AY206" s="212">
        <f t="shared" si="238"/>
        <v>0</v>
      </c>
      <c r="AZ206" s="59">
        <f t="shared" si="223"/>
        <v>0</v>
      </c>
      <c r="BA206" s="21" t="e">
        <f t="shared" si="224"/>
        <v>#DIV/0!</v>
      </c>
      <c r="BB206" s="58">
        <f t="shared" si="225"/>
        <v>2900</v>
      </c>
      <c r="BC206" s="58">
        <f t="shared" si="226"/>
        <v>1160</v>
      </c>
      <c r="BD206" s="60">
        <f t="shared" si="227"/>
        <v>0.15</v>
      </c>
      <c r="BE206" s="212" t="e">
        <f t="shared" si="239"/>
        <v>#NUM!</v>
      </c>
      <c r="BF206" s="59" t="e">
        <f t="shared" si="228"/>
        <v>#NUM!</v>
      </c>
      <c r="BG206" s="21" t="e">
        <f t="shared" si="229"/>
        <v>#NUM!</v>
      </c>
      <c r="BH206" s="55">
        <f t="shared" ca="1" si="232"/>
        <v>0</v>
      </c>
    </row>
    <row r="207" spans="1:60" x14ac:dyDescent="0.2">
      <c r="A207" s="61">
        <f ca="1">RANK(W207,W$12:W$311,0)+COUNTIF(W$12:W207,W207)-1</f>
        <v>105</v>
      </c>
      <c r="B207" s="55">
        <f>'Etape 1'!A203</f>
        <v>196</v>
      </c>
      <c r="C207" s="55">
        <f>'Etape 1'!B203</f>
        <v>0</v>
      </c>
      <c r="D207" s="55">
        <f>'Etape 1'!C203</f>
        <v>0</v>
      </c>
      <c r="E207" s="55">
        <f>'Etape 1'!D203</f>
        <v>0</v>
      </c>
      <c r="F207" s="55">
        <f>'Etape 1'!E203</f>
        <v>0</v>
      </c>
      <c r="G207" s="55">
        <f>'Etape 1'!F203</f>
        <v>0</v>
      </c>
      <c r="H207" s="55">
        <f>'Etape 1'!G203</f>
        <v>0</v>
      </c>
      <c r="I207" s="209">
        <v>1</v>
      </c>
      <c r="J207" s="58">
        <f t="shared" si="240"/>
        <v>0</v>
      </c>
      <c r="K207" s="21">
        <f t="shared" si="192"/>
        <v>0</v>
      </c>
      <c r="L207" s="21">
        <f t="shared" si="193"/>
        <v>0</v>
      </c>
      <c r="M207" s="21">
        <f t="shared" ca="1" si="194"/>
        <v>3</v>
      </c>
      <c r="N207" s="21">
        <f t="shared" ca="1" si="195"/>
        <v>3</v>
      </c>
      <c r="O207" s="21">
        <f t="shared" ca="1" si="196"/>
        <v>0</v>
      </c>
      <c r="P207" s="262" t="str">
        <f>IF('Etape 1'!J203=999,"",IF('Etape 1'!J203=9999,txt_Schritt1.Angaben.fehlen,VLOOKUP(N207,Matrix_1.2.3.Test.Punkte.ID.Beurteilung,4,1)))</f>
        <v/>
      </c>
      <c r="Q207" s="21">
        <f t="shared" ca="1" si="197"/>
        <v>0</v>
      </c>
      <c r="R207" s="136">
        <f t="shared" si="233"/>
        <v>196</v>
      </c>
      <c r="S207" s="136">
        <f t="shared" ca="1" si="230"/>
        <v>162.65116279069767</v>
      </c>
      <c r="T207" s="136">
        <f t="shared" ca="1" si="234"/>
        <v>750.65116279069764</v>
      </c>
      <c r="U207" s="136">
        <f t="shared" ca="1" si="235"/>
        <v>1224000.6511627906</v>
      </c>
      <c r="V207" s="211">
        <f t="shared" ca="1" si="236"/>
        <v>235406.8432071101</v>
      </c>
      <c r="W207" s="136">
        <f t="shared" ca="1" si="231"/>
        <v>196</v>
      </c>
      <c r="X207" s="136">
        <f t="shared" ca="1" si="198"/>
        <v>162.999000999001</v>
      </c>
      <c r="Y207" s="21">
        <f t="shared" si="199"/>
        <v>1</v>
      </c>
      <c r="Z207" s="21" t="str">
        <f t="shared" si="200"/>
        <v>&lt;IE0</v>
      </c>
      <c r="AA207" s="21">
        <f t="shared" si="201"/>
        <v>1</v>
      </c>
      <c r="AB207" s="21" t="str">
        <f t="shared" si="202"/>
        <v>a - "&lt; 1990 (Eff3)"</v>
      </c>
      <c r="AC207" s="21">
        <f t="shared" si="203"/>
        <v>999999</v>
      </c>
      <c r="AD207" s="21" t="str">
        <f t="shared" si="204"/>
        <v/>
      </c>
      <c r="AE207" s="21" t="str">
        <f t="shared" si="205"/>
        <v/>
      </c>
      <c r="AF207" s="21" t="str">
        <f t="shared" si="206"/>
        <v/>
      </c>
      <c r="AG207" s="21">
        <f t="shared" si="207"/>
        <v>0</v>
      </c>
      <c r="AH207" s="21">
        <f>IF('Etape 1'!H203=St.Wert_Hacken,1,0)</f>
        <v>0</v>
      </c>
      <c r="AI207" s="21">
        <f t="shared" si="208"/>
        <v>0</v>
      </c>
      <c r="AJ207" s="21">
        <f t="shared" si="209"/>
        <v>1000999</v>
      </c>
      <c r="AK207" s="58">
        <f t="shared" si="210"/>
        <v>1100</v>
      </c>
      <c r="AL207" s="58">
        <f t="shared" si="211"/>
        <v>440</v>
      </c>
      <c r="AM207" s="21">
        <f t="shared" si="212"/>
        <v>0</v>
      </c>
      <c r="AN207" s="58">
        <f t="shared" si="213"/>
        <v>1</v>
      </c>
      <c r="AO207" s="58" t="str">
        <f t="shared" si="214"/>
        <v>114</v>
      </c>
      <c r="AP207" s="58" t="str">
        <f t="shared" si="215"/>
        <v>164</v>
      </c>
      <c r="AQ207" s="21" t="e">
        <f t="shared" si="216"/>
        <v>#NUM!</v>
      </c>
      <c r="AR207" s="21" t="e">
        <f t="shared" si="217"/>
        <v>#NUM!</v>
      </c>
      <c r="AS207" s="136" t="e">
        <f t="shared" si="237"/>
        <v>#NUM!</v>
      </c>
      <c r="AT207" s="59" t="e">
        <f t="shared" si="218"/>
        <v>#NUM!</v>
      </c>
      <c r="AU207" s="21" t="e">
        <f t="shared" si="219"/>
        <v>#NUM!</v>
      </c>
      <c r="AV207" s="58">
        <f t="shared" si="220"/>
        <v>1500</v>
      </c>
      <c r="AW207" s="58">
        <f t="shared" si="221"/>
        <v>600</v>
      </c>
      <c r="AX207" s="60">
        <f t="shared" si="222"/>
        <v>0.11</v>
      </c>
      <c r="AY207" s="212">
        <f t="shared" si="238"/>
        <v>0</v>
      </c>
      <c r="AZ207" s="59">
        <f t="shared" si="223"/>
        <v>0</v>
      </c>
      <c r="BA207" s="21" t="e">
        <f t="shared" si="224"/>
        <v>#DIV/0!</v>
      </c>
      <c r="BB207" s="58">
        <f t="shared" si="225"/>
        <v>2900</v>
      </c>
      <c r="BC207" s="58">
        <f t="shared" si="226"/>
        <v>1160</v>
      </c>
      <c r="BD207" s="60">
        <f t="shared" si="227"/>
        <v>0.15</v>
      </c>
      <c r="BE207" s="212" t="e">
        <f t="shared" si="239"/>
        <v>#NUM!</v>
      </c>
      <c r="BF207" s="59" t="e">
        <f t="shared" si="228"/>
        <v>#NUM!</v>
      </c>
      <c r="BG207" s="21" t="e">
        <f t="shared" si="229"/>
        <v>#NUM!</v>
      </c>
      <c r="BH207" s="55">
        <f t="shared" ca="1" si="232"/>
        <v>0</v>
      </c>
    </row>
    <row r="208" spans="1:60" x14ac:dyDescent="0.2">
      <c r="A208" s="61">
        <f ca="1">RANK(W208,W$12:W$311,0)+COUNTIF(W$12:W208,W208)-1</f>
        <v>104</v>
      </c>
      <c r="B208" s="55">
        <f>'Etape 1'!A204</f>
        <v>197</v>
      </c>
      <c r="C208" s="55">
        <f>'Etape 1'!B204</f>
        <v>0</v>
      </c>
      <c r="D208" s="55">
        <f>'Etape 1'!C204</f>
        <v>0</v>
      </c>
      <c r="E208" s="55">
        <f>'Etape 1'!D204</f>
        <v>0</v>
      </c>
      <c r="F208" s="55">
        <f>'Etape 1'!E204</f>
        <v>0</v>
      </c>
      <c r="G208" s="55">
        <f>'Etape 1'!F204</f>
        <v>0</v>
      </c>
      <c r="H208" s="55">
        <f>'Etape 1'!G204</f>
        <v>0</v>
      </c>
      <c r="I208" s="209">
        <v>1</v>
      </c>
      <c r="J208" s="58">
        <f t="shared" si="240"/>
        <v>0</v>
      </c>
      <c r="K208" s="21">
        <f t="shared" si="192"/>
        <v>0</v>
      </c>
      <c r="L208" s="21">
        <f t="shared" si="193"/>
        <v>0</v>
      </c>
      <c r="M208" s="21">
        <f t="shared" ca="1" si="194"/>
        <v>3</v>
      </c>
      <c r="N208" s="21">
        <f t="shared" ca="1" si="195"/>
        <v>3</v>
      </c>
      <c r="O208" s="21">
        <f t="shared" ca="1" si="196"/>
        <v>0</v>
      </c>
      <c r="P208" s="262" t="str">
        <f>IF('Etape 1'!J204=999,"",IF('Etape 1'!J204=9999,txt_Schritt1.Angaben.fehlen,VLOOKUP(N208,Matrix_1.2.3.Test.Punkte.ID.Beurteilung,4,1)))</f>
        <v/>
      </c>
      <c r="Q208" s="21">
        <f t="shared" ca="1" si="197"/>
        <v>0</v>
      </c>
      <c r="R208" s="136">
        <f t="shared" si="233"/>
        <v>197</v>
      </c>
      <c r="S208" s="136">
        <f t="shared" ca="1" si="230"/>
        <v>162.65448504983388</v>
      </c>
      <c r="T208" s="136">
        <f t="shared" ca="1" si="234"/>
        <v>750.65448504983385</v>
      </c>
      <c r="U208" s="136">
        <f t="shared" ca="1" si="235"/>
        <v>1224000.6544850499</v>
      </c>
      <c r="V208" s="211">
        <f t="shared" ca="1" si="236"/>
        <v>235406.84652936924</v>
      </c>
      <c r="W208" s="136">
        <f t="shared" ca="1" si="231"/>
        <v>197</v>
      </c>
      <c r="X208" s="136">
        <f t="shared" ca="1" si="198"/>
        <v>162.999000999001</v>
      </c>
      <c r="Y208" s="21">
        <f t="shared" si="199"/>
        <v>1</v>
      </c>
      <c r="Z208" s="21" t="str">
        <f t="shared" si="200"/>
        <v>&lt;IE0</v>
      </c>
      <c r="AA208" s="21">
        <f t="shared" si="201"/>
        <v>1</v>
      </c>
      <c r="AB208" s="21" t="str">
        <f t="shared" si="202"/>
        <v>a - "&lt; 1990 (Eff3)"</v>
      </c>
      <c r="AC208" s="21">
        <f t="shared" si="203"/>
        <v>999999</v>
      </c>
      <c r="AD208" s="21" t="str">
        <f t="shared" si="204"/>
        <v/>
      </c>
      <c r="AE208" s="21" t="str">
        <f t="shared" si="205"/>
        <v/>
      </c>
      <c r="AF208" s="21" t="str">
        <f t="shared" si="206"/>
        <v/>
      </c>
      <c r="AG208" s="21">
        <f t="shared" si="207"/>
        <v>0</v>
      </c>
      <c r="AH208" s="21">
        <f>IF('Etape 1'!H204=St.Wert_Hacken,1,0)</f>
        <v>0</v>
      </c>
      <c r="AI208" s="21">
        <f t="shared" si="208"/>
        <v>0</v>
      </c>
      <c r="AJ208" s="21">
        <f t="shared" si="209"/>
        <v>1000999</v>
      </c>
      <c r="AK208" s="58">
        <f t="shared" si="210"/>
        <v>1100</v>
      </c>
      <c r="AL208" s="58">
        <f t="shared" si="211"/>
        <v>440</v>
      </c>
      <c r="AM208" s="21">
        <f t="shared" si="212"/>
        <v>0</v>
      </c>
      <c r="AN208" s="58">
        <f t="shared" si="213"/>
        <v>1</v>
      </c>
      <c r="AO208" s="58" t="str">
        <f t="shared" si="214"/>
        <v>114</v>
      </c>
      <c r="AP208" s="58" t="str">
        <f t="shared" si="215"/>
        <v>164</v>
      </c>
      <c r="AQ208" s="21" t="e">
        <f t="shared" si="216"/>
        <v>#NUM!</v>
      </c>
      <c r="AR208" s="21" t="e">
        <f t="shared" si="217"/>
        <v>#NUM!</v>
      </c>
      <c r="AS208" s="136" t="e">
        <f t="shared" si="237"/>
        <v>#NUM!</v>
      </c>
      <c r="AT208" s="59" t="e">
        <f t="shared" si="218"/>
        <v>#NUM!</v>
      </c>
      <c r="AU208" s="21" t="e">
        <f t="shared" si="219"/>
        <v>#NUM!</v>
      </c>
      <c r="AV208" s="58">
        <f t="shared" si="220"/>
        <v>1500</v>
      </c>
      <c r="AW208" s="58">
        <f t="shared" si="221"/>
        <v>600</v>
      </c>
      <c r="AX208" s="60">
        <f t="shared" si="222"/>
        <v>0.11</v>
      </c>
      <c r="AY208" s="212">
        <f t="shared" si="238"/>
        <v>0</v>
      </c>
      <c r="AZ208" s="59">
        <f t="shared" si="223"/>
        <v>0</v>
      </c>
      <c r="BA208" s="21" t="e">
        <f t="shared" si="224"/>
        <v>#DIV/0!</v>
      </c>
      <c r="BB208" s="58">
        <f t="shared" si="225"/>
        <v>2900</v>
      </c>
      <c r="BC208" s="58">
        <f t="shared" si="226"/>
        <v>1160</v>
      </c>
      <c r="BD208" s="60">
        <f t="shared" si="227"/>
        <v>0.15</v>
      </c>
      <c r="BE208" s="212" t="e">
        <f t="shared" si="239"/>
        <v>#NUM!</v>
      </c>
      <c r="BF208" s="59" t="e">
        <f t="shared" si="228"/>
        <v>#NUM!</v>
      </c>
      <c r="BG208" s="21" t="e">
        <f t="shared" si="229"/>
        <v>#NUM!</v>
      </c>
      <c r="BH208" s="55">
        <f t="shared" ca="1" si="232"/>
        <v>0</v>
      </c>
    </row>
    <row r="209" spans="1:60" x14ac:dyDescent="0.2">
      <c r="A209" s="61">
        <f ca="1">RANK(W209,W$12:W$311,0)+COUNTIF(W$12:W209,W209)-1</f>
        <v>103</v>
      </c>
      <c r="B209" s="55">
        <f>'Etape 1'!A205</f>
        <v>198</v>
      </c>
      <c r="C209" s="55">
        <f>'Etape 1'!B205</f>
        <v>0</v>
      </c>
      <c r="D209" s="55">
        <f>'Etape 1'!C205</f>
        <v>0</v>
      </c>
      <c r="E209" s="55">
        <f>'Etape 1'!D205</f>
        <v>0</v>
      </c>
      <c r="F209" s="55">
        <f>'Etape 1'!E205</f>
        <v>0</v>
      </c>
      <c r="G209" s="55">
        <f>'Etape 1'!F205</f>
        <v>0</v>
      </c>
      <c r="H209" s="55">
        <f>'Etape 1'!G205</f>
        <v>0</v>
      </c>
      <c r="I209" s="209">
        <v>1</v>
      </c>
      <c r="J209" s="58">
        <f t="shared" si="240"/>
        <v>0</v>
      </c>
      <c r="K209" s="21">
        <f t="shared" si="192"/>
        <v>0</v>
      </c>
      <c r="L209" s="21">
        <f t="shared" si="193"/>
        <v>0</v>
      </c>
      <c r="M209" s="21">
        <f t="shared" ca="1" si="194"/>
        <v>3</v>
      </c>
      <c r="N209" s="21">
        <f t="shared" ca="1" si="195"/>
        <v>3</v>
      </c>
      <c r="O209" s="21">
        <f t="shared" ca="1" si="196"/>
        <v>0</v>
      </c>
      <c r="P209" s="262" t="str">
        <f>IF('Etape 1'!J205=999,"",IF('Etape 1'!J205=9999,txt_Schritt1.Angaben.fehlen,VLOOKUP(N209,Matrix_1.2.3.Test.Punkte.ID.Beurteilung,4,1)))</f>
        <v/>
      </c>
      <c r="Q209" s="21">
        <f t="shared" ca="1" si="197"/>
        <v>0</v>
      </c>
      <c r="R209" s="136">
        <f t="shared" si="233"/>
        <v>198</v>
      </c>
      <c r="S209" s="136">
        <f t="shared" ca="1" si="230"/>
        <v>162.65780730897009</v>
      </c>
      <c r="T209" s="136">
        <f t="shared" ca="1" si="234"/>
        <v>750.65780730897006</v>
      </c>
      <c r="U209" s="136">
        <f t="shared" ca="1" si="235"/>
        <v>1224000.6578073089</v>
      </c>
      <c r="V209" s="211">
        <f t="shared" ca="1" si="236"/>
        <v>235406.84985162839</v>
      </c>
      <c r="W209" s="136">
        <f t="shared" ca="1" si="231"/>
        <v>198</v>
      </c>
      <c r="X209" s="136">
        <f t="shared" ca="1" si="198"/>
        <v>162.999000999001</v>
      </c>
      <c r="Y209" s="21">
        <f t="shared" si="199"/>
        <v>1</v>
      </c>
      <c r="Z209" s="21" t="str">
        <f t="shared" si="200"/>
        <v>&lt;IE0</v>
      </c>
      <c r="AA209" s="21">
        <f t="shared" si="201"/>
        <v>1</v>
      </c>
      <c r="AB209" s="21" t="str">
        <f t="shared" si="202"/>
        <v>a - "&lt; 1990 (Eff3)"</v>
      </c>
      <c r="AC209" s="21">
        <f t="shared" si="203"/>
        <v>999999</v>
      </c>
      <c r="AD209" s="21" t="str">
        <f t="shared" si="204"/>
        <v/>
      </c>
      <c r="AE209" s="21" t="str">
        <f t="shared" si="205"/>
        <v/>
      </c>
      <c r="AF209" s="21" t="str">
        <f t="shared" si="206"/>
        <v/>
      </c>
      <c r="AG209" s="21">
        <f t="shared" si="207"/>
        <v>0</v>
      </c>
      <c r="AH209" s="21">
        <f>IF('Etape 1'!H205=St.Wert_Hacken,1,0)</f>
        <v>0</v>
      </c>
      <c r="AI209" s="21">
        <f t="shared" si="208"/>
        <v>0</v>
      </c>
      <c r="AJ209" s="21">
        <f t="shared" si="209"/>
        <v>1000999</v>
      </c>
      <c r="AK209" s="58">
        <f t="shared" si="210"/>
        <v>1100</v>
      </c>
      <c r="AL209" s="58">
        <f t="shared" si="211"/>
        <v>440</v>
      </c>
      <c r="AM209" s="21">
        <f t="shared" si="212"/>
        <v>0</v>
      </c>
      <c r="AN209" s="58">
        <f t="shared" si="213"/>
        <v>1</v>
      </c>
      <c r="AO209" s="58" t="str">
        <f t="shared" si="214"/>
        <v>114</v>
      </c>
      <c r="AP209" s="58" t="str">
        <f t="shared" si="215"/>
        <v>164</v>
      </c>
      <c r="AQ209" s="21" t="e">
        <f t="shared" si="216"/>
        <v>#NUM!</v>
      </c>
      <c r="AR209" s="21" t="e">
        <f t="shared" si="217"/>
        <v>#NUM!</v>
      </c>
      <c r="AS209" s="136" t="e">
        <f t="shared" si="237"/>
        <v>#NUM!</v>
      </c>
      <c r="AT209" s="59" t="e">
        <f t="shared" si="218"/>
        <v>#NUM!</v>
      </c>
      <c r="AU209" s="21" t="e">
        <f t="shared" si="219"/>
        <v>#NUM!</v>
      </c>
      <c r="AV209" s="58">
        <f t="shared" si="220"/>
        <v>1500</v>
      </c>
      <c r="AW209" s="58">
        <f t="shared" si="221"/>
        <v>600</v>
      </c>
      <c r="AX209" s="60">
        <f t="shared" si="222"/>
        <v>0.11</v>
      </c>
      <c r="AY209" s="212">
        <f t="shared" si="238"/>
        <v>0</v>
      </c>
      <c r="AZ209" s="59">
        <f t="shared" si="223"/>
        <v>0</v>
      </c>
      <c r="BA209" s="21" t="e">
        <f t="shared" si="224"/>
        <v>#DIV/0!</v>
      </c>
      <c r="BB209" s="58">
        <f t="shared" si="225"/>
        <v>2900</v>
      </c>
      <c r="BC209" s="58">
        <f t="shared" si="226"/>
        <v>1160</v>
      </c>
      <c r="BD209" s="60">
        <f t="shared" si="227"/>
        <v>0.15</v>
      </c>
      <c r="BE209" s="212" t="e">
        <f t="shared" si="239"/>
        <v>#NUM!</v>
      </c>
      <c r="BF209" s="59" t="e">
        <f t="shared" si="228"/>
        <v>#NUM!</v>
      </c>
      <c r="BG209" s="21" t="e">
        <f t="shared" si="229"/>
        <v>#NUM!</v>
      </c>
      <c r="BH209" s="55">
        <f t="shared" ca="1" si="232"/>
        <v>0</v>
      </c>
    </row>
    <row r="210" spans="1:60" x14ac:dyDescent="0.2">
      <c r="A210" s="61">
        <f ca="1">RANK(W210,W$12:W$311,0)+COUNTIF(W$12:W210,W210)-1</f>
        <v>102</v>
      </c>
      <c r="B210" s="55">
        <f>'Etape 1'!A206</f>
        <v>199</v>
      </c>
      <c r="C210" s="55">
        <f>'Etape 1'!B206</f>
        <v>0</v>
      </c>
      <c r="D210" s="55">
        <f>'Etape 1'!C206</f>
        <v>0</v>
      </c>
      <c r="E210" s="55">
        <f>'Etape 1'!D206</f>
        <v>0</v>
      </c>
      <c r="F210" s="55">
        <f>'Etape 1'!E206</f>
        <v>0</v>
      </c>
      <c r="G210" s="55">
        <f>'Etape 1'!F206</f>
        <v>0</v>
      </c>
      <c r="H210" s="55">
        <f>'Etape 1'!G206</f>
        <v>0</v>
      </c>
      <c r="I210" s="209">
        <v>1</v>
      </c>
      <c r="J210" s="58">
        <f t="shared" si="240"/>
        <v>0</v>
      </c>
      <c r="K210" s="21">
        <f t="shared" si="192"/>
        <v>0</v>
      </c>
      <c r="L210" s="21">
        <f t="shared" si="193"/>
        <v>0</v>
      </c>
      <c r="M210" s="21">
        <f t="shared" ca="1" si="194"/>
        <v>3</v>
      </c>
      <c r="N210" s="21">
        <f t="shared" ca="1" si="195"/>
        <v>3</v>
      </c>
      <c r="O210" s="21">
        <f t="shared" ca="1" si="196"/>
        <v>0</v>
      </c>
      <c r="P210" s="262" t="str">
        <f>IF('Etape 1'!J206=999,"",IF('Etape 1'!J206=9999,txt_Schritt1.Angaben.fehlen,VLOOKUP(N210,Matrix_1.2.3.Test.Punkte.ID.Beurteilung,4,1)))</f>
        <v/>
      </c>
      <c r="Q210" s="21">
        <f t="shared" ca="1" si="197"/>
        <v>0</v>
      </c>
      <c r="R210" s="136">
        <f t="shared" si="233"/>
        <v>199</v>
      </c>
      <c r="S210" s="136">
        <f t="shared" ca="1" si="230"/>
        <v>162.6611295681063</v>
      </c>
      <c r="T210" s="136">
        <f t="shared" ca="1" si="234"/>
        <v>750.66112956810628</v>
      </c>
      <c r="U210" s="136">
        <f t="shared" ca="1" si="235"/>
        <v>1224000.661129568</v>
      </c>
      <c r="V210" s="211">
        <f t="shared" ca="1" si="236"/>
        <v>235406.8531738875</v>
      </c>
      <c r="W210" s="136">
        <f t="shared" ca="1" si="231"/>
        <v>199</v>
      </c>
      <c r="X210" s="136">
        <f t="shared" ca="1" si="198"/>
        <v>162.999000999001</v>
      </c>
      <c r="Y210" s="21">
        <f t="shared" si="199"/>
        <v>1</v>
      </c>
      <c r="Z210" s="21" t="str">
        <f t="shared" si="200"/>
        <v>&lt;IE0</v>
      </c>
      <c r="AA210" s="21">
        <f t="shared" si="201"/>
        <v>1</v>
      </c>
      <c r="AB210" s="21" t="str">
        <f t="shared" si="202"/>
        <v>a - "&lt; 1990 (Eff3)"</v>
      </c>
      <c r="AC210" s="21">
        <f t="shared" si="203"/>
        <v>999999</v>
      </c>
      <c r="AD210" s="21" t="str">
        <f t="shared" si="204"/>
        <v/>
      </c>
      <c r="AE210" s="21" t="str">
        <f t="shared" si="205"/>
        <v/>
      </c>
      <c r="AF210" s="21" t="str">
        <f t="shared" si="206"/>
        <v/>
      </c>
      <c r="AG210" s="21">
        <f t="shared" si="207"/>
        <v>0</v>
      </c>
      <c r="AH210" s="21">
        <f>IF('Etape 1'!H206=St.Wert_Hacken,1,0)</f>
        <v>0</v>
      </c>
      <c r="AI210" s="21">
        <f t="shared" si="208"/>
        <v>0</v>
      </c>
      <c r="AJ210" s="21">
        <f t="shared" si="209"/>
        <v>1000999</v>
      </c>
      <c r="AK210" s="58">
        <f t="shared" si="210"/>
        <v>1100</v>
      </c>
      <c r="AL210" s="58">
        <f t="shared" si="211"/>
        <v>440</v>
      </c>
      <c r="AM210" s="21">
        <f t="shared" si="212"/>
        <v>0</v>
      </c>
      <c r="AN210" s="58">
        <f t="shared" si="213"/>
        <v>1</v>
      </c>
      <c r="AO210" s="58" t="str">
        <f t="shared" si="214"/>
        <v>114</v>
      </c>
      <c r="AP210" s="58" t="str">
        <f t="shared" si="215"/>
        <v>164</v>
      </c>
      <c r="AQ210" s="21" t="e">
        <f t="shared" si="216"/>
        <v>#NUM!</v>
      </c>
      <c r="AR210" s="21" t="e">
        <f t="shared" si="217"/>
        <v>#NUM!</v>
      </c>
      <c r="AS210" s="136" t="e">
        <f t="shared" si="237"/>
        <v>#NUM!</v>
      </c>
      <c r="AT210" s="59" t="e">
        <f t="shared" si="218"/>
        <v>#NUM!</v>
      </c>
      <c r="AU210" s="21" t="e">
        <f t="shared" si="219"/>
        <v>#NUM!</v>
      </c>
      <c r="AV210" s="58">
        <f t="shared" si="220"/>
        <v>1500</v>
      </c>
      <c r="AW210" s="58">
        <f t="shared" si="221"/>
        <v>600</v>
      </c>
      <c r="AX210" s="60">
        <f t="shared" si="222"/>
        <v>0.11</v>
      </c>
      <c r="AY210" s="212">
        <f t="shared" si="238"/>
        <v>0</v>
      </c>
      <c r="AZ210" s="59">
        <f t="shared" si="223"/>
        <v>0</v>
      </c>
      <c r="BA210" s="21" t="e">
        <f t="shared" si="224"/>
        <v>#DIV/0!</v>
      </c>
      <c r="BB210" s="58">
        <f t="shared" si="225"/>
        <v>2900</v>
      </c>
      <c r="BC210" s="58">
        <f t="shared" si="226"/>
        <v>1160</v>
      </c>
      <c r="BD210" s="60">
        <f t="shared" si="227"/>
        <v>0.15</v>
      </c>
      <c r="BE210" s="212" t="e">
        <f t="shared" si="239"/>
        <v>#NUM!</v>
      </c>
      <c r="BF210" s="59" t="e">
        <f t="shared" si="228"/>
        <v>#NUM!</v>
      </c>
      <c r="BG210" s="21" t="e">
        <f t="shared" si="229"/>
        <v>#NUM!</v>
      </c>
      <c r="BH210" s="55">
        <f t="shared" ca="1" si="232"/>
        <v>0</v>
      </c>
    </row>
    <row r="211" spans="1:60" x14ac:dyDescent="0.2">
      <c r="A211" s="61">
        <f ca="1">RANK(W211,W$12:W$311,0)+COUNTIF(W$12:W211,W211)-1</f>
        <v>101</v>
      </c>
      <c r="B211" s="55">
        <f>'Etape 1'!A207</f>
        <v>200</v>
      </c>
      <c r="C211" s="55">
        <f>'Etape 1'!B207</f>
        <v>0</v>
      </c>
      <c r="D211" s="55">
        <f>'Etape 1'!C207</f>
        <v>0</v>
      </c>
      <c r="E211" s="55">
        <f>'Etape 1'!D207</f>
        <v>0</v>
      </c>
      <c r="F211" s="55">
        <f>'Etape 1'!E207</f>
        <v>0</v>
      </c>
      <c r="G211" s="55">
        <f>'Etape 1'!F207</f>
        <v>0</v>
      </c>
      <c r="H211" s="55">
        <f>'Etape 1'!G207</f>
        <v>0</v>
      </c>
      <c r="I211" s="209">
        <v>1</v>
      </c>
      <c r="J211" s="58">
        <f t="shared" si="240"/>
        <v>0</v>
      </c>
      <c r="K211" s="21">
        <f t="shared" si="192"/>
        <v>0</v>
      </c>
      <c r="L211" s="21">
        <f t="shared" si="193"/>
        <v>0</v>
      </c>
      <c r="M211" s="21">
        <f t="shared" ca="1" si="194"/>
        <v>3</v>
      </c>
      <c r="N211" s="21">
        <f t="shared" ca="1" si="195"/>
        <v>3</v>
      </c>
      <c r="O211" s="21">
        <f t="shared" ca="1" si="196"/>
        <v>0</v>
      </c>
      <c r="P211" s="262" t="str">
        <f>IF('Etape 1'!J207=999,"",IF('Etape 1'!J207=9999,txt_Schritt1.Angaben.fehlen,VLOOKUP(N211,Matrix_1.2.3.Test.Punkte.ID.Beurteilung,4,1)))</f>
        <v/>
      </c>
      <c r="Q211" s="21">
        <f t="shared" ca="1" si="197"/>
        <v>0</v>
      </c>
      <c r="R211" s="136">
        <f t="shared" si="233"/>
        <v>200</v>
      </c>
      <c r="S211" s="136">
        <f t="shared" ca="1" si="230"/>
        <v>162.66445182724252</v>
      </c>
      <c r="T211" s="136">
        <f t="shared" ca="1" si="234"/>
        <v>750.66445182724249</v>
      </c>
      <c r="U211" s="136">
        <f t="shared" ca="1" si="235"/>
        <v>1224000.6644518273</v>
      </c>
      <c r="V211" s="211">
        <f t="shared" ca="1" si="236"/>
        <v>235406.85649614665</v>
      </c>
      <c r="W211" s="136">
        <f t="shared" ca="1" si="231"/>
        <v>200</v>
      </c>
      <c r="X211" s="136">
        <f t="shared" ca="1" si="198"/>
        <v>162.999000999001</v>
      </c>
      <c r="Y211" s="21">
        <f t="shared" si="199"/>
        <v>1</v>
      </c>
      <c r="Z211" s="21" t="str">
        <f t="shared" si="200"/>
        <v>&lt;IE0</v>
      </c>
      <c r="AA211" s="21">
        <f t="shared" si="201"/>
        <v>1</v>
      </c>
      <c r="AB211" s="21" t="str">
        <f t="shared" si="202"/>
        <v>a - "&lt; 1990 (Eff3)"</v>
      </c>
      <c r="AC211" s="21">
        <f t="shared" si="203"/>
        <v>999999</v>
      </c>
      <c r="AD211" s="21" t="str">
        <f t="shared" si="204"/>
        <v/>
      </c>
      <c r="AE211" s="21" t="str">
        <f t="shared" si="205"/>
        <v/>
      </c>
      <c r="AF211" s="21" t="str">
        <f t="shared" si="206"/>
        <v/>
      </c>
      <c r="AG211" s="21">
        <f t="shared" si="207"/>
        <v>0</v>
      </c>
      <c r="AH211" s="21">
        <f>IF('Etape 1'!H207=St.Wert_Hacken,1,0)</f>
        <v>0</v>
      </c>
      <c r="AI211" s="21">
        <f t="shared" si="208"/>
        <v>0</v>
      </c>
      <c r="AJ211" s="21">
        <f t="shared" si="209"/>
        <v>1000999</v>
      </c>
      <c r="AK211" s="58">
        <f t="shared" si="210"/>
        <v>1100</v>
      </c>
      <c r="AL211" s="58">
        <f t="shared" si="211"/>
        <v>440</v>
      </c>
      <c r="AM211" s="21">
        <f t="shared" si="212"/>
        <v>0</v>
      </c>
      <c r="AN211" s="58">
        <f t="shared" si="213"/>
        <v>1</v>
      </c>
      <c r="AO211" s="58" t="str">
        <f t="shared" si="214"/>
        <v>114</v>
      </c>
      <c r="AP211" s="58" t="str">
        <f t="shared" si="215"/>
        <v>164</v>
      </c>
      <c r="AQ211" s="21" t="e">
        <f t="shared" si="216"/>
        <v>#NUM!</v>
      </c>
      <c r="AR211" s="21" t="e">
        <f t="shared" si="217"/>
        <v>#NUM!</v>
      </c>
      <c r="AS211" s="136" t="e">
        <f t="shared" si="237"/>
        <v>#NUM!</v>
      </c>
      <c r="AT211" s="59" t="e">
        <f t="shared" si="218"/>
        <v>#NUM!</v>
      </c>
      <c r="AU211" s="21" t="e">
        <f t="shared" si="219"/>
        <v>#NUM!</v>
      </c>
      <c r="AV211" s="58">
        <f t="shared" si="220"/>
        <v>1500</v>
      </c>
      <c r="AW211" s="58">
        <f t="shared" si="221"/>
        <v>600</v>
      </c>
      <c r="AX211" s="60">
        <f t="shared" si="222"/>
        <v>0.11</v>
      </c>
      <c r="AY211" s="212">
        <f t="shared" si="238"/>
        <v>0</v>
      </c>
      <c r="AZ211" s="59">
        <f t="shared" si="223"/>
        <v>0</v>
      </c>
      <c r="BA211" s="21" t="e">
        <f t="shared" si="224"/>
        <v>#DIV/0!</v>
      </c>
      <c r="BB211" s="58">
        <f t="shared" si="225"/>
        <v>2900</v>
      </c>
      <c r="BC211" s="58">
        <f t="shared" si="226"/>
        <v>1160</v>
      </c>
      <c r="BD211" s="60">
        <f t="shared" si="227"/>
        <v>0.15</v>
      </c>
      <c r="BE211" s="212" t="e">
        <f t="shared" si="239"/>
        <v>#NUM!</v>
      </c>
      <c r="BF211" s="59" t="e">
        <f t="shared" si="228"/>
        <v>#NUM!</v>
      </c>
      <c r="BG211" s="21" t="e">
        <f t="shared" si="229"/>
        <v>#NUM!</v>
      </c>
      <c r="BH211" s="55">
        <f t="shared" ca="1" si="232"/>
        <v>0</v>
      </c>
    </row>
    <row r="212" spans="1:60" x14ac:dyDescent="0.2">
      <c r="A212" s="61">
        <f ca="1">RANK(W212,W$12:W$311,0)+COUNTIF(W$12:W212,W212)-1</f>
        <v>100</v>
      </c>
      <c r="B212" s="55">
        <f>'Etape 1'!A208</f>
        <v>201</v>
      </c>
      <c r="C212" s="55">
        <f>'Etape 1'!B208</f>
        <v>0</v>
      </c>
      <c r="D212" s="55">
        <f>'Etape 1'!C208</f>
        <v>0</v>
      </c>
      <c r="E212" s="55">
        <f>'Etape 1'!D208</f>
        <v>0</v>
      </c>
      <c r="F212" s="55">
        <f>'Etape 1'!E208</f>
        <v>0</v>
      </c>
      <c r="G212" s="55">
        <f>'Etape 1'!F208</f>
        <v>0</v>
      </c>
      <c r="H212" s="55">
        <f>'Etape 1'!G208</f>
        <v>0</v>
      </c>
      <c r="I212" s="209">
        <v>1</v>
      </c>
      <c r="J212" s="58">
        <f t="shared" si="240"/>
        <v>0</v>
      </c>
      <c r="K212" s="21">
        <f t="shared" si="192"/>
        <v>0</v>
      </c>
      <c r="L212" s="21">
        <f t="shared" si="193"/>
        <v>0</v>
      </c>
      <c r="M212" s="21">
        <f t="shared" ca="1" si="194"/>
        <v>3</v>
      </c>
      <c r="N212" s="21">
        <f t="shared" ca="1" si="195"/>
        <v>3</v>
      </c>
      <c r="O212" s="21">
        <f t="shared" ca="1" si="196"/>
        <v>0</v>
      </c>
      <c r="P212" s="262" t="str">
        <f>IF('Etape 1'!J208=999,"",IF('Etape 1'!J208=9999,txt_Schritt1.Angaben.fehlen,VLOOKUP(N212,Matrix_1.2.3.Test.Punkte.ID.Beurteilung,4,1)))</f>
        <v/>
      </c>
      <c r="Q212" s="21">
        <f t="shared" ca="1" si="197"/>
        <v>0</v>
      </c>
      <c r="R212" s="136">
        <f t="shared" si="233"/>
        <v>201</v>
      </c>
      <c r="S212" s="136">
        <f t="shared" ca="1" si="230"/>
        <v>162.66777408637873</v>
      </c>
      <c r="T212" s="136">
        <f t="shared" ca="1" si="234"/>
        <v>750.6677740863787</v>
      </c>
      <c r="U212" s="136">
        <f t="shared" ca="1" si="235"/>
        <v>1224000.6677740864</v>
      </c>
      <c r="V212" s="211">
        <f t="shared" ca="1" si="236"/>
        <v>235406.85981840579</v>
      </c>
      <c r="W212" s="136">
        <f t="shared" ca="1" si="231"/>
        <v>201</v>
      </c>
      <c r="X212" s="136">
        <f t="shared" ca="1" si="198"/>
        <v>162.999000999001</v>
      </c>
      <c r="Y212" s="21">
        <f t="shared" si="199"/>
        <v>1</v>
      </c>
      <c r="Z212" s="21" t="str">
        <f t="shared" si="200"/>
        <v>&lt;IE0</v>
      </c>
      <c r="AA212" s="21">
        <f t="shared" si="201"/>
        <v>1</v>
      </c>
      <c r="AB212" s="21" t="str">
        <f t="shared" si="202"/>
        <v>a - "&lt; 1990 (Eff3)"</v>
      </c>
      <c r="AC212" s="21">
        <f t="shared" si="203"/>
        <v>999999</v>
      </c>
      <c r="AD212" s="21" t="str">
        <f t="shared" si="204"/>
        <v/>
      </c>
      <c r="AE212" s="21" t="str">
        <f t="shared" si="205"/>
        <v/>
      </c>
      <c r="AF212" s="21" t="str">
        <f t="shared" si="206"/>
        <v/>
      </c>
      <c r="AG212" s="21">
        <f t="shared" si="207"/>
        <v>0</v>
      </c>
      <c r="AH212" s="21">
        <f>IF('Etape 1'!H208=St.Wert_Hacken,1,0)</f>
        <v>0</v>
      </c>
      <c r="AI212" s="21">
        <f t="shared" si="208"/>
        <v>0</v>
      </c>
      <c r="AJ212" s="21">
        <f t="shared" si="209"/>
        <v>1000999</v>
      </c>
      <c r="AK212" s="58">
        <f t="shared" si="210"/>
        <v>1100</v>
      </c>
      <c r="AL212" s="58">
        <f t="shared" si="211"/>
        <v>440</v>
      </c>
      <c r="AM212" s="21">
        <f t="shared" si="212"/>
        <v>0</v>
      </c>
      <c r="AN212" s="58">
        <f t="shared" si="213"/>
        <v>1</v>
      </c>
      <c r="AO212" s="58" t="str">
        <f t="shared" si="214"/>
        <v>114</v>
      </c>
      <c r="AP212" s="58" t="str">
        <f t="shared" si="215"/>
        <v>164</v>
      </c>
      <c r="AQ212" s="21" t="e">
        <f t="shared" si="216"/>
        <v>#NUM!</v>
      </c>
      <c r="AR212" s="21" t="e">
        <f t="shared" si="217"/>
        <v>#NUM!</v>
      </c>
      <c r="AS212" s="136" t="e">
        <f t="shared" si="237"/>
        <v>#NUM!</v>
      </c>
      <c r="AT212" s="59" t="e">
        <f t="shared" si="218"/>
        <v>#NUM!</v>
      </c>
      <c r="AU212" s="21" t="e">
        <f t="shared" si="219"/>
        <v>#NUM!</v>
      </c>
      <c r="AV212" s="58">
        <f t="shared" si="220"/>
        <v>1500</v>
      </c>
      <c r="AW212" s="58">
        <f t="shared" si="221"/>
        <v>600</v>
      </c>
      <c r="AX212" s="60">
        <f t="shared" si="222"/>
        <v>0.11</v>
      </c>
      <c r="AY212" s="212">
        <f t="shared" si="238"/>
        <v>0</v>
      </c>
      <c r="AZ212" s="59">
        <f t="shared" si="223"/>
        <v>0</v>
      </c>
      <c r="BA212" s="21" t="e">
        <f t="shared" si="224"/>
        <v>#DIV/0!</v>
      </c>
      <c r="BB212" s="58">
        <f t="shared" si="225"/>
        <v>2900</v>
      </c>
      <c r="BC212" s="58">
        <f t="shared" si="226"/>
        <v>1160</v>
      </c>
      <c r="BD212" s="60">
        <f t="shared" si="227"/>
        <v>0.15</v>
      </c>
      <c r="BE212" s="212" t="e">
        <f t="shared" si="239"/>
        <v>#NUM!</v>
      </c>
      <c r="BF212" s="59" t="e">
        <f t="shared" si="228"/>
        <v>#NUM!</v>
      </c>
      <c r="BG212" s="21" t="e">
        <f t="shared" si="229"/>
        <v>#NUM!</v>
      </c>
      <c r="BH212" s="55">
        <f t="shared" ca="1" si="232"/>
        <v>0</v>
      </c>
    </row>
    <row r="213" spans="1:60" x14ac:dyDescent="0.2">
      <c r="A213" s="61">
        <f ca="1">RANK(W213,W$12:W$311,0)+COUNTIF(W$12:W213,W213)-1</f>
        <v>99</v>
      </c>
      <c r="B213" s="55">
        <f>'Etape 1'!A209</f>
        <v>202</v>
      </c>
      <c r="C213" s="55">
        <f>'Etape 1'!B209</f>
        <v>0</v>
      </c>
      <c r="D213" s="55">
        <f>'Etape 1'!C209</f>
        <v>0</v>
      </c>
      <c r="E213" s="55">
        <f>'Etape 1'!D209</f>
        <v>0</v>
      </c>
      <c r="F213" s="55">
        <f>'Etape 1'!E209</f>
        <v>0</v>
      </c>
      <c r="G213" s="55">
        <f>'Etape 1'!F209</f>
        <v>0</v>
      </c>
      <c r="H213" s="55">
        <f>'Etape 1'!G209</f>
        <v>0</v>
      </c>
      <c r="I213" s="209">
        <v>1</v>
      </c>
      <c r="J213" s="58">
        <f t="shared" si="240"/>
        <v>0</v>
      </c>
      <c r="K213" s="21">
        <f t="shared" si="192"/>
        <v>0</v>
      </c>
      <c r="L213" s="21">
        <f t="shared" si="193"/>
        <v>0</v>
      </c>
      <c r="M213" s="21">
        <f t="shared" ca="1" si="194"/>
        <v>3</v>
      </c>
      <c r="N213" s="21">
        <f t="shared" ca="1" si="195"/>
        <v>3</v>
      </c>
      <c r="O213" s="21">
        <f t="shared" ca="1" si="196"/>
        <v>0</v>
      </c>
      <c r="P213" s="262" t="str">
        <f>IF('Etape 1'!J209=999,"",IF('Etape 1'!J209=9999,txt_Schritt1.Angaben.fehlen,VLOOKUP(N213,Matrix_1.2.3.Test.Punkte.ID.Beurteilung,4,1)))</f>
        <v/>
      </c>
      <c r="Q213" s="21">
        <f t="shared" ca="1" si="197"/>
        <v>0</v>
      </c>
      <c r="R213" s="136">
        <f t="shared" si="233"/>
        <v>202</v>
      </c>
      <c r="S213" s="136">
        <f t="shared" ca="1" si="230"/>
        <v>162.67109634551494</v>
      </c>
      <c r="T213" s="136">
        <f t="shared" ca="1" si="234"/>
        <v>750.67109634551491</v>
      </c>
      <c r="U213" s="136">
        <f t="shared" ca="1" si="235"/>
        <v>1224000.6710963454</v>
      </c>
      <c r="V213" s="211">
        <f t="shared" ca="1" si="236"/>
        <v>235406.86314066494</v>
      </c>
      <c r="W213" s="136">
        <f t="shared" ca="1" si="231"/>
        <v>202</v>
      </c>
      <c r="X213" s="136">
        <f t="shared" ca="1" si="198"/>
        <v>162.999000999001</v>
      </c>
      <c r="Y213" s="21">
        <f t="shared" si="199"/>
        <v>1</v>
      </c>
      <c r="Z213" s="21" t="str">
        <f t="shared" si="200"/>
        <v>&lt;IE0</v>
      </c>
      <c r="AA213" s="21">
        <f t="shared" si="201"/>
        <v>1</v>
      </c>
      <c r="AB213" s="21" t="str">
        <f t="shared" si="202"/>
        <v>a - "&lt; 1990 (Eff3)"</v>
      </c>
      <c r="AC213" s="21">
        <f t="shared" si="203"/>
        <v>999999</v>
      </c>
      <c r="AD213" s="21" t="str">
        <f t="shared" si="204"/>
        <v/>
      </c>
      <c r="AE213" s="21" t="str">
        <f t="shared" si="205"/>
        <v/>
      </c>
      <c r="AF213" s="21" t="str">
        <f t="shared" si="206"/>
        <v/>
      </c>
      <c r="AG213" s="21">
        <f t="shared" si="207"/>
        <v>0</v>
      </c>
      <c r="AH213" s="21">
        <f>IF('Etape 1'!H209=St.Wert_Hacken,1,0)</f>
        <v>0</v>
      </c>
      <c r="AI213" s="21">
        <f t="shared" si="208"/>
        <v>0</v>
      </c>
      <c r="AJ213" s="21">
        <f t="shared" si="209"/>
        <v>1000999</v>
      </c>
      <c r="AK213" s="58">
        <f t="shared" si="210"/>
        <v>1100</v>
      </c>
      <c r="AL213" s="58">
        <f t="shared" si="211"/>
        <v>440</v>
      </c>
      <c r="AM213" s="21">
        <f t="shared" si="212"/>
        <v>0</v>
      </c>
      <c r="AN213" s="58">
        <f t="shared" si="213"/>
        <v>1</v>
      </c>
      <c r="AO213" s="58" t="str">
        <f t="shared" si="214"/>
        <v>114</v>
      </c>
      <c r="AP213" s="58" t="str">
        <f t="shared" si="215"/>
        <v>164</v>
      </c>
      <c r="AQ213" s="21" t="e">
        <f t="shared" si="216"/>
        <v>#NUM!</v>
      </c>
      <c r="AR213" s="21" t="e">
        <f t="shared" si="217"/>
        <v>#NUM!</v>
      </c>
      <c r="AS213" s="136" t="e">
        <f t="shared" si="237"/>
        <v>#NUM!</v>
      </c>
      <c r="AT213" s="59" t="e">
        <f t="shared" si="218"/>
        <v>#NUM!</v>
      </c>
      <c r="AU213" s="21" t="e">
        <f t="shared" si="219"/>
        <v>#NUM!</v>
      </c>
      <c r="AV213" s="58">
        <f t="shared" si="220"/>
        <v>1500</v>
      </c>
      <c r="AW213" s="58">
        <f t="shared" si="221"/>
        <v>600</v>
      </c>
      <c r="AX213" s="60">
        <f t="shared" si="222"/>
        <v>0.11</v>
      </c>
      <c r="AY213" s="212">
        <f t="shared" si="238"/>
        <v>0</v>
      </c>
      <c r="AZ213" s="59">
        <f t="shared" si="223"/>
        <v>0</v>
      </c>
      <c r="BA213" s="21" t="e">
        <f t="shared" si="224"/>
        <v>#DIV/0!</v>
      </c>
      <c r="BB213" s="58">
        <f t="shared" si="225"/>
        <v>2900</v>
      </c>
      <c r="BC213" s="58">
        <f t="shared" si="226"/>
        <v>1160</v>
      </c>
      <c r="BD213" s="60">
        <f t="shared" si="227"/>
        <v>0.15</v>
      </c>
      <c r="BE213" s="212" t="e">
        <f t="shared" si="239"/>
        <v>#NUM!</v>
      </c>
      <c r="BF213" s="59" t="e">
        <f t="shared" si="228"/>
        <v>#NUM!</v>
      </c>
      <c r="BG213" s="21" t="e">
        <f t="shared" si="229"/>
        <v>#NUM!</v>
      </c>
      <c r="BH213" s="55">
        <f t="shared" ca="1" si="232"/>
        <v>0</v>
      </c>
    </row>
    <row r="214" spans="1:60" x14ac:dyDescent="0.2">
      <c r="A214" s="61">
        <f ca="1">RANK(W214,W$12:W$311,0)+COUNTIF(W$12:W214,W214)-1</f>
        <v>98</v>
      </c>
      <c r="B214" s="55">
        <f>'Etape 1'!A210</f>
        <v>203</v>
      </c>
      <c r="C214" s="55">
        <f>'Etape 1'!B210</f>
        <v>0</v>
      </c>
      <c r="D214" s="55">
        <f>'Etape 1'!C210</f>
        <v>0</v>
      </c>
      <c r="E214" s="55">
        <f>'Etape 1'!D210</f>
        <v>0</v>
      </c>
      <c r="F214" s="55">
        <f>'Etape 1'!E210</f>
        <v>0</v>
      </c>
      <c r="G214" s="55">
        <f>'Etape 1'!F210</f>
        <v>0</v>
      </c>
      <c r="H214" s="55">
        <f>'Etape 1'!G210</f>
        <v>0</v>
      </c>
      <c r="I214" s="209">
        <v>1</v>
      </c>
      <c r="J214" s="58">
        <f t="shared" si="240"/>
        <v>0</v>
      </c>
      <c r="K214" s="21">
        <f t="shared" si="192"/>
        <v>0</v>
      </c>
      <c r="L214" s="21">
        <f t="shared" si="193"/>
        <v>0</v>
      </c>
      <c r="M214" s="21">
        <f t="shared" ca="1" si="194"/>
        <v>3</v>
      </c>
      <c r="N214" s="21">
        <f t="shared" ca="1" si="195"/>
        <v>3</v>
      </c>
      <c r="O214" s="21">
        <f t="shared" ca="1" si="196"/>
        <v>0</v>
      </c>
      <c r="P214" s="262" t="str">
        <f>IF('Etape 1'!J210=999,"",IF('Etape 1'!J210=9999,txt_Schritt1.Angaben.fehlen,VLOOKUP(N214,Matrix_1.2.3.Test.Punkte.ID.Beurteilung,4,1)))</f>
        <v/>
      </c>
      <c r="Q214" s="21">
        <f t="shared" ca="1" si="197"/>
        <v>0</v>
      </c>
      <c r="R214" s="136">
        <f t="shared" si="233"/>
        <v>203</v>
      </c>
      <c r="S214" s="136">
        <f t="shared" ca="1" si="230"/>
        <v>162.67441860465115</v>
      </c>
      <c r="T214" s="136">
        <f t="shared" ca="1" si="234"/>
        <v>750.67441860465112</v>
      </c>
      <c r="U214" s="136">
        <f t="shared" ca="1" si="235"/>
        <v>1224000.6744186047</v>
      </c>
      <c r="V214" s="211">
        <f t="shared" ca="1" si="236"/>
        <v>235406.86646292405</v>
      </c>
      <c r="W214" s="136">
        <f t="shared" ca="1" si="231"/>
        <v>203</v>
      </c>
      <c r="X214" s="136">
        <f t="shared" ca="1" si="198"/>
        <v>162.999000999001</v>
      </c>
      <c r="Y214" s="21">
        <f t="shared" si="199"/>
        <v>1</v>
      </c>
      <c r="Z214" s="21" t="str">
        <f t="shared" si="200"/>
        <v>&lt;IE0</v>
      </c>
      <c r="AA214" s="21">
        <f t="shared" si="201"/>
        <v>1</v>
      </c>
      <c r="AB214" s="21" t="str">
        <f t="shared" si="202"/>
        <v>a - "&lt; 1990 (Eff3)"</v>
      </c>
      <c r="AC214" s="21">
        <f t="shared" si="203"/>
        <v>999999</v>
      </c>
      <c r="AD214" s="21" t="str">
        <f t="shared" si="204"/>
        <v/>
      </c>
      <c r="AE214" s="21" t="str">
        <f t="shared" si="205"/>
        <v/>
      </c>
      <c r="AF214" s="21" t="str">
        <f t="shared" si="206"/>
        <v/>
      </c>
      <c r="AG214" s="21">
        <f t="shared" si="207"/>
        <v>0</v>
      </c>
      <c r="AH214" s="21">
        <f>IF('Etape 1'!H210=St.Wert_Hacken,1,0)</f>
        <v>0</v>
      </c>
      <c r="AI214" s="21">
        <f t="shared" si="208"/>
        <v>0</v>
      </c>
      <c r="AJ214" s="21">
        <f t="shared" si="209"/>
        <v>1000999</v>
      </c>
      <c r="AK214" s="58">
        <f t="shared" si="210"/>
        <v>1100</v>
      </c>
      <c r="AL214" s="58">
        <f t="shared" si="211"/>
        <v>440</v>
      </c>
      <c r="AM214" s="21">
        <f t="shared" si="212"/>
        <v>0</v>
      </c>
      <c r="AN214" s="58">
        <f t="shared" si="213"/>
        <v>1</v>
      </c>
      <c r="AO214" s="58" t="str">
        <f t="shared" si="214"/>
        <v>114</v>
      </c>
      <c r="AP214" s="58" t="str">
        <f t="shared" si="215"/>
        <v>164</v>
      </c>
      <c r="AQ214" s="21" t="e">
        <f t="shared" si="216"/>
        <v>#NUM!</v>
      </c>
      <c r="AR214" s="21" t="e">
        <f t="shared" si="217"/>
        <v>#NUM!</v>
      </c>
      <c r="AS214" s="136" t="e">
        <f t="shared" si="237"/>
        <v>#NUM!</v>
      </c>
      <c r="AT214" s="59" t="e">
        <f t="shared" si="218"/>
        <v>#NUM!</v>
      </c>
      <c r="AU214" s="21" t="e">
        <f t="shared" si="219"/>
        <v>#NUM!</v>
      </c>
      <c r="AV214" s="58">
        <f t="shared" si="220"/>
        <v>1500</v>
      </c>
      <c r="AW214" s="58">
        <f t="shared" si="221"/>
        <v>600</v>
      </c>
      <c r="AX214" s="60">
        <f t="shared" si="222"/>
        <v>0.11</v>
      </c>
      <c r="AY214" s="212">
        <f t="shared" si="238"/>
        <v>0</v>
      </c>
      <c r="AZ214" s="59">
        <f t="shared" si="223"/>
        <v>0</v>
      </c>
      <c r="BA214" s="21" t="e">
        <f t="shared" si="224"/>
        <v>#DIV/0!</v>
      </c>
      <c r="BB214" s="58">
        <f t="shared" si="225"/>
        <v>2900</v>
      </c>
      <c r="BC214" s="58">
        <f t="shared" si="226"/>
        <v>1160</v>
      </c>
      <c r="BD214" s="60">
        <f t="shared" si="227"/>
        <v>0.15</v>
      </c>
      <c r="BE214" s="212" t="e">
        <f t="shared" si="239"/>
        <v>#NUM!</v>
      </c>
      <c r="BF214" s="59" t="e">
        <f t="shared" si="228"/>
        <v>#NUM!</v>
      </c>
      <c r="BG214" s="21" t="e">
        <f t="shared" si="229"/>
        <v>#NUM!</v>
      </c>
      <c r="BH214" s="55">
        <f t="shared" ca="1" si="232"/>
        <v>0</v>
      </c>
    </row>
    <row r="215" spans="1:60" x14ac:dyDescent="0.2">
      <c r="A215" s="61">
        <f ca="1">RANK(W215,W$12:W$311,0)+COUNTIF(W$12:W215,W215)-1</f>
        <v>97</v>
      </c>
      <c r="B215" s="55">
        <f>'Etape 1'!A211</f>
        <v>204</v>
      </c>
      <c r="C215" s="55">
        <f>'Etape 1'!B211</f>
        <v>0</v>
      </c>
      <c r="D215" s="55">
        <f>'Etape 1'!C211</f>
        <v>0</v>
      </c>
      <c r="E215" s="55">
        <f>'Etape 1'!D211</f>
        <v>0</v>
      </c>
      <c r="F215" s="55">
        <f>'Etape 1'!E211</f>
        <v>0</v>
      </c>
      <c r="G215" s="55">
        <f>'Etape 1'!F211</f>
        <v>0</v>
      </c>
      <c r="H215" s="55">
        <f>'Etape 1'!G211</f>
        <v>0</v>
      </c>
      <c r="I215" s="209">
        <v>1</v>
      </c>
      <c r="J215" s="58">
        <f t="shared" si="240"/>
        <v>0</v>
      </c>
      <c r="K215" s="21">
        <f t="shared" si="192"/>
        <v>0</v>
      </c>
      <c r="L215" s="21">
        <f t="shared" si="193"/>
        <v>0</v>
      </c>
      <c r="M215" s="21">
        <f t="shared" ca="1" si="194"/>
        <v>3</v>
      </c>
      <c r="N215" s="21">
        <f t="shared" ca="1" si="195"/>
        <v>3</v>
      </c>
      <c r="O215" s="21">
        <f t="shared" ca="1" si="196"/>
        <v>0</v>
      </c>
      <c r="P215" s="262" t="str">
        <f>IF('Etape 1'!J211=999,"",IF('Etape 1'!J211=9999,txt_Schritt1.Angaben.fehlen,VLOOKUP(N215,Matrix_1.2.3.Test.Punkte.ID.Beurteilung,4,1)))</f>
        <v/>
      </c>
      <c r="Q215" s="21">
        <f t="shared" ca="1" si="197"/>
        <v>0</v>
      </c>
      <c r="R215" s="136">
        <f t="shared" si="233"/>
        <v>204</v>
      </c>
      <c r="S215" s="136">
        <f t="shared" ca="1" si="230"/>
        <v>162.67774086378736</v>
      </c>
      <c r="T215" s="136">
        <f t="shared" ca="1" si="234"/>
        <v>750.67774086378734</v>
      </c>
      <c r="U215" s="136">
        <f t="shared" ca="1" si="235"/>
        <v>1224000.6777408638</v>
      </c>
      <c r="V215" s="211">
        <f t="shared" ca="1" si="236"/>
        <v>235406.8697851832</v>
      </c>
      <c r="W215" s="136">
        <f t="shared" ca="1" si="231"/>
        <v>204</v>
      </c>
      <c r="X215" s="136">
        <f t="shared" ca="1" si="198"/>
        <v>162.999000999001</v>
      </c>
      <c r="Y215" s="21">
        <f t="shared" si="199"/>
        <v>1</v>
      </c>
      <c r="Z215" s="21" t="str">
        <f t="shared" si="200"/>
        <v>&lt;IE0</v>
      </c>
      <c r="AA215" s="21">
        <f t="shared" si="201"/>
        <v>1</v>
      </c>
      <c r="AB215" s="21" t="str">
        <f t="shared" si="202"/>
        <v>a - "&lt; 1990 (Eff3)"</v>
      </c>
      <c r="AC215" s="21">
        <f t="shared" si="203"/>
        <v>999999</v>
      </c>
      <c r="AD215" s="21" t="str">
        <f t="shared" si="204"/>
        <v/>
      </c>
      <c r="AE215" s="21" t="str">
        <f t="shared" si="205"/>
        <v/>
      </c>
      <c r="AF215" s="21" t="str">
        <f t="shared" si="206"/>
        <v/>
      </c>
      <c r="AG215" s="21">
        <f t="shared" si="207"/>
        <v>0</v>
      </c>
      <c r="AH215" s="21">
        <f>IF('Etape 1'!H211=St.Wert_Hacken,1,0)</f>
        <v>0</v>
      </c>
      <c r="AI215" s="21">
        <f t="shared" si="208"/>
        <v>0</v>
      </c>
      <c r="AJ215" s="21">
        <f t="shared" si="209"/>
        <v>1000999</v>
      </c>
      <c r="AK215" s="58">
        <f t="shared" si="210"/>
        <v>1100</v>
      </c>
      <c r="AL215" s="58">
        <f t="shared" si="211"/>
        <v>440</v>
      </c>
      <c r="AM215" s="21">
        <f t="shared" si="212"/>
        <v>0</v>
      </c>
      <c r="AN215" s="58">
        <f t="shared" si="213"/>
        <v>1</v>
      </c>
      <c r="AO215" s="58" t="str">
        <f t="shared" si="214"/>
        <v>114</v>
      </c>
      <c r="AP215" s="58" t="str">
        <f t="shared" si="215"/>
        <v>164</v>
      </c>
      <c r="AQ215" s="21" t="e">
        <f t="shared" si="216"/>
        <v>#NUM!</v>
      </c>
      <c r="AR215" s="21" t="e">
        <f t="shared" si="217"/>
        <v>#NUM!</v>
      </c>
      <c r="AS215" s="136" t="e">
        <f t="shared" si="237"/>
        <v>#NUM!</v>
      </c>
      <c r="AT215" s="59" t="e">
        <f t="shared" si="218"/>
        <v>#NUM!</v>
      </c>
      <c r="AU215" s="21" t="e">
        <f t="shared" si="219"/>
        <v>#NUM!</v>
      </c>
      <c r="AV215" s="58">
        <f t="shared" si="220"/>
        <v>1500</v>
      </c>
      <c r="AW215" s="58">
        <f t="shared" si="221"/>
        <v>600</v>
      </c>
      <c r="AX215" s="60">
        <f t="shared" si="222"/>
        <v>0.11</v>
      </c>
      <c r="AY215" s="212">
        <f t="shared" si="238"/>
        <v>0</v>
      </c>
      <c r="AZ215" s="59">
        <f t="shared" si="223"/>
        <v>0</v>
      </c>
      <c r="BA215" s="21" t="e">
        <f t="shared" si="224"/>
        <v>#DIV/0!</v>
      </c>
      <c r="BB215" s="58">
        <f t="shared" si="225"/>
        <v>2900</v>
      </c>
      <c r="BC215" s="58">
        <f t="shared" si="226"/>
        <v>1160</v>
      </c>
      <c r="BD215" s="60">
        <f t="shared" si="227"/>
        <v>0.15</v>
      </c>
      <c r="BE215" s="212" t="e">
        <f t="shared" si="239"/>
        <v>#NUM!</v>
      </c>
      <c r="BF215" s="59" t="e">
        <f t="shared" si="228"/>
        <v>#NUM!</v>
      </c>
      <c r="BG215" s="21" t="e">
        <f t="shared" si="229"/>
        <v>#NUM!</v>
      </c>
      <c r="BH215" s="55">
        <f t="shared" ca="1" si="232"/>
        <v>0</v>
      </c>
    </row>
    <row r="216" spans="1:60" x14ac:dyDescent="0.2">
      <c r="A216" s="61">
        <f ca="1">RANK(W216,W$12:W$311,0)+COUNTIF(W$12:W216,W216)-1</f>
        <v>96</v>
      </c>
      <c r="B216" s="55">
        <f>'Etape 1'!A212</f>
        <v>205</v>
      </c>
      <c r="C216" s="55">
        <f>'Etape 1'!B212</f>
        <v>0</v>
      </c>
      <c r="D216" s="55">
        <f>'Etape 1'!C212</f>
        <v>0</v>
      </c>
      <c r="E216" s="55">
        <f>'Etape 1'!D212</f>
        <v>0</v>
      </c>
      <c r="F216" s="55">
        <f>'Etape 1'!E212</f>
        <v>0</v>
      </c>
      <c r="G216" s="55">
        <f>'Etape 1'!F212</f>
        <v>0</v>
      </c>
      <c r="H216" s="55">
        <f>'Etape 1'!G212</f>
        <v>0</v>
      </c>
      <c r="I216" s="209">
        <v>1</v>
      </c>
      <c r="J216" s="58">
        <f t="shared" si="240"/>
        <v>0</v>
      </c>
      <c r="K216" s="21">
        <f t="shared" si="192"/>
        <v>0</v>
      </c>
      <c r="L216" s="21">
        <f t="shared" si="193"/>
        <v>0</v>
      </c>
      <c r="M216" s="21">
        <f t="shared" ca="1" si="194"/>
        <v>3</v>
      </c>
      <c r="N216" s="21">
        <f t="shared" ca="1" si="195"/>
        <v>3</v>
      </c>
      <c r="O216" s="21">
        <f t="shared" ca="1" si="196"/>
        <v>0</v>
      </c>
      <c r="P216" s="262" t="str">
        <f>IF('Etape 1'!J212=999,"",IF('Etape 1'!J212=9999,txt_Schritt1.Angaben.fehlen,VLOOKUP(N216,Matrix_1.2.3.Test.Punkte.ID.Beurteilung,4,1)))</f>
        <v/>
      </c>
      <c r="Q216" s="21">
        <f t="shared" ca="1" si="197"/>
        <v>0</v>
      </c>
      <c r="R216" s="136">
        <f t="shared" si="233"/>
        <v>205</v>
      </c>
      <c r="S216" s="136">
        <f t="shared" ca="1" si="230"/>
        <v>162.68106312292358</v>
      </c>
      <c r="T216" s="136">
        <f t="shared" ca="1" si="234"/>
        <v>750.68106312292355</v>
      </c>
      <c r="U216" s="136">
        <f t="shared" ca="1" si="235"/>
        <v>1224000.6810631228</v>
      </c>
      <c r="V216" s="211">
        <f t="shared" ca="1" si="236"/>
        <v>235406.87310744234</v>
      </c>
      <c r="W216" s="136">
        <f t="shared" ca="1" si="231"/>
        <v>205</v>
      </c>
      <c r="X216" s="136">
        <f t="shared" ca="1" si="198"/>
        <v>162.999000999001</v>
      </c>
      <c r="Y216" s="21">
        <f t="shared" si="199"/>
        <v>1</v>
      </c>
      <c r="Z216" s="21" t="str">
        <f t="shared" si="200"/>
        <v>&lt;IE0</v>
      </c>
      <c r="AA216" s="21">
        <f t="shared" si="201"/>
        <v>1</v>
      </c>
      <c r="AB216" s="21" t="str">
        <f t="shared" si="202"/>
        <v>a - "&lt; 1990 (Eff3)"</v>
      </c>
      <c r="AC216" s="21">
        <f t="shared" si="203"/>
        <v>999999</v>
      </c>
      <c r="AD216" s="21" t="str">
        <f t="shared" si="204"/>
        <v/>
      </c>
      <c r="AE216" s="21" t="str">
        <f t="shared" si="205"/>
        <v/>
      </c>
      <c r="AF216" s="21" t="str">
        <f t="shared" si="206"/>
        <v/>
      </c>
      <c r="AG216" s="21">
        <f t="shared" si="207"/>
        <v>0</v>
      </c>
      <c r="AH216" s="21">
        <f>IF('Etape 1'!H212=St.Wert_Hacken,1,0)</f>
        <v>0</v>
      </c>
      <c r="AI216" s="21">
        <f t="shared" si="208"/>
        <v>0</v>
      </c>
      <c r="AJ216" s="21">
        <f t="shared" si="209"/>
        <v>1000999</v>
      </c>
      <c r="AK216" s="58">
        <f t="shared" si="210"/>
        <v>1100</v>
      </c>
      <c r="AL216" s="58">
        <f t="shared" si="211"/>
        <v>440</v>
      </c>
      <c r="AM216" s="21">
        <f t="shared" si="212"/>
        <v>0</v>
      </c>
      <c r="AN216" s="58">
        <f t="shared" si="213"/>
        <v>1</v>
      </c>
      <c r="AO216" s="58" t="str">
        <f t="shared" si="214"/>
        <v>114</v>
      </c>
      <c r="AP216" s="58" t="str">
        <f t="shared" si="215"/>
        <v>164</v>
      </c>
      <c r="AQ216" s="21" t="e">
        <f t="shared" si="216"/>
        <v>#NUM!</v>
      </c>
      <c r="AR216" s="21" t="e">
        <f t="shared" si="217"/>
        <v>#NUM!</v>
      </c>
      <c r="AS216" s="136" t="e">
        <f t="shared" si="237"/>
        <v>#NUM!</v>
      </c>
      <c r="AT216" s="59" t="e">
        <f t="shared" si="218"/>
        <v>#NUM!</v>
      </c>
      <c r="AU216" s="21" t="e">
        <f t="shared" si="219"/>
        <v>#NUM!</v>
      </c>
      <c r="AV216" s="58">
        <f t="shared" si="220"/>
        <v>1500</v>
      </c>
      <c r="AW216" s="58">
        <f t="shared" si="221"/>
        <v>600</v>
      </c>
      <c r="AX216" s="60">
        <f t="shared" si="222"/>
        <v>0.11</v>
      </c>
      <c r="AY216" s="212">
        <f t="shared" si="238"/>
        <v>0</v>
      </c>
      <c r="AZ216" s="59">
        <f t="shared" si="223"/>
        <v>0</v>
      </c>
      <c r="BA216" s="21" t="e">
        <f t="shared" si="224"/>
        <v>#DIV/0!</v>
      </c>
      <c r="BB216" s="58">
        <f t="shared" si="225"/>
        <v>2900</v>
      </c>
      <c r="BC216" s="58">
        <f t="shared" si="226"/>
        <v>1160</v>
      </c>
      <c r="BD216" s="60">
        <f t="shared" si="227"/>
        <v>0.15</v>
      </c>
      <c r="BE216" s="212" t="e">
        <f t="shared" si="239"/>
        <v>#NUM!</v>
      </c>
      <c r="BF216" s="59" t="e">
        <f t="shared" si="228"/>
        <v>#NUM!</v>
      </c>
      <c r="BG216" s="21" t="e">
        <f t="shared" si="229"/>
        <v>#NUM!</v>
      </c>
      <c r="BH216" s="55">
        <f t="shared" ca="1" si="232"/>
        <v>0</v>
      </c>
    </row>
    <row r="217" spans="1:60" x14ac:dyDescent="0.2">
      <c r="A217" s="61">
        <f ca="1">RANK(W217,W$12:W$311,0)+COUNTIF(W$12:W217,W217)-1</f>
        <v>95</v>
      </c>
      <c r="B217" s="55">
        <f>'Etape 1'!A213</f>
        <v>206</v>
      </c>
      <c r="C217" s="55">
        <f>'Etape 1'!B213</f>
        <v>0</v>
      </c>
      <c r="D217" s="55">
        <f>'Etape 1'!C213</f>
        <v>0</v>
      </c>
      <c r="E217" s="55">
        <f>'Etape 1'!D213</f>
        <v>0</v>
      </c>
      <c r="F217" s="55">
        <f>'Etape 1'!E213</f>
        <v>0</v>
      </c>
      <c r="G217" s="55">
        <f>'Etape 1'!F213</f>
        <v>0</v>
      </c>
      <c r="H217" s="55">
        <f>'Etape 1'!G213</f>
        <v>0</v>
      </c>
      <c r="I217" s="209">
        <v>1</v>
      </c>
      <c r="J217" s="58">
        <f t="shared" si="240"/>
        <v>0</v>
      </c>
      <c r="K217" s="21">
        <f t="shared" si="192"/>
        <v>0</v>
      </c>
      <c r="L217" s="21">
        <f t="shared" si="193"/>
        <v>0</v>
      </c>
      <c r="M217" s="21">
        <f t="shared" ca="1" si="194"/>
        <v>3</v>
      </c>
      <c r="N217" s="21">
        <f t="shared" ca="1" si="195"/>
        <v>3</v>
      </c>
      <c r="O217" s="21">
        <f t="shared" ca="1" si="196"/>
        <v>0</v>
      </c>
      <c r="P217" s="262" t="str">
        <f>IF('Etape 1'!J213=999,"",IF('Etape 1'!J213=9999,txt_Schritt1.Angaben.fehlen,VLOOKUP(N217,Matrix_1.2.3.Test.Punkte.ID.Beurteilung,4,1)))</f>
        <v/>
      </c>
      <c r="Q217" s="21">
        <f t="shared" ca="1" si="197"/>
        <v>0</v>
      </c>
      <c r="R217" s="136">
        <f t="shared" si="233"/>
        <v>206</v>
      </c>
      <c r="S217" s="136">
        <f t="shared" ca="1" si="230"/>
        <v>162.68438538205979</v>
      </c>
      <c r="T217" s="136">
        <f t="shared" ca="1" si="234"/>
        <v>750.68438538205976</v>
      </c>
      <c r="U217" s="136">
        <f t="shared" ca="1" si="235"/>
        <v>1224000.6843853821</v>
      </c>
      <c r="V217" s="211">
        <f t="shared" ca="1" si="236"/>
        <v>235406.87642970146</v>
      </c>
      <c r="W217" s="136">
        <f t="shared" ca="1" si="231"/>
        <v>206</v>
      </c>
      <c r="X217" s="136">
        <f t="shared" ca="1" si="198"/>
        <v>162.999000999001</v>
      </c>
      <c r="Y217" s="21">
        <f t="shared" si="199"/>
        <v>1</v>
      </c>
      <c r="Z217" s="21" t="str">
        <f t="shared" si="200"/>
        <v>&lt;IE0</v>
      </c>
      <c r="AA217" s="21">
        <f t="shared" si="201"/>
        <v>1</v>
      </c>
      <c r="AB217" s="21" t="str">
        <f t="shared" si="202"/>
        <v>a - "&lt; 1990 (Eff3)"</v>
      </c>
      <c r="AC217" s="21">
        <f t="shared" si="203"/>
        <v>999999</v>
      </c>
      <c r="AD217" s="21" t="str">
        <f t="shared" si="204"/>
        <v/>
      </c>
      <c r="AE217" s="21" t="str">
        <f t="shared" si="205"/>
        <v/>
      </c>
      <c r="AF217" s="21" t="str">
        <f t="shared" si="206"/>
        <v/>
      </c>
      <c r="AG217" s="21">
        <f t="shared" si="207"/>
        <v>0</v>
      </c>
      <c r="AH217" s="21">
        <f>IF('Etape 1'!H213=St.Wert_Hacken,1,0)</f>
        <v>0</v>
      </c>
      <c r="AI217" s="21">
        <f t="shared" si="208"/>
        <v>0</v>
      </c>
      <c r="AJ217" s="21">
        <f t="shared" si="209"/>
        <v>1000999</v>
      </c>
      <c r="AK217" s="58">
        <f t="shared" si="210"/>
        <v>1100</v>
      </c>
      <c r="AL217" s="58">
        <f t="shared" si="211"/>
        <v>440</v>
      </c>
      <c r="AM217" s="21">
        <f t="shared" si="212"/>
        <v>0</v>
      </c>
      <c r="AN217" s="58">
        <f t="shared" si="213"/>
        <v>1</v>
      </c>
      <c r="AO217" s="58" t="str">
        <f t="shared" si="214"/>
        <v>114</v>
      </c>
      <c r="AP217" s="58" t="str">
        <f t="shared" si="215"/>
        <v>164</v>
      </c>
      <c r="AQ217" s="21" t="e">
        <f t="shared" si="216"/>
        <v>#NUM!</v>
      </c>
      <c r="AR217" s="21" t="e">
        <f t="shared" si="217"/>
        <v>#NUM!</v>
      </c>
      <c r="AS217" s="136" t="e">
        <f t="shared" si="237"/>
        <v>#NUM!</v>
      </c>
      <c r="AT217" s="59" t="e">
        <f t="shared" si="218"/>
        <v>#NUM!</v>
      </c>
      <c r="AU217" s="21" t="e">
        <f t="shared" si="219"/>
        <v>#NUM!</v>
      </c>
      <c r="AV217" s="58">
        <f t="shared" si="220"/>
        <v>1500</v>
      </c>
      <c r="AW217" s="58">
        <f t="shared" si="221"/>
        <v>600</v>
      </c>
      <c r="AX217" s="60">
        <f t="shared" si="222"/>
        <v>0.11</v>
      </c>
      <c r="AY217" s="212">
        <f t="shared" si="238"/>
        <v>0</v>
      </c>
      <c r="AZ217" s="59">
        <f t="shared" si="223"/>
        <v>0</v>
      </c>
      <c r="BA217" s="21" t="e">
        <f t="shared" si="224"/>
        <v>#DIV/0!</v>
      </c>
      <c r="BB217" s="58">
        <f t="shared" si="225"/>
        <v>2900</v>
      </c>
      <c r="BC217" s="58">
        <f t="shared" si="226"/>
        <v>1160</v>
      </c>
      <c r="BD217" s="60">
        <f t="shared" si="227"/>
        <v>0.15</v>
      </c>
      <c r="BE217" s="212" t="e">
        <f t="shared" si="239"/>
        <v>#NUM!</v>
      </c>
      <c r="BF217" s="59" t="e">
        <f t="shared" si="228"/>
        <v>#NUM!</v>
      </c>
      <c r="BG217" s="21" t="e">
        <f t="shared" si="229"/>
        <v>#NUM!</v>
      </c>
      <c r="BH217" s="55">
        <f t="shared" ca="1" si="232"/>
        <v>0</v>
      </c>
    </row>
    <row r="218" spans="1:60" x14ac:dyDescent="0.2">
      <c r="A218" s="61">
        <f ca="1">RANK(W218,W$12:W$311,0)+COUNTIF(W$12:W218,W218)-1</f>
        <v>94</v>
      </c>
      <c r="B218" s="55">
        <f>'Etape 1'!A214</f>
        <v>207</v>
      </c>
      <c r="C218" s="55">
        <f>'Etape 1'!B214</f>
        <v>0</v>
      </c>
      <c r="D218" s="55">
        <f>'Etape 1'!C214</f>
        <v>0</v>
      </c>
      <c r="E218" s="55">
        <f>'Etape 1'!D214</f>
        <v>0</v>
      </c>
      <c r="F218" s="55">
        <f>'Etape 1'!E214</f>
        <v>0</v>
      </c>
      <c r="G218" s="55">
        <f>'Etape 1'!F214</f>
        <v>0</v>
      </c>
      <c r="H218" s="55">
        <f>'Etape 1'!G214</f>
        <v>0</v>
      </c>
      <c r="I218" s="209">
        <v>1</v>
      </c>
      <c r="J218" s="58">
        <f t="shared" si="240"/>
        <v>0</v>
      </c>
      <c r="K218" s="21">
        <f t="shared" si="192"/>
        <v>0</v>
      </c>
      <c r="L218" s="21">
        <f t="shared" si="193"/>
        <v>0</v>
      </c>
      <c r="M218" s="21">
        <f t="shared" ca="1" si="194"/>
        <v>3</v>
      </c>
      <c r="N218" s="21">
        <f t="shared" ca="1" si="195"/>
        <v>3</v>
      </c>
      <c r="O218" s="21">
        <f t="shared" ca="1" si="196"/>
        <v>0</v>
      </c>
      <c r="P218" s="262" t="str">
        <f>IF('Etape 1'!J214=999,"",IF('Etape 1'!J214=9999,txt_Schritt1.Angaben.fehlen,VLOOKUP(N218,Matrix_1.2.3.Test.Punkte.ID.Beurteilung,4,1)))</f>
        <v/>
      </c>
      <c r="Q218" s="21">
        <f t="shared" ca="1" si="197"/>
        <v>0</v>
      </c>
      <c r="R218" s="136">
        <f t="shared" si="233"/>
        <v>207</v>
      </c>
      <c r="S218" s="136">
        <f t="shared" ca="1" si="230"/>
        <v>162.68770764119603</v>
      </c>
      <c r="T218" s="136">
        <f t="shared" ca="1" si="234"/>
        <v>750.68770764119597</v>
      </c>
      <c r="U218" s="136">
        <f t="shared" ca="1" si="235"/>
        <v>1224000.6877076412</v>
      </c>
      <c r="V218" s="211">
        <f t="shared" ca="1" si="236"/>
        <v>235406.8797519606</v>
      </c>
      <c r="W218" s="136">
        <f t="shared" ca="1" si="231"/>
        <v>207</v>
      </c>
      <c r="X218" s="136">
        <f t="shared" ca="1" si="198"/>
        <v>162.999000999001</v>
      </c>
      <c r="Y218" s="21">
        <f t="shared" si="199"/>
        <v>1</v>
      </c>
      <c r="Z218" s="21" t="str">
        <f t="shared" si="200"/>
        <v>&lt;IE0</v>
      </c>
      <c r="AA218" s="21">
        <f t="shared" si="201"/>
        <v>1</v>
      </c>
      <c r="AB218" s="21" t="str">
        <f t="shared" si="202"/>
        <v>a - "&lt; 1990 (Eff3)"</v>
      </c>
      <c r="AC218" s="21">
        <f t="shared" si="203"/>
        <v>999999</v>
      </c>
      <c r="AD218" s="21" t="str">
        <f t="shared" si="204"/>
        <v/>
      </c>
      <c r="AE218" s="21" t="str">
        <f t="shared" si="205"/>
        <v/>
      </c>
      <c r="AF218" s="21" t="str">
        <f t="shared" si="206"/>
        <v/>
      </c>
      <c r="AG218" s="21">
        <f t="shared" si="207"/>
        <v>0</v>
      </c>
      <c r="AH218" s="21">
        <f>IF('Etape 1'!H214=St.Wert_Hacken,1,0)</f>
        <v>0</v>
      </c>
      <c r="AI218" s="21">
        <f t="shared" si="208"/>
        <v>0</v>
      </c>
      <c r="AJ218" s="21">
        <f t="shared" si="209"/>
        <v>1000999</v>
      </c>
      <c r="AK218" s="58">
        <f t="shared" si="210"/>
        <v>1100</v>
      </c>
      <c r="AL218" s="58">
        <f t="shared" si="211"/>
        <v>440</v>
      </c>
      <c r="AM218" s="21">
        <f t="shared" si="212"/>
        <v>0</v>
      </c>
      <c r="AN218" s="58">
        <f t="shared" si="213"/>
        <v>1</v>
      </c>
      <c r="AO218" s="58" t="str">
        <f t="shared" si="214"/>
        <v>114</v>
      </c>
      <c r="AP218" s="58" t="str">
        <f t="shared" si="215"/>
        <v>164</v>
      </c>
      <c r="AQ218" s="21" t="e">
        <f t="shared" si="216"/>
        <v>#NUM!</v>
      </c>
      <c r="AR218" s="21" t="e">
        <f t="shared" si="217"/>
        <v>#NUM!</v>
      </c>
      <c r="AS218" s="136" t="e">
        <f t="shared" si="237"/>
        <v>#NUM!</v>
      </c>
      <c r="AT218" s="59" t="e">
        <f t="shared" si="218"/>
        <v>#NUM!</v>
      </c>
      <c r="AU218" s="21" t="e">
        <f t="shared" si="219"/>
        <v>#NUM!</v>
      </c>
      <c r="AV218" s="58">
        <f t="shared" si="220"/>
        <v>1500</v>
      </c>
      <c r="AW218" s="58">
        <f t="shared" si="221"/>
        <v>600</v>
      </c>
      <c r="AX218" s="60">
        <f t="shared" si="222"/>
        <v>0.11</v>
      </c>
      <c r="AY218" s="212">
        <f t="shared" si="238"/>
        <v>0</v>
      </c>
      <c r="AZ218" s="59">
        <f t="shared" si="223"/>
        <v>0</v>
      </c>
      <c r="BA218" s="21" t="e">
        <f t="shared" si="224"/>
        <v>#DIV/0!</v>
      </c>
      <c r="BB218" s="58">
        <f t="shared" si="225"/>
        <v>2900</v>
      </c>
      <c r="BC218" s="58">
        <f t="shared" si="226"/>
        <v>1160</v>
      </c>
      <c r="BD218" s="60">
        <f t="shared" si="227"/>
        <v>0.15</v>
      </c>
      <c r="BE218" s="212" t="e">
        <f t="shared" si="239"/>
        <v>#NUM!</v>
      </c>
      <c r="BF218" s="59" t="e">
        <f t="shared" si="228"/>
        <v>#NUM!</v>
      </c>
      <c r="BG218" s="21" t="e">
        <f t="shared" si="229"/>
        <v>#NUM!</v>
      </c>
      <c r="BH218" s="55">
        <f t="shared" ca="1" si="232"/>
        <v>0</v>
      </c>
    </row>
    <row r="219" spans="1:60" x14ac:dyDescent="0.2">
      <c r="A219" s="61">
        <f ca="1">RANK(W219,W$12:W$311,0)+COUNTIF(W$12:W219,W219)-1</f>
        <v>93</v>
      </c>
      <c r="B219" s="55">
        <f>'Etape 1'!A215</f>
        <v>208</v>
      </c>
      <c r="C219" s="55">
        <f>'Etape 1'!B215</f>
        <v>0</v>
      </c>
      <c r="D219" s="55">
        <f>'Etape 1'!C215</f>
        <v>0</v>
      </c>
      <c r="E219" s="55">
        <f>'Etape 1'!D215</f>
        <v>0</v>
      </c>
      <c r="F219" s="55">
        <f>'Etape 1'!E215</f>
        <v>0</v>
      </c>
      <c r="G219" s="55">
        <f>'Etape 1'!F215</f>
        <v>0</v>
      </c>
      <c r="H219" s="55">
        <f>'Etape 1'!G215</f>
        <v>0</v>
      </c>
      <c r="I219" s="209">
        <v>1</v>
      </c>
      <c r="J219" s="58">
        <f t="shared" si="240"/>
        <v>0</v>
      </c>
      <c r="K219" s="21">
        <f t="shared" si="192"/>
        <v>0</v>
      </c>
      <c r="L219" s="21">
        <f t="shared" si="193"/>
        <v>0</v>
      </c>
      <c r="M219" s="21">
        <f t="shared" ca="1" si="194"/>
        <v>3</v>
      </c>
      <c r="N219" s="21">
        <f t="shared" ca="1" si="195"/>
        <v>3</v>
      </c>
      <c r="O219" s="21">
        <f t="shared" ca="1" si="196"/>
        <v>0</v>
      </c>
      <c r="P219" s="262" t="str">
        <f>IF('Etape 1'!J215=999,"",IF('Etape 1'!J215=9999,txt_Schritt1.Angaben.fehlen,VLOOKUP(N219,Matrix_1.2.3.Test.Punkte.ID.Beurteilung,4,1)))</f>
        <v/>
      </c>
      <c r="Q219" s="21">
        <f t="shared" ca="1" si="197"/>
        <v>0</v>
      </c>
      <c r="R219" s="136">
        <f t="shared" si="233"/>
        <v>208</v>
      </c>
      <c r="S219" s="136">
        <f t="shared" ca="1" si="230"/>
        <v>162.69102990033224</v>
      </c>
      <c r="T219" s="136">
        <f t="shared" ca="1" si="234"/>
        <v>750.69102990033218</v>
      </c>
      <c r="U219" s="136">
        <f t="shared" ca="1" si="235"/>
        <v>1224000.6910299002</v>
      </c>
      <c r="V219" s="211">
        <f t="shared" ca="1" si="236"/>
        <v>235406.88307421975</v>
      </c>
      <c r="W219" s="136">
        <f t="shared" ca="1" si="231"/>
        <v>208</v>
      </c>
      <c r="X219" s="136">
        <f t="shared" ca="1" si="198"/>
        <v>162.999000999001</v>
      </c>
      <c r="Y219" s="21">
        <f t="shared" si="199"/>
        <v>1</v>
      </c>
      <c r="Z219" s="21" t="str">
        <f t="shared" si="200"/>
        <v>&lt;IE0</v>
      </c>
      <c r="AA219" s="21">
        <f t="shared" si="201"/>
        <v>1</v>
      </c>
      <c r="AB219" s="21" t="str">
        <f t="shared" si="202"/>
        <v>a - "&lt; 1990 (Eff3)"</v>
      </c>
      <c r="AC219" s="21">
        <f t="shared" si="203"/>
        <v>999999</v>
      </c>
      <c r="AD219" s="21" t="str">
        <f t="shared" si="204"/>
        <v/>
      </c>
      <c r="AE219" s="21" t="str">
        <f t="shared" si="205"/>
        <v/>
      </c>
      <c r="AF219" s="21" t="str">
        <f t="shared" si="206"/>
        <v/>
      </c>
      <c r="AG219" s="21">
        <f t="shared" si="207"/>
        <v>0</v>
      </c>
      <c r="AH219" s="21">
        <f>IF('Etape 1'!H215=St.Wert_Hacken,1,0)</f>
        <v>0</v>
      </c>
      <c r="AI219" s="21">
        <f t="shared" si="208"/>
        <v>0</v>
      </c>
      <c r="AJ219" s="21">
        <f t="shared" si="209"/>
        <v>1000999</v>
      </c>
      <c r="AK219" s="58">
        <f t="shared" si="210"/>
        <v>1100</v>
      </c>
      <c r="AL219" s="58">
        <f t="shared" si="211"/>
        <v>440</v>
      </c>
      <c r="AM219" s="21">
        <f t="shared" si="212"/>
        <v>0</v>
      </c>
      <c r="AN219" s="58">
        <f t="shared" si="213"/>
        <v>1</v>
      </c>
      <c r="AO219" s="58" t="str">
        <f t="shared" si="214"/>
        <v>114</v>
      </c>
      <c r="AP219" s="58" t="str">
        <f t="shared" si="215"/>
        <v>164</v>
      </c>
      <c r="AQ219" s="21" t="e">
        <f t="shared" si="216"/>
        <v>#NUM!</v>
      </c>
      <c r="AR219" s="21" t="e">
        <f t="shared" si="217"/>
        <v>#NUM!</v>
      </c>
      <c r="AS219" s="136" t="e">
        <f t="shared" si="237"/>
        <v>#NUM!</v>
      </c>
      <c r="AT219" s="59" t="e">
        <f t="shared" si="218"/>
        <v>#NUM!</v>
      </c>
      <c r="AU219" s="21" t="e">
        <f t="shared" si="219"/>
        <v>#NUM!</v>
      </c>
      <c r="AV219" s="58">
        <f t="shared" si="220"/>
        <v>1500</v>
      </c>
      <c r="AW219" s="58">
        <f t="shared" si="221"/>
        <v>600</v>
      </c>
      <c r="AX219" s="60">
        <f t="shared" si="222"/>
        <v>0.11</v>
      </c>
      <c r="AY219" s="212">
        <f t="shared" si="238"/>
        <v>0</v>
      </c>
      <c r="AZ219" s="59">
        <f t="shared" si="223"/>
        <v>0</v>
      </c>
      <c r="BA219" s="21" t="e">
        <f t="shared" si="224"/>
        <v>#DIV/0!</v>
      </c>
      <c r="BB219" s="58">
        <f t="shared" si="225"/>
        <v>2900</v>
      </c>
      <c r="BC219" s="58">
        <f t="shared" si="226"/>
        <v>1160</v>
      </c>
      <c r="BD219" s="60">
        <f t="shared" si="227"/>
        <v>0.15</v>
      </c>
      <c r="BE219" s="212" t="e">
        <f t="shared" si="239"/>
        <v>#NUM!</v>
      </c>
      <c r="BF219" s="59" t="e">
        <f t="shared" si="228"/>
        <v>#NUM!</v>
      </c>
      <c r="BG219" s="21" t="e">
        <f t="shared" si="229"/>
        <v>#NUM!</v>
      </c>
      <c r="BH219" s="55">
        <f t="shared" ca="1" si="232"/>
        <v>0</v>
      </c>
    </row>
    <row r="220" spans="1:60" x14ac:dyDescent="0.2">
      <c r="A220" s="61">
        <f ca="1">RANK(W220,W$12:W$311,0)+COUNTIF(W$12:W220,W220)-1</f>
        <v>92</v>
      </c>
      <c r="B220" s="55">
        <f>'Etape 1'!A216</f>
        <v>209</v>
      </c>
      <c r="C220" s="55">
        <f>'Etape 1'!B216</f>
        <v>0</v>
      </c>
      <c r="D220" s="55">
        <f>'Etape 1'!C216</f>
        <v>0</v>
      </c>
      <c r="E220" s="55">
        <f>'Etape 1'!D216</f>
        <v>0</v>
      </c>
      <c r="F220" s="55">
        <f>'Etape 1'!E216</f>
        <v>0</v>
      </c>
      <c r="G220" s="55">
        <f>'Etape 1'!F216</f>
        <v>0</v>
      </c>
      <c r="H220" s="55">
        <f>'Etape 1'!G216</f>
        <v>0</v>
      </c>
      <c r="I220" s="209">
        <v>1</v>
      </c>
      <c r="J220" s="58">
        <f t="shared" si="240"/>
        <v>0</v>
      </c>
      <c r="K220" s="21">
        <f t="shared" si="192"/>
        <v>0</v>
      </c>
      <c r="L220" s="21">
        <f t="shared" si="193"/>
        <v>0</v>
      </c>
      <c r="M220" s="21">
        <f t="shared" ca="1" si="194"/>
        <v>3</v>
      </c>
      <c r="N220" s="21">
        <f t="shared" ca="1" si="195"/>
        <v>3</v>
      </c>
      <c r="O220" s="21">
        <f t="shared" ca="1" si="196"/>
        <v>0</v>
      </c>
      <c r="P220" s="262" t="str">
        <f>IF('Etape 1'!J216=999,"",IF('Etape 1'!J216=9999,txt_Schritt1.Angaben.fehlen,VLOOKUP(N220,Matrix_1.2.3.Test.Punkte.ID.Beurteilung,4,1)))</f>
        <v/>
      </c>
      <c r="Q220" s="21">
        <f t="shared" ca="1" si="197"/>
        <v>0</v>
      </c>
      <c r="R220" s="136">
        <f t="shared" si="233"/>
        <v>209</v>
      </c>
      <c r="S220" s="136">
        <f t="shared" ca="1" si="230"/>
        <v>162.69435215946845</v>
      </c>
      <c r="T220" s="136">
        <f t="shared" ca="1" si="234"/>
        <v>750.69435215946839</v>
      </c>
      <c r="U220" s="136">
        <f t="shared" ca="1" si="235"/>
        <v>1224000.6943521595</v>
      </c>
      <c r="V220" s="211">
        <f t="shared" ca="1" si="236"/>
        <v>235406.88639647889</v>
      </c>
      <c r="W220" s="136">
        <f t="shared" ca="1" si="231"/>
        <v>209</v>
      </c>
      <c r="X220" s="136">
        <f t="shared" ca="1" si="198"/>
        <v>162.999000999001</v>
      </c>
      <c r="Y220" s="21">
        <f t="shared" si="199"/>
        <v>1</v>
      </c>
      <c r="Z220" s="21" t="str">
        <f t="shared" si="200"/>
        <v>&lt;IE0</v>
      </c>
      <c r="AA220" s="21">
        <f t="shared" si="201"/>
        <v>1</v>
      </c>
      <c r="AB220" s="21" t="str">
        <f t="shared" si="202"/>
        <v>a - "&lt; 1990 (Eff3)"</v>
      </c>
      <c r="AC220" s="21">
        <f t="shared" si="203"/>
        <v>999999</v>
      </c>
      <c r="AD220" s="21" t="str">
        <f t="shared" si="204"/>
        <v/>
      </c>
      <c r="AE220" s="21" t="str">
        <f t="shared" si="205"/>
        <v/>
      </c>
      <c r="AF220" s="21" t="str">
        <f t="shared" si="206"/>
        <v/>
      </c>
      <c r="AG220" s="21">
        <f t="shared" si="207"/>
        <v>0</v>
      </c>
      <c r="AH220" s="21">
        <f>IF('Etape 1'!H216=St.Wert_Hacken,1,0)</f>
        <v>0</v>
      </c>
      <c r="AI220" s="21">
        <f t="shared" si="208"/>
        <v>0</v>
      </c>
      <c r="AJ220" s="21">
        <f t="shared" si="209"/>
        <v>1000999</v>
      </c>
      <c r="AK220" s="58">
        <f t="shared" si="210"/>
        <v>1100</v>
      </c>
      <c r="AL220" s="58">
        <f t="shared" si="211"/>
        <v>440</v>
      </c>
      <c r="AM220" s="21">
        <f t="shared" si="212"/>
        <v>0</v>
      </c>
      <c r="AN220" s="58">
        <f t="shared" si="213"/>
        <v>1</v>
      </c>
      <c r="AO220" s="58" t="str">
        <f t="shared" si="214"/>
        <v>114</v>
      </c>
      <c r="AP220" s="58" t="str">
        <f t="shared" si="215"/>
        <v>164</v>
      </c>
      <c r="AQ220" s="21" t="e">
        <f t="shared" si="216"/>
        <v>#NUM!</v>
      </c>
      <c r="AR220" s="21" t="e">
        <f t="shared" si="217"/>
        <v>#NUM!</v>
      </c>
      <c r="AS220" s="136" t="e">
        <f t="shared" si="237"/>
        <v>#NUM!</v>
      </c>
      <c r="AT220" s="59" t="e">
        <f t="shared" si="218"/>
        <v>#NUM!</v>
      </c>
      <c r="AU220" s="21" t="e">
        <f t="shared" si="219"/>
        <v>#NUM!</v>
      </c>
      <c r="AV220" s="58">
        <f t="shared" si="220"/>
        <v>1500</v>
      </c>
      <c r="AW220" s="58">
        <f t="shared" si="221"/>
        <v>600</v>
      </c>
      <c r="AX220" s="60">
        <f t="shared" si="222"/>
        <v>0.11</v>
      </c>
      <c r="AY220" s="212">
        <f t="shared" si="238"/>
        <v>0</v>
      </c>
      <c r="AZ220" s="59">
        <f t="shared" si="223"/>
        <v>0</v>
      </c>
      <c r="BA220" s="21" t="e">
        <f t="shared" si="224"/>
        <v>#DIV/0!</v>
      </c>
      <c r="BB220" s="58">
        <f t="shared" si="225"/>
        <v>2900</v>
      </c>
      <c r="BC220" s="58">
        <f t="shared" si="226"/>
        <v>1160</v>
      </c>
      <c r="BD220" s="60">
        <f t="shared" si="227"/>
        <v>0.15</v>
      </c>
      <c r="BE220" s="212" t="e">
        <f t="shared" si="239"/>
        <v>#NUM!</v>
      </c>
      <c r="BF220" s="59" t="e">
        <f t="shared" si="228"/>
        <v>#NUM!</v>
      </c>
      <c r="BG220" s="21" t="e">
        <f t="shared" si="229"/>
        <v>#NUM!</v>
      </c>
      <c r="BH220" s="55">
        <f t="shared" ca="1" si="232"/>
        <v>0</v>
      </c>
    </row>
    <row r="221" spans="1:60" x14ac:dyDescent="0.2">
      <c r="A221" s="61">
        <f ca="1">RANK(W221,W$12:W$311,0)+COUNTIF(W$12:W221,W221)-1</f>
        <v>91</v>
      </c>
      <c r="B221" s="55">
        <f>'Etape 1'!A217</f>
        <v>210</v>
      </c>
      <c r="C221" s="55">
        <f>'Etape 1'!B217</f>
        <v>0</v>
      </c>
      <c r="D221" s="55">
        <f>'Etape 1'!C217</f>
        <v>0</v>
      </c>
      <c r="E221" s="55">
        <f>'Etape 1'!D217</f>
        <v>0</v>
      </c>
      <c r="F221" s="55">
        <f>'Etape 1'!E217</f>
        <v>0</v>
      </c>
      <c r="G221" s="55">
        <f>'Etape 1'!F217</f>
        <v>0</v>
      </c>
      <c r="H221" s="55">
        <f>'Etape 1'!G217</f>
        <v>0</v>
      </c>
      <c r="I221" s="209">
        <v>1</v>
      </c>
      <c r="J221" s="58">
        <f t="shared" si="240"/>
        <v>0</v>
      </c>
      <c r="K221" s="21">
        <f t="shared" si="192"/>
        <v>0</v>
      </c>
      <c r="L221" s="21">
        <f t="shared" si="193"/>
        <v>0</v>
      </c>
      <c r="M221" s="21">
        <f t="shared" ca="1" si="194"/>
        <v>3</v>
      </c>
      <c r="N221" s="21">
        <f t="shared" ca="1" si="195"/>
        <v>3</v>
      </c>
      <c r="O221" s="21">
        <f t="shared" ca="1" si="196"/>
        <v>0</v>
      </c>
      <c r="P221" s="262" t="str">
        <f>IF('Etape 1'!J217=999,"",IF('Etape 1'!J217=9999,txt_Schritt1.Angaben.fehlen,VLOOKUP(N221,Matrix_1.2.3.Test.Punkte.ID.Beurteilung,4,1)))</f>
        <v/>
      </c>
      <c r="Q221" s="21">
        <f t="shared" ca="1" si="197"/>
        <v>0</v>
      </c>
      <c r="R221" s="136">
        <f t="shared" si="233"/>
        <v>210</v>
      </c>
      <c r="S221" s="136">
        <f t="shared" ca="1" si="230"/>
        <v>162.69767441860466</v>
      </c>
      <c r="T221" s="136">
        <f t="shared" ca="1" si="234"/>
        <v>750.69767441860461</v>
      </c>
      <c r="U221" s="136">
        <f t="shared" ca="1" si="235"/>
        <v>1224000.6976744186</v>
      </c>
      <c r="V221" s="211">
        <f t="shared" ca="1" si="236"/>
        <v>235406.88971873801</v>
      </c>
      <c r="W221" s="136">
        <f t="shared" ca="1" si="231"/>
        <v>210</v>
      </c>
      <c r="X221" s="136">
        <f t="shared" ca="1" si="198"/>
        <v>162.999000999001</v>
      </c>
      <c r="Y221" s="21">
        <f t="shared" si="199"/>
        <v>1</v>
      </c>
      <c r="Z221" s="21" t="str">
        <f t="shared" si="200"/>
        <v>&lt;IE0</v>
      </c>
      <c r="AA221" s="21">
        <f t="shared" si="201"/>
        <v>1</v>
      </c>
      <c r="AB221" s="21" t="str">
        <f t="shared" si="202"/>
        <v>a - "&lt; 1990 (Eff3)"</v>
      </c>
      <c r="AC221" s="21">
        <f t="shared" si="203"/>
        <v>999999</v>
      </c>
      <c r="AD221" s="21" t="str">
        <f t="shared" si="204"/>
        <v/>
      </c>
      <c r="AE221" s="21" t="str">
        <f t="shared" si="205"/>
        <v/>
      </c>
      <c r="AF221" s="21" t="str">
        <f t="shared" si="206"/>
        <v/>
      </c>
      <c r="AG221" s="21">
        <f t="shared" si="207"/>
        <v>0</v>
      </c>
      <c r="AH221" s="21">
        <f>IF('Etape 1'!H217=St.Wert_Hacken,1,0)</f>
        <v>0</v>
      </c>
      <c r="AI221" s="21">
        <f t="shared" si="208"/>
        <v>0</v>
      </c>
      <c r="AJ221" s="21">
        <f t="shared" si="209"/>
        <v>1000999</v>
      </c>
      <c r="AK221" s="58">
        <f t="shared" si="210"/>
        <v>1100</v>
      </c>
      <c r="AL221" s="58">
        <f t="shared" si="211"/>
        <v>440</v>
      </c>
      <c r="AM221" s="21">
        <f t="shared" si="212"/>
        <v>0</v>
      </c>
      <c r="AN221" s="58">
        <f t="shared" si="213"/>
        <v>1</v>
      </c>
      <c r="AO221" s="58" t="str">
        <f t="shared" si="214"/>
        <v>114</v>
      </c>
      <c r="AP221" s="58" t="str">
        <f t="shared" si="215"/>
        <v>164</v>
      </c>
      <c r="AQ221" s="21" t="e">
        <f t="shared" si="216"/>
        <v>#NUM!</v>
      </c>
      <c r="AR221" s="21" t="e">
        <f t="shared" si="217"/>
        <v>#NUM!</v>
      </c>
      <c r="AS221" s="136" t="e">
        <f t="shared" si="237"/>
        <v>#NUM!</v>
      </c>
      <c r="AT221" s="59" t="e">
        <f t="shared" si="218"/>
        <v>#NUM!</v>
      </c>
      <c r="AU221" s="21" t="e">
        <f t="shared" si="219"/>
        <v>#NUM!</v>
      </c>
      <c r="AV221" s="58">
        <f t="shared" si="220"/>
        <v>1500</v>
      </c>
      <c r="AW221" s="58">
        <f t="shared" si="221"/>
        <v>600</v>
      </c>
      <c r="AX221" s="60">
        <f t="shared" si="222"/>
        <v>0.11</v>
      </c>
      <c r="AY221" s="212">
        <f t="shared" si="238"/>
        <v>0</v>
      </c>
      <c r="AZ221" s="59">
        <f t="shared" si="223"/>
        <v>0</v>
      </c>
      <c r="BA221" s="21" t="e">
        <f t="shared" si="224"/>
        <v>#DIV/0!</v>
      </c>
      <c r="BB221" s="58">
        <f t="shared" si="225"/>
        <v>2900</v>
      </c>
      <c r="BC221" s="58">
        <f t="shared" si="226"/>
        <v>1160</v>
      </c>
      <c r="BD221" s="60">
        <f t="shared" si="227"/>
        <v>0.15</v>
      </c>
      <c r="BE221" s="212" t="e">
        <f t="shared" si="239"/>
        <v>#NUM!</v>
      </c>
      <c r="BF221" s="59" t="e">
        <f t="shared" si="228"/>
        <v>#NUM!</v>
      </c>
      <c r="BG221" s="21" t="e">
        <f t="shared" si="229"/>
        <v>#NUM!</v>
      </c>
      <c r="BH221" s="55">
        <f t="shared" ca="1" si="232"/>
        <v>0</v>
      </c>
    </row>
    <row r="222" spans="1:60" x14ac:dyDescent="0.2">
      <c r="A222" s="61">
        <f ca="1">RANK(W222,W$12:W$311,0)+COUNTIF(W$12:W222,W222)-1</f>
        <v>90</v>
      </c>
      <c r="B222" s="55">
        <f>'Etape 1'!A218</f>
        <v>211</v>
      </c>
      <c r="C222" s="55">
        <f>'Etape 1'!B218</f>
        <v>0</v>
      </c>
      <c r="D222" s="55">
        <f>'Etape 1'!C218</f>
        <v>0</v>
      </c>
      <c r="E222" s="55">
        <f>'Etape 1'!D218</f>
        <v>0</v>
      </c>
      <c r="F222" s="55">
        <f>'Etape 1'!E218</f>
        <v>0</v>
      </c>
      <c r="G222" s="55">
        <f>'Etape 1'!F218</f>
        <v>0</v>
      </c>
      <c r="H222" s="55">
        <f>'Etape 1'!G218</f>
        <v>0</v>
      </c>
      <c r="I222" s="209">
        <v>1</v>
      </c>
      <c r="J222" s="58">
        <f t="shared" si="240"/>
        <v>0</v>
      </c>
      <c r="K222" s="21">
        <f t="shared" si="192"/>
        <v>0</v>
      </c>
      <c r="L222" s="21">
        <f t="shared" si="193"/>
        <v>0</v>
      </c>
      <c r="M222" s="21">
        <f t="shared" ca="1" si="194"/>
        <v>3</v>
      </c>
      <c r="N222" s="21">
        <f t="shared" ca="1" si="195"/>
        <v>3</v>
      </c>
      <c r="O222" s="21">
        <f t="shared" ca="1" si="196"/>
        <v>0</v>
      </c>
      <c r="P222" s="262" t="str">
        <f>IF('Etape 1'!J218=999,"",IF('Etape 1'!J218=9999,txt_Schritt1.Angaben.fehlen,VLOOKUP(N222,Matrix_1.2.3.Test.Punkte.ID.Beurteilung,4,1)))</f>
        <v/>
      </c>
      <c r="Q222" s="21">
        <f t="shared" ca="1" si="197"/>
        <v>0</v>
      </c>
      <c r="R222" s="136">
        <f t="shared" si="233"/>
        <v>211</v>
      </c>
      <c r="S222" s="136">
        <f t="shared" ca="1" si="230"/>
        <v>162.70099667774087</v>
      </c>
      <c r="T222" s="136">
        <f t="shared" ca="1" si="234"/>
        <v>750.70099667774082</v>
      </c>
      <c r="U222" s="136">
        <f t="shared" ca="1" si="235"/>
        <v>1224000.7009966779</v>
      </c>
      <c r="V222" s="211">
        <f t="shared" ca="1" si="236"/>
        <v>235406.89304099715</v>
      </c>
      <c r="W222" s="136">
        <f t="shared" ca="1" si="231"/>
        <v>211</v>
      </c>
      <c r="X222" s="136">
        <f t="shared" ca="1" si="198"/>
        <v>162.999000999001</v>
      </c>
      <c r="Y222" s="21">
        <f t="shared" si="199"/>
        <v>1</v>
      </c>
      <c r="Z222" s="21" t="str">
        <f t="shared" si="200"/>
        <v>&lt;IE0</v>
      </c>
      <c r="AA222" s="21">
        <f t="shared" si="201"/>
        <v>1</v>
      </c>
      <c r="AB222" s="21" t="str">
        <f t="shared" si="202"/>
        <v>a - "&lt; 1990 (Eff3)"</v>
      </c>
      <c r="AC222" s="21">
        <f t="shared" si="203"/>
        <v>999999</v>
      </c>
      <c r="AD222" s="21" t="str">
        <f t="shared" si="204"/>
        <v/>
      </c>
      <c r="AE222" s="21" t="str">
        <f t="shared" si="205"/>
        <v/>
      </c>
      <c r="AF222" s="21" t="str">
        <f t="shared" si="206"/>
        <v/>
      </c>
      <c r="AG222" s="21">
        <f t="shared" si="207"/>
        <v>0</v>
      </c>
      <c r="AH222" s="21">
        <f>IF('Etape 1'!H218=St.Wert_Hacken,1,0)</f>
        <v>0</v>
      </c>
      <c r="AI222" s="21">
        <f t="shared" si="208"/>
        <v>0</v>
      </c>
      <c r="AJ222" s="21">
        <f t="shared" si="209"/>
        <v>1000999</v>
      </c>
      <c r="AK222" s="58">
        <f t="shared" si="210"/>
        <v>1100</v>
      </c>
      <c r="AL222" s="58">
        <f t="shared" si="211"/>
        <v>440</v>
      </c>
      <c r="AM222" s="21">
        <f t="shared" si="212"/>
        <v>0</v>
      </c>
      <c r="AN222" s="58">
        <f t="shared" si="213"/>
        <v>1</v>
      </c>
      <c r="AO222" s="58" t="str">
        <f t="shared" si="214"/>
        <v>114</v>
      </c>
      <c r="AP222" s="58" t="str">
        <f t="shared" si="215"/>
        <v>164</v>
      </c>
      <c r="AQ222" s="21" t="e">
        <f t="shared" si="216"/>
        <v>#NUM!</v>
      </c>
      <c r="AR222" s="21" t="e">
        <f t="shared" si="217"/>
        <v>#NUM!</v>
      </c>
      <c r="AS222" s="136" t="e">
        <f t="shared" si="237"/>
        <v>#NUM!</v>
      </c>
      <c r="AT222" s="59" t="e">
        <f t="shared" si="218"/>
        <v>#NUM!</v>
      </c>
      <c r="AU222" s="21" t="e">
        <f t="shared" si="219"/>
        <v>#NUM!</v>
      </c>
      <c r="AV222" s="58">
        <f t="shared" si="220"/>
        <v>1500</v>
      </c>
      <c r="AW222" s="58">
        <f t="shared" si="221"/>
        <v>600</v>
      </c>
      <c r="AX222" s="60">
        <f t="shared" si="222"/>
        <v>0.11</v>
      </c>
      <c r="AY222" s="212">
        <f t="shared" si="238"/>
        <v>0</v>
      </c>
      <c r="AZ222" s="59">
        <f t="shared" si="223"/>
        <v>0</v>
      </c>
      <c r="BA222" s="21" t="e">
        <f t="shared" si="224"/>
        <v>#DIV/0!</v>
      </c>
      <c r="BB222" s="58">
        <f t="shared" si="225"/>
        <v>2900</v>
      </c>
      <c r="BC222" s="58">
        <f t="shared" si="226"/>
        <v>1160</v>
      </c>
      <c r="BD222" s="60">
        <f t="shared" si="227"/>
        <v>0.15</v>
      </c>
      <c r="BE222" s="212" t="e">
        <f t="shared" si="239"/>
        <v>#NUM!</v>
      </c>
      <c r="BF222" s="59" t="e">
        <f t="shared" si="228"/>
        <v>#NUM!</v>
      </c>
      <c r="BG222" s="21" t="e">
        <f t="shared" si="229"/>
        <v>#NUM!</v>
      </c>
      <c r="BH222" s="55">
        <f t="shared" ca="1" si="232"/>
        <v>0</v>
      </c>
    </row>
    <row r="223" spans="1:60" x14ac:dyDescent="0.2">
      <c r="A223" s="61">
        <f ca="1">RANK(W223,W$12:W$311,0)+COUNTIF(W$12:W223,W223)-1</f>
        <v>89</v>
      </c>
      <c r="B223" s="55">
        <f>'Etape 1'!A219</f>
        <v>212</v>
      </c>
      <c r="C223" s="55">
        <f>'Etape 1'!B219</f>
        <v>0</v>
      </c>
      <c r="D223" s="55">
        <f>'Etape 1'!C219</f>
        <v>0</v>
      </c>
      <c r="E223" s="55">
        <f>'Etape 1'!D219</f>
        <v>0</v>
      </c>
      <c r="F223" s="55">
        <f>'Etape 1'!E219</f>
        <v>0</v>
      </c>
      <c r="G223" s="55">
        <f>'Etape 1'!F219</f>
        <v>0</v>
      </c>
      <c r="H223" s="55">
        <f>'Etape 1'!G219</f>
        <v>0</v>
      </c>
      <c r="I223" s="209">
        <v>1</v>
      </c>
      <c r="J223" s="58">
        <f t="shared" si="240"/>
        <v>0</v>
      </c>
      <c r="K223" s="21">
        <f t="shared" si="192"/>
        <v>0</v>
      </c>
      <c r="L223" s="21">
        <f t="shared" si="193"/>
        <v>0</v>
      </c>
      <c r="M223" s="21">
        <f t="shared" ca="1" si="194"/>
        <v>3</v>
      </c>
      <c r="N223" s="21">
        <f t="shared" ca="1" si="195"/>
        <v>3</v>
      </c>
      <c r="O223" s="21">
        <f t="shared" ca="1" si="196"/>
        <v>0</v>
      </c>
      <c r="P223" s="262" t="str">
        <f>IF('Etape 1'!J219=999,"",IF('Etape 1'!J219=9999,txt_Schritt1.Angaben.fehlen,VLOOKUP(N223,Matrix_1.2.3.Test.Punkte.ID.Beurteilung,4,1)))</f>
        <v/>
      </c>
      <c r="Q223" s="21">
        <f t="shared" ca="1" si="197"/>
        <v>0</v>
      </c>
      <c r="R223" s="136">
        <f t="shared" si="233"/>
        <v>212</v>
      </c>
      <c r="S223" s="136">
        <f t="shared" ca="1" si="230"/>
        <v>162.70431893687709</v>
      </c>
      <c r="T223" s="136">
        <f t="shared" ca="1" si="234"/>
        <v>750.70431893687703</v>
      </c>
      <c r="U223" s="136">
        <f t="shared" ca="1" si="235"/>
        <v>1224000.7043189369</v>
      </c>
      <c r="V223" s="211">
        <f t="shared" ca="1" si="236"/>
        <v>235406.8963632563</v>
      </c>
      <c r="W223" s="136">
        <f t="shared" ca="1" si="231"/>
        <v>212</v>
      </c>
      <c r="X223" s="136">
        <f t="shared" ca="1" si="198"/>
        <v>162.999000999001</v>
      </c>
      <c r="Y223" s="21">
        <f t="shared" si="199"/>
        <v>1</v>
      </c>
      <c r="Z223" s="21" t="str">
        <f t="shared" si="200"/>
        <v>&lt;IE0</v>
      </c>
      <c r="AA223" s="21">
        <f t="shared" si="201"/>
        <v>1</v>
      </c>
      <c r="AB223" s="21" t="str">
        <f t="shared" si="202"/>
        <v>a - "&lt; 1990 (Eff3)"</v>
      </c>
      <c r="AC223" s="21">
        <f t="shared" si="203"/>
        <v>999999</v>
      </c>
      <c r="AD223" s="21" t="str">
        <f t="shared" si="204"/>
        <v/>
      </c>
      <c r="AE223" s="21" t="str">
        <f t="shared" si="205"/>
        <v/>
      </c>
      <c r="AF223" s="21" t="str">
        <f t="shared" si="206"/>
        <v/>
      </c>
      <c r="AG223" s="21">
        <f t="shared" si="207"/>
        <v>0</v>
      </c>
      <c r="AH223" s="21">
        <f>IF('Etape 1'!H219=St.Wert_Hacken,1,0)</f>
        <v>0</v>
      </c>
      <c r="AI223" s="21">
        <f t="shared" si="208"/>
        <v>0</v>
      </c>
      <c r="AJ223" s="21">
        <f t="shared" si="209"/>
        <v>1000999</v>
      </c>
      <c r="AK223" s="58">
        <f t="shared" si="210"/>
        <v>1100</v>
      </c>
      <c r="AL223" s="58">
        <f t="shared" si="211"/>
        <v>440</v>
      </c>
      <c r="AM223" s="21">
        <f t="shared" si="212"/>
        <v>0</v>
      </c>
      <c r="AN223" s="58">
        <f t="shared" si="213"/>
        <v>1</v>
      </c>
      <c r="AO223" s="58" t="str">
        <f t="shared" si="214"/>
        <v>114</v>
      </c>
      <c r="AP223" s="58" t="str">
        <f t="shared" si="215"/>
        <v>164</v>
      </c>
      <c r="AQ223" s="21" t="e">
        <f t="shared" si="216"/>
        <v>#NUM!</v>
      </c>
      <c r="AR223" s="21" t="e">
        <f t="shared" si="217"/>
        <v>#NUM!</v>
      </c>
      <c r="AS223" s="136" t="e">
        <f t="shared" si="237"/>
        <v>#NUM!</v>
      </c>
      <c r="AT223" s="59" t="e">
        <f t="shared" si="218"/>
        <v>#NUM!</v>
      </c>
      <c r="AU223" s="21" t="e">
        <f t="shared" si="219"/>
        <v>#NUM!</v>
      </c>
      <c r="AV223" s="58">
        <f t="shared" si="220"/>
        <v>1500</v>
      </c>
      <c r="AW223" s="58">
        <f t="shared" si="221"/>
        <v>600</v>
      </c>
      <c r="AX223" s="60">
        <f t="shared" si="222"/>
        <v>0.11</v>
      </c>
      <c r="AY223" s="212">
        <f t="shared" si="238"/>
        <v>0</v>
      </c>
      <c r="AZ223" s="59">
        <f t="shared" si="223"/>
        <v>0</v>
      </c>
      <c r="BA223" s="21" t="e">
        <f t="shared" si="224"/>
        <v>#DIV/0!</v>
      </c>
      <c r="BB223" s="58">
        <f t="shared" si="225"/>
        <v>2900</v>
      </c>
      <c r="BC223" s="58">
        <f t="shared" si="226"/>
        <v>1160</v>
      </c>
      <c r="BD223" s="60">
        <f t="shared" si="227"/>
        <v>0.15</v>
      </c>
      <c r="BE223" s="212" t="e">
        <f t="shared" si="239"/>
        <v>#NUM!</v>
      </c>
      <c r="BF223" s="59" t="e">
        <f t="shared" si="228"/>
        <v>#NUM!</v>
      </c>
      <c r="BG223" s="21" t="e">
        <f t="shared" si="229"/>
        <v>#NUM!</v>
      </c>
      <c r="BH223" s="55">
        <f t="shared" ca="1" si="232"/>
        <v>0</v>
      </c>
    </row>
    <row r="224" spans="1:60" x14ac:dyDescent="0.2">
      <c r="A224" s="61">
        <f ca="1">RANK(W224,W$12:W$311,0)+COUNTIF(W$12:W224,W224)-1</f>
        <v>88</v>
      </c>
      <c r="B224" s="55">
        <f>'Etape 1'!A220</f>
        <v>213</v>
      </c>
      <c r="C224" s="55">
        <f>'Etape 1'!B220</f>
        <v>0</v>
      </c>
      <c r="D224" s="55">
        <f>'Etape 1'!C220</f>
        <v>0</v>
      </c>
      <c r="E224" s="55">
        <f>'Etape 1'!D220</f>
        <v>0</v>
      </c>
      <c r="F224" s="55">
        <f>'Etape 1'!E220</f>
        <v>0</v>
      </c>
      <c r="G224" s="55">
        <f>'Etape 1'!F220</f>
        <v>0</v>
      </c>
      <c r="H224" s="55">
        <f>'Etape 1'!G220</f>
        <v>0</v>
      </c>
      <c r="I224" s="209">
        <v>1</v>
      </c>
      <c r="J224" s="58">
        <f t="shared" si="240"/>
        <v>0</v>
      </c>
      <c r="K224" s="21">
        <f t="shared" si="192"/>
        <v>0</v>
      </c>
      <c r="L224" s="21">
        <f t="shared" si="193"/>
        <v>0</v>
      </c>
      <c r="M224" s="21">
        <f t="shared" ca="1" si="194"/>
        <v>3</v>
      </c>
      <c r="N224" s="21">
        <f t="shared" ca="1" si="195"/>
        <v>3</v>
      </c>
      <c r="O224" s="21">
        <f t="shared" ca="1" si="196"/>
        <v>0</v>
      </c>
      <c r="P224" s="262" t="str">
        <f>IF('Etape 1'!J220=999,"",IF('Etape 1'!J220=9999,txt_Schritt1.Angaben.fehlen,VLOOKUP(N224,Matrix_1.2.3.Test.Punkte.ID.Beurteilung,4,1)))</f>
        <v/>
      </c>
      <c r="Q224" s="21">
        <f t="shared" ca="1" si="197"/>
        <v>0</v>
      </c>
      <c r="R224" s="136">
        <f t="shared" si="233"/>
        <v>213</v>
      </c>
      <c r="S224" s="136">
        <f t="shared" ca="1" si="230"/>
        <v>162.7076411960133</v>
      </c>
      <c r="T224" s="136">
        <f t="shared" ca="1" si="234"/>
        <v>750.70764119601324</v>
      </c>
      <c r="U224" s="136">
        <f t="shared" ca="1" si="235"/>
        <v>1224000.707641196</v>
      </c>
      <c r="V224" s="211">
        <f t="shared" ca="1" si="236"/>
        <v>235406.89968551541</v>
      </c>
      <c r="W224" s="136">
        <f t="shared" ca="1" si="231"/>
        <v>213</v>
      </c>
      <c r="X224" s="136">
        <f t="shared" ca="1" si="198"/>
        <v>162.999000999001</v>
      </c>
      <c r="Y224" s="21">
        <f t="shared" si="199"/>
        <v>1</v>
      </c>
      <c r="Z224" s="21" t="str">
        <f t="shared" si="200"/>
        <v>&lt;IE0</v>
      </c>
      <c r="AA224" s="21">
        <f t="shared" si="201"/>
        <v>1</v>
      </c>
      <c r="AB224" s="21" t="str">
        <f t="shared" si="202"/>
        <v>a - "&lt; 1990 (Eff3)"</v>
      </c>
      <c r="AC224" s="21">
        <f t="shared" si="203"/>
        <v>999999</v>
      </c>
      <c r="AD224" s="21" t="str">
        <f t="shared" si="204"/>
        <v/>
      </c>
      <c r="AE224" s="21" t="str">
        <f t="shared" si="205"/>
        <v/>
      </c>
      <c r="AF224" s="21" t="str">
        <f t="shared" si="206"/>
        <v/>
      </c>
      <c r="AG224" s="21">
        <f t="shared" si="207"/>
        <v>0</v>
      </c>
      <c r="AH224" s="21">
        <f>IF('Etape 1'!H220=St.Wert_Hacken,1,0)</f>
        <v>0</v>
      </c>
      <c r="AI224" s="21">
        <f t="shared" si="208"/>
        <v>0</v>
      </c>
      <c r="AJ224" s="21">
        <f t="shared" si="209"/>
        <v>1000999</v>
      </c>
      <c r="AK224" s="58">
        <f t="shared" si="210"/>
        <v>1100</v>
      </c>
      <c r="AL224" s="58">
        <f t="shared" si="211"/>
        <v>440</v>
      </c>
      <c r="AM224" s="21">
        <f t="shared" si="212"/>
        <v>0</v>
      </c>
      <c r="AN224" s="58">
        <f t="shared" si="213"/>
        <v>1</v>
      </c>
      <c r="AO224" s="58" t="str">
        <f t="shared" si="214"/>
        <v>114</v>
      </c>
      <c r="AP224" s="58" t="str">
        <f t="shared" si="215"/>
        <v>164</v>
      </c>
      <c r="AQ224" s="21" t="e">
        <f t="shared" si="216"/>
        <v>#NUM!</v>
      </c>
      <c r="AR224" s="21" t="e">
        <f t="shared" si="217"/>
        <v>#NUM!</v>
      </c>
      <c r="AS224" s="136" t="e">
        <f t="shared" si="237"/>
        <v>#NUM!</v>
      </c>
      <c r="AT224" s="59" t="e">
        <f t="shared" si="218"/>
        <v>#NUM!</v>
      </c>
      <c r="AU224" s="21" t="e">
        <f t="shared" si="219"/>
        <v>#NUM!</v>
      </c>
      <c r="AV224" s="58">
        <f t="shared" si="220"/>
        <v>1500</v>
      </c>
      <c r="AW224" s="58">
        <f t="shared" si="221"/>
        <v>600</v>
      </c>
      <c r="AX224" s="60">
        <f t="shared" si="222"/>
        <v>0.11</v>
      </c>
      <c r="AY224" s="212">
        <f t="shared" si="238"/>
        <v>0</v>
      </c>
      <c r="AZ224" s="59">
        <f t="shared" si="223"/>
        <v>0</v>
      </c>
      <c r="BA224" s="21" t="e">
        <f t="shared" si="224"/>
        <v>#DIV/0!</v>
      </c>
      <c r="BB224" s="58">
        <f t="shared" si="225"/>
        <v>2900</v>
      </c>
      <c r="BC224" s="58">
        <f t="shared" si="226"/>
        <v>1160</v>
      </c>
      <c r="BD224" s="60">
        <f t="shared" si="227"/>
        <v>0.15</v>
      </c>
      <c r="BE224" s="212" t="e">
        <f t="shared" si="239"/>
        <v>#NUM!</v>
      </c>
      <c r="BF224" s="59" t="e">
        <f t="shared" si="228"/>
        <v>#NUM!</v>
      </c>
      <c r="BG224" s="21" t="e">
        <f t="shared" si="229"/>
        <v>#NUM!</v>
      </c>
      <c r="BH224" s="55">
        <f t="shared" ca="1" si="232"/>
        <v>0</v>
      </c>
    </row>
    <row r="225" spans="1:60" x14ac:dyDescent="0.2">
      <c r="A225" s="61">
        <f ca="1">RANK(W225,W$12:W$311,0)+COUNTIF(W$12:W225,W225)-1</f>
        <v>87</v>
      </c>
      <c r="B225" s="55">
        <f>'Etape 1'!A221</f>
        <v>214</v>
      </c>
      <c r="C225" s="55">
        <f>'Etape 1'!B221</f>
        <v>0</v>
      </c>
      <c r="D225" s="55">
        <f>'Etape 1'!C221</f>
        <v>0</v>
      </c>
      <c r="E225" s="55">
        <f>'Etape 1'!D221</f>
        <v>0</v>
      </c>
      <c r="F225" s="55">
        <f>'Etape 1'!E221</f>
        <v>0</v>
      </c>
      <c r="G225" s="55">
        <f>'Etape 1'!F221</f>
        <v>0</v>
      </c>
      <c r="H225" s="55">
        <f>'Etape 1'!G221</f>
        <v>0</v>
      </c>
      <c r="I225" s="209">
        <v>1</v>
      </c>
      <c r="J225" s="58">
        <f t="shared" si="240"/>
        <v>0</v>
      </c>
      <c r="K225" s="21">
        <f t="shared" si="192"/>
        <v>0</v>
      </c>
      <c r="L225" s="21">
        <f t="shared" si="193"/>
        <v>0</v>
      </c>
      <c r="M225" s="21">
        <f t="shared" ca="1" si="194"/>
        <v>3</v>
      </c>
      <c r="N225" s="21">
        <f t="shared" ca="1" si="195"/>
        <v>3</v>
      </c>
      <c r="O225" s="21">
        <f t="shared" ca="1" si="196"/>
        <v>0</v>
      </c>
      <c r="P225" s="262" t="str">
        <f>IF('Etape 1'!J221=999,"",IF('Etape 1'!J221=9999,txt_Schritt1.Angaben.fehlen,VLOOKUP(N225,Matrix_1.2.3.Test.Punkte.ID.Beurteilung,4,1)))</f>
        <v/>
      </c>
      <c r="Q225" s="21">
        <f t="shared" ca="1" si="197"/>
        <v>0</v>
      </c>
      <c r="R225" s="136">
        <f t="shared" si="233"/>
        <v>214</v>
      </c>
      <c r="S225" s="136">
        <f t="shared" ca="1" si="230"/>
        <v>162.71096345514951</v>
      </c>
      <c r="T225" s="136">
        <f t="shared" ca="1" si="234"/>
        <v>750.71096345514945</v>
      </c>
      <c r="U225" s="136">
        <f t="shared" ca="1" si="235"/>
        <v>1224000.7109634553</v>
      </c>
      <c r="V225" s="211">
        <f t="shared" ca="1" si="236"/>
        <v>235406.90300777456</v>
      </c>
      <c r="W225" s="136">
        <f t="shared" ca="1" si="231"/>
        <v>214</v>
      </c>
      <c r="X225" s="136">
        <f t="shared" ca="1" si="198"/>
        <v>162.999000999001</v>
      </c>
      <c r="Y225" s="21">
        <f t="shared" si="199"/>
        <v>1</v>
      </c>
      <c r="Z225" s="21" t="str">
        <f t="shared" si="200"/>
        <v>&lt;IE0</v>
      </c>
      <c r="AA225" s="21">
        <f t="shared" si="201"/>
        <v>1</v>
      </c>
      <c r="AB225" s="21" t="str">
        <f t="shared" si="202"/>
        <v>a - "&lt; 1990 (Eff3)"</v>
      </c>
      <c r="AC225" s="21">
        <f t="shared" si="203"/>
        <v>999999</v>
      </c>
      <c r="AD225" s="21" t="str">
        <f t="shared" si="204"/>
        <v/>
      </c>
      <c r="AE225" s="21" t="str">
        <f t="shared" si="205"/>
        <v/>
      </c>
      <c r="AF225" s="21" t="str">
        <f t="shared" si="206"/>
        <v/>
      </c>
      <c r="AG225" s="21">
        <f t="shared" si="207"/>
        <v>0</v>
      </c>
      <c r="AH225" s="21">
        <f>IF('Etape 1'!H221=St.Wert_Hacken,1,0)</f>
        <v>0</v>
      </c>
      <c r="AI225" s="21">
        <f t="shared" si="208"/>
        <v>0</v>
      </c>
      <c r="AJ225" s="21">
        <f t="shared" si="209"/>
        <v>1000999</v>
      </c>
      <c r="AK225" s="58">
        <f t="shared" si="210"/>
        <v>1100</v>
      </c>
      <c r="AL225" s="58">
        <f t="shared" si="211"/>
        <v>440</v>
      </c>
      <c r="AM225" s="21">
        <f t="shared" si="212"/>
        <v>0</v>
      </c>
      <c r="AN225" s="58">
        <f t="shared" si="213"/>
        <v>1</v>
      </c>
      <c r="AO225" s="58" t="str">
        <f t="shared" si="214"/>
        <v>114</v>
      </c>
      <c r="AP225" s="58" t="str">
        <f t="shared" si="215"/>
        <v>164</v>
      </c>
      <c r="AQ225" s="21" t="e">
        <f t="shared" si="216"/>
        <v>#NUM!</v>
      </c>
      <c r="AR225" s="21" t="e">
        <f t="shared" si="217"/>
        <v>#NUM!</v>
      </c>
      <c r="AS225" s="136" t="e">
        <f t="shared" si="237"/>
        <v>#NUM!</v>
      </c>
      <c r="AT225" s="59" t="e">
        <f t="shared" si="218"/>
        <v>#NUM!</v>
      </c>
      <c r="AU225" s="21" t="e">
        <f t="shared" si="219"/>
        <v>#NUM!</v>
      </c>
      <c r="AV225" s="58">
        <f t="shared" si="220"/>
        <v>1500</v>
      </c>
      <c r="AW225" s="58">
        <f t="shared" si="221"/>
        <v>600</v>
      </c>
      <c r="AX225" s="60">
        <f t="shared" si="222"/>
        <v>0.11</v>
      </c>
      <c r="AY225" s="212">
        <f t="shared" si="238"/>
        <v>0</v>
      </c>
      <c r="AZ225" s="59">
        <f t="shared" si="223"/>
        <v>0</v>
      </c>
      <c r="BA225" s="21" t="e">
        <f t="shared" si="224"/>
        <v>#DIV/0!</v>
      </c>
      <c r="BB225" s="58">
        <f t="shared" si="225"/>
        <v>2900</v>
      </c>
      <c r="BC225" s="58">
        <f t="shared" si="226"/>
        <v>1160</v>
      </c>
      <c r="BD225" s="60">
        <f t="shared" si="227"/>
        <v>0.15</v>
      </c>
      <c r="BE225" s="212" t="e">
        <f t="shared" si="239"/>
        <v>#NUM!</v>
      </c>
      <c r="BF225" s="59" t="e">
        <f t="shared" si="228"/>
        <v>#NUM!</v>
      </c>
      <c r="BG225" s="21" t="e">
        <f t="shared" si="229"/>
        <v>#NUM!</v>
      </c>
      <c r="BH225" s="55">
        <f t="shared" ca="1" si="232"/>
        <v>0</v>
      </c>
    </row>
    <row r="226" spans="1:60" x14ac:dyDescent="0.2">
      <c r="A226" s="61">
        <f ca="1">RANK(W226,W$12:W$311,0)+COUNTIF(W$12:W226,W226)-1</f>
        <v>86</v>
      </c>
      <c r="B226" s="55">
        <f>'Etape 1'!A222</f>
        <v>215</v>
      </c>
      <c r="C226" s="55">
        <f>'Etape 1'!B222</f>
        <v>0</v>
      </c>
      <c r="D226" s="55">
        <f>'Etape 1'!C222</f>
        <v>0</v>
      </c>
      <c r="E226" s="55">
        <f>'Etape 1'!D222</f>
        <v>0</v>
      </c>
      <c r="F226" s="55">
        <f>'Etape 1'!E222</f>
        <v>0</v>
      </c>
      <c r="G226" s="55">
        <f>'Etape 1'!F222</f>
        <v>0</v>
      </c>
      <c r="H226" s="55">
        <f>'Etape 1'!G222</f>
        <v>0</v>
      </c>
      <c r="I226" s="209">
        <v>1</v>
      </c>
      <c r="J226" s="58">
        <f t="shared" si="240"/>
        <v>0</v>
      </c>
      <c r="K226" s="21">
        <f t="shared" si="192"/>
        <v>0</v>
      </c>
      <c r="L226" s="21">
        <f t="shared" si="193"/>
        <v>0</v>
      </c>
      <c r="M226" s="21">
        <f t="shared" ca="1" si="194"/>
        <v>3</v>
      </c>
      <c r="N226" s="21">
        <f t="shared" ca="1" si="195"/>
        <v>3</v>
      </c>
      <c r="O226" s="21">
        <f t="shared" ca="1" si="196"/>
        <v>0</v>
      </c>
      <c r="P226" s="262" t="str">
        <f>IF('Etape 1'!J222=999,"",IF('Etape 1'!J222=9999,txt_Schritt1.Angaben.fehlen,VLOOKUP(N226,Matrix_1.2.3.Test.Punkte.ID.Beurteilung,4,1)))</f>
        <v/>
      </c>
      <c r="Q226" s="21">
        <f t="shared" ca="1" si="197"/>
        <v>0</v>
      </c>
      <c r="R226" s="136">
        <f t="shared" si="233"/>
        <v>215</v>
      </c>
      <c r="S226" s="136">
        <f t="shared" ca="1" si="230"/>
        <v>162.71428571428572</v>
      </c>
      <c r="T226" s="136">
        <f t="shared" ca="1" si="234"/>
        <v>750.71428571428567</v>
      </c>
      <c r="U226" s="136">
        <f t="shared" ca="1" si="235"/>
        <v>1224000.7142857143</v>
      </c>
      <c r="V226" s="211">
        <f t="shared" ca="1" si="236"/>
        <v>235406.9063300337</v>
      </c>
      <c r="W226" s="136">
        <f t="shared" ca="1" si="231"/>
        <v>215</v>
      </c>
      <c r="X226" s="136">
        <f t="shared" ca="1" si="198"/>
        <v>162.999000999001</v>
      </c>
      <c r="Y226" s="21">
        <f t="shared" si="199"/>
        <v>1</v>
      </c>
      <c r="Z226" s="21" t="str">
        <f t="shared" si="200"/>
        <v>&lt;IE0</v>
      </c>
      <c r="AA226" s="21">
        <f t="shared" si="201"/>
        <v>1</v>
      </c>
      <c r="AB226" s="21" t="str">
        <f t="shared" si="202"/>
        <v>a - "&lt; 1990 (Eff3)"</v>
      </c>
      <c r="AC226" s="21">
        <f t="shared" si="203"/>
        <v>999999</v>
      </c>
      <c r="AD226" s="21" t="str">
        <f t="shared" si="204"/>
        <v/>
      </c>
      <c r="AE226" s="21" t="str">
        <f t="shared" si="205"/>
        <v/>
      </c>
      <c r="AF226" s="21" t="str">
        <f t="shared" si="206"/>
        <v/>
      </c>
      <c r="AG226" s="21">
        <f t="shared" si="207"/>
        <v>0</v>
      </c>
      <c r="AH226" s="21">
        <f>IF('Etape 1'!H222=St.Wert_Hacken,1,0)</f>
        <v>0</v>
      </c>
      <c r="AI226" s="21">
        <f t="shared" si="208"/>
        <v>0</v>
      </c>
      <c r="AJ226" s="21">
        <f t="shared" si="209"/>
        <v>1000999</v>
      </c>
      <c r="AK226" s="58">
        <f t="shared" si="210"/>
        <v>1100</v>
      </c>
      <c r="AL226" s="58">
        <f t="shared" si="211"/>
        <v>440</v>
      </c>
      <c r="AM226" s="21">
        <f t="shared" si="212"/>
        <v>0</v>
      </c>
      <c r="AN226" s="58">
        <f t="shared" si="213"/>
        <v>1</v>
      </c>
      <c r="AO226" s="58" t="str">
        <f t="shared" si="214"/>
        <v>114</v>
      </c>
      <c r="AP226" s="58" t="str">
        <f t="shared" si="215"/>
        <v>164</v>
      </c>
      <c r="AQ226" s="21" t="e">
        <f t="shared" si="216"/>
        <v>#NUM!</v>
      </c>
      <c r="AR226" s="21" t="e">
        <f t="shared" si="217"/>
        <v>#NUM!</v>
      </c>
      <c r="AS226" s="136" t="e">
        <f t="shared" si="237"/>
        <v>#NUM!</v>
      </c>
      <c r="AT226" s="59" t="e">
        <f t="shared" si="218"/>
        <v>#NUM!</v>
      </c>
      <c r="AU226" s="21" t="e">
        <f t="shared" si="219"/>
        <v>#NUM!</v>
      </c>
      <c r="AV226" s="58">
        <f t="shared" si="220"/>
        <v>1500</v>
      </c>
      <c r="AW226" s="58">
        <f t="shared" si="221"/>
        <v>600</v>
      </c>
      <c r="AX226" s="60">
        <f t="shared" si="222"/>
        <v>0.11</v>
      </c>
      <c r="AY226" s="212">
        <f t="shared" si="238"/>
        <v>0</v>
      </c>
      <c r="AZ226" s="59">
        <f t="shared" si="223"/>
        <v>0</v>
      </c>
      <c r="BA226" s="21" t="e">
        <f t="shared" si="224"/>
        <v>#DIV/0!</v>
      </c>
      <c r="BB226" s="58">
        <f t="shared" si="225"/>
        <v>2900</v>
      </c>
      <c r="BC226" s="58">
        <f t="shared" si="226"/>
        <v>1160</v>
      </c>
      <c r="BD226" s="60">
        <f t="shared" si="227"/>
        <v>0.15</v>
      </c>
      <c r="BE226" s="212" t="e">
        <f t="shared" si="239"/>
        <v>#NUM!</v>
      </c>
      <c r="BF226" s="59" t="e">
        <f t="shared" si="228"/>
        <v>#NUM!</v>
      </c>
      <c r="BG226" s="21" t="e">
        <f t="shared" si="229"/>
        <v>#NUM!</v>
      </c>
      <c r="BH226" s="55">
        <f t="shared" ca="1" si="232"/>
        <v>0</v>
      </c>
    </row>
    <row r="227" spans="1:60" x14ac:dyDescent="0.2">
      <c r="A227" s="61">
        <f ca="1">RANK(W227,W$12:W$311,0)+COUNTIF(W$12:W227,W227)-1</f>
        <v>85</v>
      </c>
      <c r="B227" s="55">
        <f>'Etape 1'!A223</f>
        <v>216</v>
      </c>
      <c r="C227" s="55">
        <f>'Etape 1'!B223</f>
        <v>0</v>
      </c>
      <c r="D227" s="55">
        <f>'Etape 1'!C223</f>
        <v>0</v>
      </c>
      <c r="E227" s="55">
        <f>'Etape 1'!D223</f>
        <v>0</v>
      </c>
      <c r="F227" s="55">
        <f>'Etape 1'!E223</f>
        <v>0</v>
      </c>
      <c r="G227" s="55">
        <f>'Etape 1'!F223</f>
        <v>0</v>
      </c>
      <c r="H227" s="55">
        <f>'Etape 1'!G223</f>
        <v>0</v>
      </c>
      <c r="I227" s="209">
        <v>1</v>
      </c>
      <c r="J227" s="58">
        <f t="shared" si="240"/>
        <v>0</v>
      </c>
      <c r="K227" s="21">
        <f t="shared" si="192"/>
        <v>0</v>
      </c>
      <c r="L227" s="21">
        <f t="shared" si="193"/>
        <v>0</v>
      </c>
      <c r="M227" s="21">
        <f t="shared" ca="1" si="194"/>
        <v>3</v>
      </c>
      <c r="N227" s="21">
        <f t="shared" ca="1" si="195"/>
        <v>3</v>
      </c>
      <c r="O227" s="21">
        <f t="shared" ca="1" si="196"/>
        <v>0</v>
      </c>
      <c r="P227" s="262" t="str">
        <f>IF('Etape 1'!J223=999,"",IF('Etape 1'!J223=9999,txt_Schritt1.Angaben.fehlen,VLOOKUP(N227,Matrix_1.2.3.Test.Punkte.ID.Beurteilung,4,1)))</f>
        <v/>
      </c>
      <c r="Q227" s="21">
        <f t="shared" ca="1" si="197"/>
        <v>0</v>
      </c>
      <c r="R227" s="136">
        <f t="shared" si="233"/>
        <v>216</v>
      </c>
      <c r="S227" s="136">
        <f t="shared" ca="1" si="230"/>
        <v>162.71760797342193</v>
      </c>
      <c r="T227" s="136">
        <f t="shared" ca="1" si="234"/>
        <v>750.71760797342188</v>
      </c>
      <c r="U227" s="136">
        <f t="shared" ca="1" si="235"/>
        <v>1224000.7176079734</v>
      </c>
      <c r="V227" s="211">
        <f t="shared" ca="1" si="236"/>
        <v>235406.90965229284</v>
      </c>
      <c r="W227" s="136">
        <f t="shared" ca="1" si="231"/>
        <v>216</v>
      </c>
      <c r="X227" s="136">
        <f t="shared" ca="1" si="198"/>
        <v>162.999000999001</v>
      </c>
      <c r="Y227" s="21">
        <f t="shared" si="199"/>
        <v>1</v>
      </c>
      <c r="Z227" s="21" t="str">
        <f t="shared" si="200"/>
        <v>&lt;IE0</v>
      </c>
      <c r="AA227" s="21">
        <f t="shared" si="201"/>
        <v>1</v>
      </c>
      <c r="AB227" s="21" t="str">
        <f t="shared" si="202"/>
        <v>a - "&lt; 1990 (Eff3)"</v>
      </c>
      <c r="AC227" s="21">
        <f t="shared" si="203"/>
        <v>999999</v>
      </c>
      <c r="AD227" s="21" t="str">
        <f t="shared" si="204"/>
        <v/>
      </c>
      <c r="AE227" s="21" t="str">
        <f t="shared" si="205"/>
        <v/>
      </c>
      <c r="AF227" s="21" t="str">
        <f t="shared" si="206"/>
        <v/>
      </c>
      <c r="AG227" s="21">
        <f t="shared" si="207"/>
        <v>0</v>
      </c>
      <c r="AH227" s="21">
        <f>IF('Etape 1'!H223=St.Wert_Hacken,1,0)</f>
        <v>0</v>
      </c>
      <c r="AI227" s="21">
        <f t="shared" si="208"/>
        <v>0</v>
      </c>
      <c r="AJ227" s="21">
        <f t="shared" si="209"/>
        <v>1000999</v>
      </c>
      <c r="AK227" s="58">
        <f t="shared" si="210"/>
        <v>1100</v>
      </c>
      <c r="AL227" s="58">
        <f t="shared" si="211"/>
        <v>440</v>
      </c>
      <c r="AM227" s="21">
        <f t="shared" si="212"/>
        <v>0</v>
      </c>
      <c r="AN227" s="58">
        <f t="shared" si="213"/>
        <v>1</v>
      </c>
      <c r="AO227" s="58" t="str">
        <f t="shared" si="214"/>
        <v>114</v>
      </c>
      <c r="AP227" s="58" t="str">
        <f t="shared" si="215"/>
        <v>164</v>
      </c>
      <c r="AQ227" s="21" t="e">
        <f t="shared" si="216"/>
        <v>#NUM!</v>
      </c>
      <c r="AR227" s="21" t="e">
        <f t="shared" si="217"/>
        <v>#NUM!</v>
      </c>
      <c r="AS227" s="136" t="e">
        <f t="shared" si="237"/>
        <v>#NUM!</v>
      </c>
      <c r="AT227" s="59" t="e">
        <f t="shared" si="218"/>
        <v>#NUM!</v>
      </c>
      <c r="AU227" s="21" t="e">
        <f t="shared" si="219"/>
        <v>#NUM!</v>
      </c>
      <c r="AV227" s="58">
        <f t="shared" si="220"/>
        <v>1500</v>
      </c>
      <c r="AW227" s="58">
        <f t="shared" si="221"/>
        <v>600</v>
      </c>
      <c r="AX227" s="60">
        <f t="shared" si="222"/>
        <v>0.11</v>
      </c>
      <c r="AY227" s="212">
        <f t="shared" si="238"/>
        <v>0</v>
      </c>
      <c r="AZ227" s="59">
        <f t="shared" si="223"/>
        <v>0</v>
      </c>
      <c r="BA227" s="21" t="e">
        <f t="shared" si="224"/>
        <v>#DIV/0!</v>
      </c>
      <c r="BB227" s="58">
        <f t="shared" si="225"/>
        <v>2900</v>
      </c>
      <c r="BC227" s="58">
        <f t="shared" si="226"/>
        <v>1160</v>
      </c>
      <c r="BD227" s="60">
        <f t="shared" si="227"/>
        <v>0.15</v>
      </c>
      <c r="BE227" s="212" t="e">
        <f t="shared" si="239"/>
        <v>#NUM!</v>
      </c>
      <c r="BF227" s="59" t="e">
        <f t="shared" si="228"/>
        <v>#NUM!</v>
      </c>
      <c r="BG227" s="21" t="e">
        <f t="shared" si="229"/>
        <v>#NUM!</v>
      </c>
      <c r="BH227" s="55">
        <f t="shared" ca="1" si="232"/>
        <v>0</v>
      </c>
    </row>
    <row r="228" spans="1:60" x14ac:dyDescent="0.2">
      <c r="A228" s="61">
        <f ca="1">RANK(W228,W$12:W$311,0)+COUNTIF(W$12:W228,W228)-1</f>
        <v>84</v>
      </c>
      <c r="B228" s="55">
        <f>'Etape 1'!A224</f>
        <v>217</v>
      </c>
      <c r="C228" s="55">
        <f>'Etape 1'!B224</f>
        <v>0</v>
      </c>
      <c r="D228" s="55">
        <f>'Etape 1'!C224</f>
        <v>0</v>
      </c>
      <c r="E228" s="55">
        <f>'Etape 1'!D224</f>
        <v>0</v>
      </c>
      <c r="F228" s="55">
        <f>'Etape 1'!E224</f>
        <v>0</v>
      </c>
      <c r="G228" s="55">
        <f>'Etape 1'!F224</f>
        <v>0</v>
      </c>
      <c r="H228" s="55">
        <f>'Etape 1'!G224</f>
        <v>0</v>
      </c>
      <c r="I228" s="209">
        <v>1</v>
      </c>
      <c r="J228" s="58">
        <f t="shared" si="240"/>
        <v>0</v>
      </c>
      <c r="K228" s="21">
        <f t="shared" si="192"/>
        <v>0</v>
      </c>
      <c r="L228" s="21">
        <f t="shared" si="193"/>
        <v>0</v>
      </c>
      <c r="M228" s="21">
        <f t="shared" ca="1" si="194"/>
        <v>3</v>
      </c>
      <c r="N228" s="21">
        <f t="shared" ca="1" si="195"/>
        <v>3</v>
      </c>
      <c r="O228" s="21">
        <f t="shared" ca="1" si="196"/>
        <v>0</v>
      </c>
      <c r="P228" s="262" t="str">
        <f>IF('Etape 1'!J224=999,"",IF('Etape 1'!J224=9999,txt_Schritt1.Angaben.fehlen,VLOOKUP(N228,Matrix_1.2.3.Test.Punkte.ID.Beurteilung,4,1)))</f>
        <v/>
      </c>
      <c r="Q228" s="21">
        <f t="shared" ca="1" si="197"/>
        <v>0</v>
      </c>
      <c r="R228" s="136">
        <f t="shared" si="233"/>
        <v>217</v>
      </c>
      <c r="S228" s="136">
        <f t="shared" ca="1" si="230"/>
        <v>162.72093023255815</v>
      </c>
      <c r="T228" s="136">
        <f t="shared" ca="1" si="234"/>
        <v>750.72093023255809</v>
      </c>
      <c r="U228" s="136">
        <f t="shared" ca="1" si="235"/>
        <v>1224000.7209302327</v>
      </c>
      <c r="V228" s="211">
        <f t="shared" ca="1" si="236"/>
        <v>235406.91297455196</v>
      </c>
      <c r="W228" s="136">
        <f t="shared" ca="1" si="231"/>
        <v>217</v>
      </c>
      <c r="X228" s="136">
        <f t="shared" ca="1" si="198"/>
        <v>162.999000999001</v>
      </c>
      <c r="Y228" s="21">
        <f t="shared" si="199"/>
        <v>1</v>
      </c>
      <c r="Z228" s="21" t="str">
        <f t="shared" si="200"/>
        <v>&lt;IE0</v>
      </c>
      <c r="AA228" s="21">
        <f t="shared" si="201"/>
        <v>1</v>
      </c>
      <c r="AB228" s="21" t="str">
        <f t="shared" si="202"/>
        <v>a - "&lt; 1990 (Eff3)"</v>
      </c>
      <c r="AC228" s="21">
        <f t="shared" si="203"/>
        <v>999999</v>
      </c>
      <c r="AD228" s="21" t="str">
        <f t="shared" si="204"/>
        <v/>
      </c>
      <c r="AE228" s="21" t="str">
        <f t="shared" si="205"/>
        <v/>
      </c>
      <c r="AF228" s="21" t="str">
        <f t="shared" si="206"/>
        <v/>
      </c>
      <c r="AG228" s="21">
        <f t="shared" si="207"/>
        <v>0</v>
      </c>
      <c r="AH228" s="21">
        <f>IF('Etape 1'!H224=St.Wert_Hacken,1,0)</f>
        <v>0</v>
      </c>
      <c r="AI228" s="21">
        <f t="shared" si="208"/>
        <v>0</v>
      </c>
      <c r="AJ228" s="21">
        <f t="shared" si="209"/>
        <v>1000999</v>
      </c>
      <c r="AK228" s="58">
        <f t="shared" si="210"/>
        <v>1100</v>
      </c>
      <c r="AL228" s="58">
        <f t="shared" si="211"/>
        <v>440</v>
      </c>
      <c r="AM228" s="21">
        <f t="shared" si="212"/>
        <v>0</v>
      </c>
      <c r="AN228" s="58">
        <f t="shared" si="213"/>
        <v>1</v>
      </c>
      <c r="AO228" s="58" t="str">
        <f t="shared" si="214"/>
        <v>114</v>
      </c>
      <c r="AP228" s="58" t="str">
        <f t="shared" si="215"/>
        <v>164</v>
      </c>
      <c r="AQ228" s="21" t="e">
        <f t="shared" si="216"/>
        <v>#NUM!</v>
      </c>
      <c r="AR228" s="21" t="e">
        <f t="shared" si="217"/>
        <v>#NUM!</v>
      </c>
      <c r="AS228" s="136" t="e">
        <f t="shared" si="237"/>
        <v>#NUM!</v>
      </c>
      <c r="AT228" s="59" t="e">
        <f t="shared" si="218"/>
        <v>#NUM!</v>
      </c>
      <c r="AU228" s="21" t="e">
        <f t="shared" si="219"/>
        <v>#NUM!</v>
      </c>
      <c r="AV228" s="58">
        <f t="shared" si="220"/>
        <v>1500</v>
      </c>
      <c r="AW228" s="58">
        <f t="shared" si="221"/>
        <v>600</v>
      </c>
      <c r="AX228" s="60">
        <f t="shared" si="222"/>
        <v>0.11</v>
      </c>
      <c r="AY228" s="212">
        <f t="shared" si="238"/>
        <v>0</v>
      </c>
      <c r="AZ228" s="59">
        <f t="shared" si="223"/>
        <v>0</v>
      </c>
      <c r="BA228" s="21" t="e">
        <f t="shared" si="224"/>
        <v>#DIV/0!</v>
      </c>
      <c r="BB228" s="58">
        <f t="shared" si="225"/>
        <v>2900</v>
      </c>
      <c r="BC228" s="58">
        <f t="shared" si="226"/>
        <v>1160</v>
      </c>
      <c r="BD228" s="60">
        <f t="shared" si="227"/>
        <v>0.15</v>
      </c>
      <c r="BE228" s="212" t="e">
        <f t="shared" si="239"/>
        <v>#NUM!</v>
      </c>
      <c r="BF228" s="59" t="e">
        <f t="shared" si="228"/>
        <v>#NUM!</v>
      </c>
      <c r="BG228" s="21" t="e">
        <f t="shared" si="229"/>
        <v>#NUM!</v>
      </c>
      <c r="BH228" s="55">
        <f t="shared" ca="1" si="232"/>
        <v>0</v>
      </c>
    </row>
    <row r="229" spans="1:60" x14ac:dyDescent="0.2">
      <c r="A229" s="61">
        <f ca="1">RANK(W229,W$12:W$311,0)+COUNTIF(W$12:W229,W229)-1</f>
        <v>83</v>
      </c>
      <c r="B229" s="55">
        <f>'Etape 1'!A225</f>
        <v>218</v>
      </c>
      <c r="C229" s="55">
        <f>'Etape 1'!B225</f>
        <v>0</v>
      </c>
      <c r="D229" s="55">
        <f>'Etape 1'!C225</f>
        <v>0</v>
      </c>
      <c r="E229" s="55">
        <f>'Etape 1'!D225</f>
        <v>0</v>
      </c>
      <c r="F229" s="55">
        <f>'Etape 1'!E225</f>
        <v>0</v>
      </c>
      <c r="G229" s="55">
        <f>'Etape 1'!F225</f>
        <v>0</v>
      </c>
      <c r="H229" s="55">
        <f>'Etape 1'!G225</f>
        <v>0</v>
      </c>
      <c r="I229" s="209">
        <v>1</v>
      </c>
      <c r="J229" s="58">
        <f t="shared" si="240"/>
        <v>0</v>
      </c>
      <c r="K229" s="21">
        <f t="shared" si="192"/>
        <v>0</v>
      </c>
      <c r="L229" s="21">
        <f t="shared" si="193"/>
        <v>0</v>
      </c>
      <c r="M229" s="21">
        <f t="shared" ca="1" si="194"/>
        <v>3</v>
      </c>
      <c r="N229" s="21">
        <f t="shared" ca="1" si="195"/>
        <v>3</v>
      </c>
      <c r="O229" s="21">
        <f t="shared" ca="1" si="196"/>
        <v>0</v>
      </c>
      <c r="P229" s="262" t="str">
        <f>IF('Etape 1'!J225=999,"",IF('Etape 1'!J225=9999,txt_Schritt1.Angaben.fehlen,VLOOKUP(N229,Matrix_1.2.3.Test.Punkte.ID.Beurteilung,4,1)))</f>
        <v/>
      </c>
      <c r="Q229" s="21">
        <f t="shared" ca="1" si="197"/>
        <v>0</v>
      </c>
      <c r="R229" s="136">
        <f t="shared" si="233"/>
        <v>218</v>
      </c>
      <c r="S229" s="136">
        <f t="shared" ca="1" si="230"/>
        <v>162.72425249169436</v>
      </c>
      <c r="T229" s="136">
        <f t="shared" ca="1" si="234"/>
        <v>750.7242524916943</v>
      </c>
      <c r="U229" s="136">
        <f t="shared" ca="1" si="235"/>
        <v>1224000.7242524917</v>
      </c>
      <c r="V229" s="211">
        <f t="shared" ca="1" si="236"/>
        <v>235406.9162968111</v>
      </c>
      <c r="W229" s="136">
        <f t="shared" ca="1" si="231"/>
        <v>218</v>
      </c>
      <c r="X229" s="136">
        <f t="shared" ca="1" si="198"/>
        <v>162.999000999001</v>
      </c>
      <c r="Y229" s="21">
        <f t="shared" si="199"/>
        <v>1</v>
      </c>
      <c r="Z229" s="21" t="str">
        <f t="shared" si="200"/>
        <v>&lt;IE0</v>
      </c>
      <c r="AA229" s="21">
        <f t="shared" si="201"/>
        <v>1</v>
      </c>
      <c r="AB229" s="21" t="str">
        <f t="shared" si="202"/>
        <v>a - "&lt; 1990 (Eff3)"</v>
      </c>
      <c r="AC229" s="21">
        <f t="shared" si="203"/>
        <v>999999</v>
      </c>
      <c r="AD229" s="21" t="str">
        <f t="shared" si="204"/>
        <v/>
      </c>
      <c r="AE229" s="21" t="str">
        <f t="shared" si="205"/>
        <v/>
      </c>
      <c r="AF229" s="21" t="str">
        <f t="shared" si="206"/>
        <v/>
      </c>
      <c r="AG229" s="21">
        <f t="shared" si="207"/>
        <v>0</v>
      </c>
      <c r="AH229" s="21">
        <f>IF('Etape 1'!H225=St.Wert_Hacken,1,0)</f>
        <v>0</v>
      </c>
      <c r="AI229" s="21">
        <f t="shared" si="208"/>
        <v>0</v>
      </c>
      <c r="AJ229" s="21">
        <f t="shared" si="209"/>
        <v>1000999</v>
      </c>
      <c r="AK229" s="58">
        <f t="shared" si="210"/>
        <v>1100</v>
      </c>
      <c r="AL229" s="58">
        <f t="shared" si="211"/>
        <v>440</v>
      </c>
      <c r="AM229" s="21">
        <f t="shared" si="212"/>
        <v>0</v>
      </c>
      <c r="AN229" s="58">
        <f t="shared" si="213"/>
        <v>1</v>
      </c>
      <c r="AO229" s="58" t="str">
        <f t="shared" si="214"/>
        <v>114</v>
      </c>
      <c r="AP229" s="58" t="str">
        <f t="shared" si="215"/>
        <v>164</v>
      </c>
      <c r="AQ229" s="21" t="e">
        <f t="shared" si="216"/>
        <v>#NUM!</v>
      </c>
      <c r="AR229" s="21" t="e">
        <f t="shared" si="217"/>
        <v>#NUM!</v>
      </c>
      <c r="AS229" s="136" t="e">
        <f t="shared" si="237"/>
        <v>#NUM!</v>
      </c>
      <c r="AT229" s="59" t="e">
        <f t="shared" si="218"/>
        <v>#NUM!</v>
      </c>
      <c r="AU229" s="21" t="e">
        <f t="shared" si="219"/>
        <v>#NUM!</v>
      </c>
      <c r="AV229" s="58">
        <f t="shared" si="220"/>
        <v>1500</v>
      </c>
      <c r="AW229" s="58">
        <f t="shared" si="221"/>
        <v>600</v>
      </c>
      <c r="AX229" s="60">
        <f t="shared" si="222"/>
        <v>0.11</v>
      </c>
      <c r="AY229" s="212">
        <f t="shared" si="238"/>
        <v>0</v>
      </c>
      <c r="AZ229" s="59">
        <f t="shared" si="223"/>
        <v>0</v>
      </c>
      <c r="BA229" s="21" t="e">
        <f t="shared" si="224"/>
        <v>#DIV/0!</v>
      </c>
      <c r="BB229" s="58">
        <f t="shared" si="225"/>
        <v>2900</v>
      </c>
      <c r="BC229" s="58">
        <f t="shared" si="226"/>
        <v>1160</v>
      </c>
      <c r="BD229" s="60">
        <f t="shared" si="227"/>
        <v>0.15</v>
      </c>
      <c r="BE229" s="212" t="e">
        <f t="shared" si="239"/>
        <v>#NUM!</v>
      </c>
      <c r="BF229" s="59" t="e">
        <f t="shared" si="228"/>
        <v>#NUM!</v>
      </c>
      <c r="BG229" s="21" t="e">
        <f t="shared" si="229"/>
        <v>#NUM!</v>
      </c>
      <c r="BH229" s="55">
        <f t="shared" ca="1" si="232"/>
        <v>0</v>
      </c>
    </row>
    <row r="230" spans="1:60" x14ac:dyDescent="0.2">
      <c r="A230" s="61">
        <f ca="1">RANK(W230,W$12:W$311,0)+COUNTIF(W$12:W230,W230)-1</f>
        <v>82</v>
      </c>
      <c r="B230" s="55">
        <f>'Etape 1'!A226</f>
        <v>219</v>
      </c>
      <c r="C230" s="55">
        <f>'Etape 1'!B226</f>
        <v>0</v>
      </c>
      <c r="D230" s="55">
        <f>'Etape 1'!C226</f>
        <v>0</v>
      </c>
      <c r="E230" s="55">
        <f>'Etape 1'!D226</f>
        <v>0</v>
      </c>
      <c r="F230" s="55">
        <f>'Etape 1'!E226</f>
        <v>0</v>
      </c>
      <c r="G230" s="55">
        <f>'Etape 1'!F226</f>
        <v>0</v>
      </c>
      <c r="H230" s="55">
        <f>'Etape 1'!G226</f>
        <v>0</v>
      </c>
      <c r="I230" s="209">
        <v>1</v>
      </c>
      <c r="J230" s="58">
        <f t="shared" si="240"/>
        <v>0</v>
      </c>
      <c r="K230" s="21">
        <f t="shared" si="192"/>
        <v>0</v>
      </c>
      <c r="L230" s="21">
        <f t="shared" si="193"/>
        <v>0</v>
      </c>
      <c r="M230" s="21">
        <f t="shared" ca="1" si="194"/>
        <v>3</v>
      </c>
      <c r="N230" s="21">
        <f t="shared" ca="1" si="195"/>
        <v>3</v>
      </c>
      <c r="O230" s="21">
        <f t="shared" ca="1" si="196"/>
        <v>0</v>
      </c>
      <c r="P230" s="262" t="str">
        <f>IF('Etape 1'!J226=999,"",IF('Etape 1'!J226=9999,txt_Schritt1.Angaben.fehlen,VLOOKUP(N230,Matrix_1.2.3.Test.Punkte.ID.Beurteilung,4,1)))</f>
        <v/>
      </c>
      <c r="Q230" s="21">
        <f t="shared" ca="1" si="197"/>
        <v>0</v>
      </c>
      <c r="R230" s="136">
        <f t="shared" si="233"/>
        <v>219</v>
      </c>
      <c r="S230" s="136">
        <f t="shared" ca="1" si="230"/>
        <v>162.72757475083057</v>
      </c>
      <c r="T230" s="136">
        <f t="shared" ca="1" si="234"/>
        <v>750.72757475083051</v>
      </c>
      <c r="U230" s="136">
        <f t="shared" ca="1" si="235"/>
        <v>1224000.7275747508</v>
      </c>
      <c r="V230" s="211">
        <f t="shared" ca="1" si="236"/>
        <v>235406.91961907025</v>
      </c>
      <c r="W230" s="136">
        <f t="shared" ca="1" si="231"/>
        <v>219</v>
      </c>
      <c r="X230" s="136">
        <f t="shared" ca="1" si="198"/>
        <v>162.999000999001</v>
      </c>
      <c r="Y230" s="21">
        <f t="shared" si="199"/>
        <v>1</v>
      </c>
      <c r="Z230" s="21" t="str">
        <f t="shared" si="200"/>
        <v>&lt;IE0</v>
      </c>
      <c r="AA230" s="21">
        <f t="shared" si="201"/>
        <v>1</v>
      </c>
      <c r="AB230" s="21" t="str">
        <f t="shared" si="202"/>
        <v>a - "&lt; 1990 (Eff3)"</v>
      </c>
      <c r="AC230" s="21">
        <f t="shared" si="203"/>
        <v>999999</v>
      </c>
      <c r="AD230" s="21" t="str">
        <f t="shared" si="204"/>
        <v/>
      </c>
      <c r="AE230" s="21" t="str">
        <f t="shared" si="205"/>
        <v/>
      </c>
      <c r="AF230" s="21" t="str">
        <f t="shared" si="206"/>
        <v/>
      </c>
      <c r="AG230" s="21">
        <f t="shared" si="207"/>
        <v>0</v>
      </c>
      <c r="AH230" s="21">
        <f>IF('Etape 1'!H226=St.Wert_Hacken,1,0)</f>
        <v>0</v>
      </c>
      <c r="AI230" s="21">
        <f t="shared" si="208"/>
        <v>0</v>
      </c>
      <c r="AJ230" s="21">
        <f t="shared" si="209"/>
        <v>1000999</v>
      </c>
      <c r="AK230" s="58">
        <f t="shared" si="210"/>
        <v>1100</v>
      </c>
      <c r="AL230" s="58">
        <f t="shared" si="211"/>
        <v>440</v>
      </c>
      <c r="AM230" s="21">
        <f t="shared" si="212"/>
        <v>0</v>
      </c>
      <c r="AN230" s="58">
        <f t="shared" si="213"/>
        <v>1</v>
      </c>
      <c r="AO230" s="58" t="str">
        <f t="shared" si="214"/>
        <v>114</v>
      </c>
      <c r="AP230" s="58" t="str">
        <f t="shared" si="215"/>
        <v>164</v>
      </c>
      <c r="AQ230" s="21" t="e">
        <f t="shared" si="216"/>
        <v>#NUM!</v>
      </c>
      <c r="AR230" s="21" t="e">
        <f t="shared" si="217"/>
        <v>#NUM!</v>
      </c>
      <c r="AS230" s="136" t="e">
        <f t="shared" si="237"/>
        <v>#NUM!</v>
      </c>
      <c r="AT230" s="59" t="e">
        <f t="shared" si="218"/>
        <v>#NUM!</v>
      </c>
      <c r="AU230" s="21" t="e">
        <f t="shared" si="219"/>
        <v>#NUM!</v>
      </c>
      <c r="AV230" s="58">
        <f t="shared" si="220"/>
        <v>1500</v>
      </c>
      <c r="AW230" s="58">
        <f t="shared" si="221"/>
        <v>600</v>
      </c>
      <c r="AX230" s="60">
        <f t="shared" si="222"/>
        <v>0.11</v>
      </c>
      <c r="AY230" s="212">
        <f t="shared" si="238"/>
        <v>0</v>
      </c>
      <c r="AZ230" s="59">
        <f t="shared" si="223"/>
        <v>0</v>
      </c>
      <c r="BA230" s="21" t="e">
        <f t="shared" si="224"/>
        <v>#DIV/0!</v>
      </c>
      <c r="BB230" s="58">
        <f t="shared" si="225"/>
        <v>2900</v>
      </c>
      <c r="BC230" s="58">
        <f t="shared" si="226"/>
        <v>1160</v>
      </c>
      <c r="BD230" s="60">
        <f t="shared" si="227"/>
        <v>0.15</v>
      </c>
      <c r="BE230" s="212" t="e">
        <f t="shared" si="239"/>
        <v>#NUM!</v>
      </c>
      <c r="BF230" s="59" t="e">
        <f t="shared" si="228"/>
        <v>#NUM!</v>
      </c>
      <c r="BG230" s="21" t="e">
        <f t="shared" si="229"/>
        <v>#NUM!</v>
      </c>
      <c r="BH230" s="55">
        <f t="shared" ca="1" si="232"/>
        <v>0</v>
      </c>
    </row>
    <row r="231" spans="1:60" x14ac:dyDescent="0.2">
      <c r="A231" s="61">
        <f ca="1">RANK(W231,W$12:W$311,0)+COUNTIF(W$12:W231,W231)-1</f>
        <v>81</v>
      </c>
      <c r="B231" s="55">
        <f>'Etape 1'!A227</f>
        <v>220</v>
      </c>
      <c r="C231" s="55">
        <f>'Etape 1'!B227</f>
        <v>0</v>
      </c>
      <c r="D231" s="55">
        <f>'Etape 1'!C227</f>
        <v>0</v>
      </c>
      <c r="E231" s="55">
        <f>'Etape 1'!D227</f>
        <v>0</v>
      </c>
      <c r="F231" s="55">
        <f>'Etape 1'!E227</f>
        <v>0</v>
      </c>
      <c r="G231" s="55">
        <f>'Etape 1'!F227</f>
        <v>0</v>
      </c>
      <c r="H231" s="55">
        <f>'Etape 1'!G227</f>
        <v>0</v>
      </c>
      <c r="I231" s="209">
        <v>1</v>
      </c>
      <c r="J231" s="58">
        <f t="shared" si="240"/>
        <v>0</v>
      </c>
      <c r="K231" s="21">
        <f t="shared" si="192"/>
        <v>0</v>
      </c>
      <c r="L231" s="21">
        <f t="shared" si="193"/>
        <v>0</v>
      </c>
      <c r="M231" s="21">
        <f t="shared" ca="1" si="194"/>
        <v>3</v>
      </c>
      <c r="N231" s="21">
        <f t="shared" ca="1" si="195"/>
        <v>3</v>
      </c>
      <c r="O231" s="21">
        <f t="shared" ca="1" si="196"/>
        <v>0</v>
      </c>
      <c r="P231" s="262" t="str">
        <f>IF('Etape 1'!J227=999,"",IF('Etape 1'!J227=9999,txt_Schritt1.Angaben.fehlen,VLOOKUP(N231,Matrix_1.2.3.Test.Punkte.ID.Beurteilung,4,1)))</f>
        <v/>
      </c>
      <c r="Q231" s="21">
        <f t="shared" ca="1" si="197"/>
        <v>0</v>
      </c>
      <c r="R231" s="136">
        <f t="shared" si="233"/>
        <v>220</v>
      </c>
      <c r="S231" s="136">
        <f t="shared" ca="1" si="230"/>
        <v>162.73089700996678</v>
      </c>
      <c r="T231" s="136">
        <f t="shared" ca="1" si="234"/>
        <v>750.73089700996672</v>
      </c>
      <c r="U231" s="136">
        <f t="shared" ca="1" si="235"/>
        <v>1224000.7308970101</v>
      </c>
      <c r="V231" s="211">
        <f t="shared" ca="1" si="236"/>
        <v>235406.92294132937</v>
      </c>
      <c r="W231" s="136">
        <f t="shared" ca="1" si="231"/>
        <v>220</v>
      </c>
      <c r="X231" s="136">
        <f t="shared" ca="1" si="198"/>
        <v>162.999000999001</v>
      </c>
      <c r="Y231" s="21">
        <f t="shared" si="199"/>
        <v>1</v>
      </c>
      <c r="Z231" s="21" t="str">
        <f t="shared" si="200"/>
        <v>&lt;IE0</v>
      </c>
      <c r="AA231" s="21">
        <f t="shared" si="201"/>
        <v>1</v>
      </c>
      <c r="AB231" s="21" t="str">
        <f t="shared" si="202"/>
        <v>a - "&lt; 1990 (Eff3)"</v>
      </c>
      <c r="AC231" s="21">
        <f t="shared" si="203"/>
        <v>999999</v>
      </c>
      <c r="AD231" s="21" t="str">
        <f t="shared" si="204"/>
        <v/>
      </c>
      <c r="AE231" s="21" t="str">
        <f t="shared" si="205"/>
        <v/>
      </c>
      <c r="AF231" s="21" t="str">
        <f t="shared" si="206"/>
        <v/>
      </c>
      <c r="AG231" s="21">
        <f t="shared" si="207"/>
        <v>0</v>
      </c>
      <c r="AH231" s="21">
        <f>IF('Etape 1'!H227=St.Wert_Hacken,1,0)</f>
        <v>0</v>
      </c>
      <c r="AI231" s="21">
        <f t="shared" si="208"/>
        <v>0</v>
      </c>
      <c r="AJ231" s="21">
        <f t="shared" si="209"/>
        <v>1000999</v>
      </c>
      <c r="AK231" s="58">
        <f t="shared" si="210"/>
        <v>1100</v>
      </c>
      <c r="AL231" s="58">
        <f t="shared" si="211"/>
        <v>440</v>
      </c>
      <c r="AM231" s="21">
        <f t="shared" si="212"/>
        <v>0</v>
      </c>
      <c r="AN231" s="58">
        <f t="shared" si="213"/>
        <v>1</v>
      </c>
      <c r="AO231" s="58" t="str">
        <f t="shared" si="214"/>
        <v>114</v>
      </c>
      <c r="AP231" s="58" t="str">
        <f t="shared" si="215"/>
        <v>164</v>
      </c>
      <c r="AQ231" s="21" t="e">
        <f t="shared" si="216"/>
        <v>#NUM!</v>
      </c>
      <c r="AR231" s="21" t="e">
        <f t="shared" si="217"/>
        <v>#NUM!</v>
      </c>
      <c r="AS231" s="136" t="e">
        <f t="shared" si="237"/>
        <v>#NUM!</v>
      </c>
      <c r="AT231" s="59" t="e">
        <f t="shared" si="218"/>
        <v>#NUM!</v>
      </c>
      <c r="AU231" s="21" t="e">
        <f t="shared" si="219"/>
        <v>#NUM!</v>
      </c>
      <c r="AV231" s="58">
        <f t="shared" si="220"/>
        <v>1500</v>
      </c>
      <c r="AW231" s="58">
        <f t="shared" si="221"/>
        <v>600</v>
      </c>
      <c r="AX231" s="60">
        <f t="shared" si="222"/>
        <v>0.11</v>
      </c>
      <c r="AY231" s="212">
        <f t="shared" si="238"/>
        <v>0</v>
      </c>
      <c r="AZ231" s="59">
        <f t="shared" si="223"/>
        <v>0</v>
      </c>
      <c r="BA231" s="21" t="e">
        <f t="shared" si="224"/>
        <v>#DIV/0!</v>
      </c>
      <c r="BB231" s="58">
        <f t="shared" si="225"/>
        <v>2900</v>
      </c>
      <c r="BC231" s="58">
        <f t="shared" si="226"/>
        <v>1160</v>
      </c>
      <c r="BD231" s="60">
        <f t="shared" si="227"/>
        <v>0.15</v>
      </c>
      <c r="BE231" s="212" t="e">
        <f t="shared" si="239"/>
        <v>#NUM!</v>
      </c>
      <c r="BF231" s="59" t="e">
        <f t="shared" si="228"/>
        <v>#NUM!</v>
      </c>
      <c r="BG231" s="21" t="e">
        <f t="shared" si="229"/>
        <v>#NUM!</v>
      </c>
      <c r="BH231" s="55">
        <f t="shared" ca="1" si="232"/>
        <v>0</v>
      </c>
    </row>
    <row r="232" spans="1:60" x14ac:dyDescent="0.2">
      <c r="A232" s="61">
        <f ca="1">RANK(W232,W$12:W$311,0)+COUNTIF(W$12:W232,W232)-1</f>
        <v>80</v>
      </c>
      <c r="B232" s="55">
        <f>'Etape 1'!A228</f>
        <v>221</v>
      </c>
      <c r="C232" s="55">
        <f>'Etape 1'!B228</f>
        <v>0</v>
      </c>
      <c r="D232" s="55">
        <f>'Etape 1'!C228</f>
        <v>0</v>
      </c>
      <c r="E232" s="55">
        <f>'Etape 1'!D228</f>
        <v>0</v>
      </c>
      <c r="F232" s="55">
        <f>'Etape 1'!E228</f>
        <v>0</v>
      </c>
      <c r="G232" s="55">
        <f>'Etape 1'!F228</f>
        <v>0</v>
      </c>
      <c r="H232" s="55">
        <f>'Etape 1'!G228</f>
        <v>0</v>
      </c>
      <c r="I232" s="209">
        <v>1</v>
      </c>
      <c r="J232" s="58">
        <f t="shared" si="240"/>
        <v>0</v>
      </c>
      <c r="K232" s="21">
        <f t="shared" si="192"/>
        <v>0</v>
      </c>
      <c r="L232" s="21">
        <f t="shared" si="193"/>
        <v>0</v>
      </c>
      <c r="M232" s="21">
        <f t="shared" ca="1" si="194"/>
        <v>3</v>
      </c>
      <c r="N232" s="21">
        <f t="shared" ca="1" si="195"/>
        <v>3</v>
      </c>
      <c r="O232" s="21">
        <f t="shared" ca="1" si="196"/>
        <v>0</v>
      </c>
      <c r="P232" s="262" t="str">
        <f>IF('Etape 1'!J228=999,"",IF('Etape 1'!J228=9999,txt_Schritt1.Angaben.fehlen,VLOOKUP(N232,Matrix_1.2.3.Test.Punkte.ID.Beurteilung,4,1)))</f>
        <v/>
      </c>
      <c r="Q232" s="21">
        <f t="shared" ca="1" si="197"/>
        <v>0</v>
      </c>
      <c r="R232" s="136">
        <f t="shared" si="233"/>
        <v>221</v>
      </c>
      <c r="S232" s="136">
        <f t="shared" ca="1" si="230"/>
        <v>162.73421926910299</v>
      </c>
      <c r="T232" s="136">
        <f t="shared" ca="1" si="234"/>
        <v>750.73421926910294</v>
      </c>
      <c r="U232" s="136">
        <f t="shared" ca="1" si="235"/>
        <v>1224000.7342192691</v>
      </c>
      <c r="V232" s="211">
        <f t="shared" ca="1" si="236"/>
        <v>235406.92626358851</v>
      </c>
      <c r="W232" s="136">
        <f t="shared" ca="1" si="231"/>
        <v>221</v>
      </c>
      <c r="X232" s="136">
        <f t="shared" ca="1" si="198"/>
        <v>162.999000999001</v>
      </c>
      <c r="Y232" s="21">
        <f t="shared" si="199"/>
        <v>1</v>
      </c>
      <c r="Z232" s="21" t="str">
        <f t="shared" si="200"/>
        <v>&lt;IE0</v>
      </c>
      <c r="AA232" s="21">
        <f t="shared" si="201"/>
        <v>1</v>
      </c>
      <c r="AB232" s="21" t="str">
        <f t="shared" si="202"/>
        <v>a - "&lt; 1990 (Eff3)"</v>
      </c>
      <c r="AC232" s="21">
        <f t="shared" si="203"/>
        <v>999999</v>
      </c>
      <c r="AD232" s="21" t="str">
        <f t="shared" si="204"/>
        <v/>
      </c>
      <c r="AE232" s="21" t="str">
        <f t="shared" si="205"/>
        <v/>
      </c>
      <c r="AF232" s="21" t="str">
        <f t="shared" si="206"/>
        <v/>
      </c>
      <c r="AG232" s="21">
        <f t="shared" si="207"/>
        <v>0</v>
      </c>
      <c r="AH232" s="21">
        <f>IF('Etape 1'!H228=St.Wert_Hacken,1,0)</f>
        <v>0</v>
      </c>
      <c r="AI232" s="21">
        <f t="shared" si="208"/>
        <v>0</v>
      </c>
      <c r="AJ232" s="21">
        <f t="shared" si="209"/>
        <v>1000999</v>
      </c>
      <c r="AK232" s="58">
        <f t="shared" si="210"/>
        <v>1100</v>
      </c>
      <c r="AL232" s="58">
        <f t="shared" si="211"/>
        <v>440</v>
      </c>
      <c r="AM232" s="21">
        <f t="shared" si="212"/>
        <v>0</v>
      </c>
      <c r="AN232" s="58">
        <f t="shared" si="213"/>
        <v>1</v>
      </c>
      <c r="AO232" s="58" t="str">
        <f t="shared" si="214"/>
        <v>114</v>
      </c>
      <c r="AP232" s="58" t="str">
        <f t="shared" si="215"/>
        <v>164</v>
      </c>
      <c r="AQ232" s="21" t="e">
        <f t="shared" si="216"/>
        <v>#NUM!</v>
      </c>
      <c r="AR232" s="21" t="e">
        <f t="shared" si="217"/>
        <v>#NUM!</v>
      </c>
      <c r="AS232" s="136" t="e">
        <f t="shared" si="237"/>
        <v>#NUM!</v>
      </c>
      <c r="AT232" s="59" t="e">
        <f t="shared" si="218"/>
        <v>#NUM!</v>
      </c>
      <c r="AU232" s="21" t="e">
        <f t="shared" si="219"/>
        <v>#NUM!</v>
      </c>
      <c r="AV232" s="58">
        <f t="shared" si="220"/>
        <v>1500</v>
      </c>
      <c r="AW232" s="58">
        <f t="shared" si="221"/>
        <v>600</v>
      </c>
      <c r="AX232" s="60">
        <f t="shared" si="222"/>
        <v>0.11</v>
      </c>
      <c r="AY232" s="212">
        <f t="shared" si="238"/>
        <v>0</v>
      </c>
      <c r="AZ232" s="59">
        <f t="shared" si="223"/>
        <v>0</v>
      </c>
      <c r="BA232" s="21" t="e">
        <f t="shared" si="224"/>
        <v>#DIV/0!</v>
      </c>
      <c r="BB232" s="58">
        <f t="shared" si="225"/>
        <v>2900</v>
      </c>
      <c r="BC232" s="58">
        <f t="shared" si="226"/>
        <v>1160</v>
      </c>
      <c r="BD232" s="60">
        <f t="shared" si="227"/>
        <v>0.15</v>
      </c>
      <c r="BE232" s="212" t="e">
        <f t="shared" si="239"/>
        <v>#NUM!</v>
      </c>
      <c r="BF232" s="59" t="e">
        <f t="shared" si="228"/>
        <v>#NUM!</v>
      </c>
      <c r="BG232" s="21" t="e">
        <f t="shared" si="229"/>
        <v>#NUM!</v>
      </c>
      <c r="BH232" s="55">
        <f t="shared" ca="1" si="232"/>
        <v>0</v>
      </c>
    </row>
    <row r="233" spans="1:60" x14ac:dyDescent="0.2">
      <c r="A233" s="61">
        <f ca="1">RANK(W233,W$12:W$311,0)+COUNTIF(W$12:W233,W233)-1</f>
        <v>79</v>
      </c>
      <c r="B233" s="55">
        <f>'Etape 1'!A229</f>
        <v>222</v>
      </c>
      <c r="C233" s="55">
        <f>'Etape 1'!B229</f>
        <v>0</v>
      </c>
      <c r="D233" s="55">
        <f>'Etape 1'!C229</f>
        <v>0</v>
      </c>
      <c r="E233" s="55">
        <f>'Etape 1'!D229</f>
        <v>0</v>
      </c>
      <c r="F233" s="55">
        <f>'Etape 1'!E229</f>
        <v>0</v>
      </c>
      <c r="G233" s="55">
        <f>'Etape 1'!F229</f>
        <v>0</v>
      </c>
      <c r="H233" s="55">
        <f>'Etape 1'!G229</f>
        <v>0</v>
      </c>
      <c r="I233" s="209">
        <v>1</v>
      </c>
      <c r="J233" s="58">
        <f t="shared" si="240"/>
        <v>0</v>
      </c>
      <c r="K233" s="21">
        <f t="shared" si="192"/>
        <v>0</v>
      </c>
      <c r="L233" s="21">
        <f t="shared" si="193"/>
        <v>0</v>
      </c>
      <c r="M233" s="21">
        <f t="shared" ca="1" si="194"/>
        <v>3</v>
      </c>
      <c r="N233" s="21">
        <f t="shared" ca="1" si="195"/>
        <v>3</v>
      </c>
      <c r="O233" s="21">
        <f t="shared" ca="1" si="196"/>
        <v>0</v>
      </c>
      <c r="P233" s="262" t="str">
        <f>IF('Etape 1'!J229=999,"",IF('Etape 1'!J229=9999,txt_Schritt1.Angaben.fehlen,VLOOKUP(N233,Matrix_1.2.3.Test.Punkte.ID.Beurteilung,4,1)))</f>
        <v/>
      </c>
      <c r="Q233" s="21">
        <f t="shared" ca="1" si="197"/>
        <v>0</v>
      </c>
      <c r="R233" s="136">
        <f t="shared" si="233"/>
        <v>222</v>
      </c>
      <c r="S233" s="136">
        <f t="shared" ca="1" si="230"/>
        <v>162.73754152823921</v>
      </c>
      <c r="T233" s="136">
        <f t="shared" ca="1" si="234"/>
        <v>750.73754152823915</v>
      </c>
      <c r="U233" s="136">
        <f t="shared" ca="1" si="235"/>
        <v>1224000.7375415282</v>
      </c>
      <c r="V233" s="211">
        <f t="shared" ca="1" si="236"/>
        <v>235406.92958584765</v>
      </c>
      <c r="W233" s="136">
        <f t="shared" ca="1" si="231"/>
        <v>222</v>
      </c>
      <c r="X233" s="136">
        <f t="shared" ca="1" si="198"/>
        <v>162.999000999001</v>
      </c>
      <c r="Y233" s="21">
        <f t="shared" si="199"/>
        <v>1</v>
      </c>
      <c r="Z233" s="21" t="str">
        <f t="shared" si="200"/>
        <v>&lt;IE0</v>
      </c>
      <c r="AA233" s="21">
        <f t="shared" si="201"/>
        <v>1</v>
      </c>
      <c r="AB233" s="21" t="str">
        <f t="shared" si="202"/>
        <v>a - "&lt; 1990 (Eff3)"</v>
      </c>
      <c r="AC233" s="21">
        <f t="shared" si="203"/>
        <v>999999</v>
      </c>
      <c r="AD233" s="21" t="str">
        <f t="shared" si="204"/>
        <v/>
      </c>
      <c r="AE233" s="21" t="str">
        <f t="shared" si="205"/>
        <v/>
      </c>
      <c r="AF233" s="21" t="str">
        <f t="shared" si="206"/>
        <v/>
      </c>
      <c r="AG233" s="21">
        <f t="shared" si="207"/>
        <v>0</v>
      </c>
      <c r="AH233" s="21">
        <f>IF('Etape 1'!H229=St.Wert_Hacken,1,0)</f>
        <v>0</v>
      </c>
      <c r="AI233" s="21">
        <f t="shared" si="208"/>
        <v>0</v>
      </c>
      <c r="AJ233" s="21">
        <f t="shared" si="209"/>
        <v>1000999</v>
      </c>
      <c r="AK233" s="58">
        <f t="shared" si="210"/>
        <v>1100</v>
      </c>
      <c r="AL233" s="58">
        <f t="shared" si="211"/>
        <v>440</v>
      </c>
      <c r="AM233" s="21">
        <f t="shared" si="212"/>
        <v>0</v>
      </c>
      <c r="AN233" s="58">
        <f t="shared" si="213"/>
        <v>1</v>
      </c>
      <c r="AO233" s="58" t="str">
        <f t="shared" si="214"/>
        <v>114</v>
      </c>
      <c r="AP233" s="58" t="str">
        <f t="shared" si="215"/>
        <v>164</v>
      </c>
      <c r="AQ233" s="21" t="e">
        <f t="shared" si="216"/>
        <v>#NUM!</v>
      </c>
      <c r="AR233" s="21" t="e">
        <f t="shared" si="217"/>
        <v>#NUM!</v>
      </c>
      <c r="AS233" s="136" t="e">
        <f t="shared" si="237"/>
        <v>#NUM!</v>
      </c>
      <c r="AT233" s="59" t="e">
        <f t="shared" si="218"/>
        <v>#NUM!</v>
      </c>
      <c r="AU233" s="21" t="e">
        <f t="shared" si="219"/>
        <v>#NUM!</v>
      </c>
      <c r="AV233" s="58">
        <f t="shared" si="220"/>
        <v>1500</v>
      </c>
      <c r="AW233" s="58">
        <f t="shared" si="221"/>
        <v>600</v>
      </c>
      <c r="AX233" s="60">
        <f t="shared" si="222"/>
        <v>0.11</v>
      </c>
      <c r="AY233" s="212">
        <f t="shared" si="238"/>
        <v>0</v>
      </c>
      <c r="AZ233" s="59">
        <f t="shared" si="223"/>
        <v>0</v>
      </c>
      <c r="BA233" s="21" t="e">
        <f t="shared" si="224"/>
        <v>#DIV/0!</v>
      </c>
      <c r="BB233" s="58">
        <f t="shared" si="225"/>
        <v>2900</v>
      </c>
      <c r="BC233" s="58">
        <f t="shared" si="226"/>
        <v>1160</v>
      </c>
      <c r="BD233" s="60">
        <f t="shared" si="227"/>
        <v>0.15</v>
      </c>
      <c r="BE233" s="212" t="e">
        <f t="shared" si="239"/>
        <v>#NUM!</v>
      </c>
      <c r="BF233" s="59" t="e">
        <f t="shared" si="228"/>
        <v>#NUM!</v>
      </c>
      <c r="BG233" s="21" t="e">
        <f t="shared" si="229"/>
        <v>#NUM!</v>
      </c>
      <c r="BH233" s="55">
        <f t="shared" ca="1" si="232"/>
        <v>0</v>
      </c>
    </row>
    <row r="234" spans="1:60" x14ac:dyDescent="0.2">
      <c r="A234" s="61">
        <f ca="1">RANK(W234,W$12:W$311,0)+COUNTIF(W$12:W234,W234)-1</f>
        <v>78</v>
      </c>
      <c r="B234" s="55">
        <f>'Etape 1'!A230</f>
        <v>223</v>
      </c>
      <c r="C234" s="55">
        <f>'Etape 1'!B230</f>
        <v>0</v>
      </c>
      <c r="D234" s="55">
        <f>'Etape 1'!C230</f>
        <v>0</v>
      </c>
      <c r="E234" s="55">
        <f>'Etape 1'!D230</f>
        <v>0</v>
      </c>
      <c r="F234" s="55">
        <f>'Etape 1'!E230</f>
        <v>0</v>
      </c>
      <c r="G234" s="55">
        <f>'Etape 1'!F230</f>
        <v>0</v>
      </c>
      <c r="H234" s="55">
        <f>'Etape 1'!G230</f>
        <v>0</v>
      </c>
      <c r="I234" s="209">
        <v>1</v>
      </c>
      <c r="J234" s="58">
        <f t="shared" si="240"/>
        <v>0</v>
      </c>
      <c r="K234" s="21">
        <f t="shared" si="192"/>
        <v>0</v>
      </c>
      <c r="L234" s="21">
        <f t="shared" si="193"/>
        <v>0</v>
      </c>
      <c r="M234" s="21">
        <f t="shared" ca="1" si="194"/>
        <v>3</v>
      </c>
      <c r="N234" s="21">
        <f t="shared" ca="1" si="195"/>
        <v>3</v>
      </c>
      <c r="O234" s="21">
        <f t="shared" ca="1" si="196"/>
        <v>0</v>
      </c>
      <c r="P234" s="262" t="str">
        <f>IF('Etape 1'!J230=999,"",IF('Etape 1'!J230=9999,txt_Schritt1.Angaben.fehlen,VLOOKUP(N234,Matrix_1.2.3.Test.Punkte.ID.Beurteilung,4,1)))</f>
        <v/>
      </c>
      <c r="Q234" s="21">
        <f t="shared" ca="1" si="197"/>
        <v>0</v>
      </c>
      <c r="R234" s="136">
        <f t="shared" si="233"/>
        <v>223</v>
      </c>
      <c r="S234" s="136">
        <f t="shared" ca="1" si="230"/>
        <v>162.74086378737542</v>
      </c>
      <c r="T234" s="136">
        <f t="shared" ca="1" si="234"/>
        <v>750.74086378737536</v>
      </c>
      <c r="U234" s="136">
        <f t="shared" ca="1" si="235"/>
        <v>1224000.7408637875</v>
      </c>
      <c r="V234" s="211">
        <f t="shared" ca="1" si="236"/>
        <v>235406.9329081068</v>
      </c>
      <c r="W234" s="136">
        <f t="shared" ca="1" si="231"/>
        <v>223</v>
      </c>
      <c r="X234" s="136">
        <f t="shared" ca="1" si="198"/>
        <v>162.999000999001</v>
      </c>
      <c r="Y234" s="21">
        <f t="shared" si="199"/>
        <v>1</v>
      </c>
      <c r="Z234" s="21" t="str">
        <f t="shared" si="200"/>
        <v>&lt;IE0</v>
      </c>
      <c r="AA234" s="21">
        <f t="shared" si="201"/>
        <v>1</v>
      </c>
      <c r="AB234" s="21" t="str">
        <f t="shared" si="202"/>
        <v>a - "&lt; 1990 (Eff3)"</v>
      </c>
      <c r="AC234" s="21">
        <f t="shared" si="203"/>
        <v>999999</v>
      </c>
      <c r="AD234" s="21" t="str">
        <f t="shared" si="204"/>
        <v/>
      </c>
      <c r="AE234" s="21" t="str">
        <f t="shared" si="205"/>
        <v/>
      </c>
      <c r="AF234" s="21" t="str">
        <f t="shared" si="206"/>
        <v/>
      </c>
      <c r="AG234" s="21">
        <f t="shared" si="207"/>
        <v>0</v>
      </c>
      <c r="AH234" s="21">
        <f>IF('Etape 1'!H230=St.Wert_Hacken,1,0)</f>
        <v>0</v>
      </c>
      <c r="AI234" s="21">
        <f t="shared" si="208"/>
        <v>0</v>
      </c>
      <c r="AJ234" s="21">
        <f t="shared" si="209"/>
        <v>1000999</v>
      </c>
      <c r="AK234" s="58">
        <f t="shared" si="210"/>
        <v>1100</v>
      </c>
      <c r="AL234" s="58">
        <f t="shared" si="211"/>
        <v>440</v>
      </c>
      <c r="AM234" s="21">
        <f t="shared" si="212"/>
        <v>0</v>
      </c>
      <c r="AN234" s="58">
        <f t="shared" si="213"/>
        <v>1</v>
      </c>
      <c r="AO234" s="58" t="str">
        <f t="shared" si="214"/>
        <v>114</v>
      </c>
      <c r="AP234" s="58" t="str">
        <f t="shared" si="215"/>
        <v>164</v>
      </c>
      <c r="AQ234" s="21" t="e">
        <f t="shared" si="216"/>
        <v>#NUM!</v>
      </c>
      <c r="AR234" s="21" t="e">
        <f t="shared" si="217"/>
        <v>#NUM!</v>
      </c>
      <c r="AS234" s="136" t="e">
        <f t="shared" si="237"/>
        <v>#NUM!</v>
      </c>
      <c r="AT234" s="59" t="e">
        <f t="shared" si="218"/>
        <v>#NUM!</v>
      </c>
      <c r="AU234" s="21" t="e">
        <f t="shared" si="219"/>
        <v>#NUM!</v>
      </c>
      <c r="AV234" s="58">
        <f t="shared" si="220"/>
        <v>1500</v>
      </c>
      <c r="AW234" s="58">
        <f t="shared" si="221"/>
        <v>600</v>
      </c>
      <c r="AX234" s="60">
        <f t="shared" si="222"/>
        <v>0.11</v>
      </c>
      <c r="AY234" s="212">
        <f t="shared" si="238"/>
        <v>0</v>
      </c>
      <c r="AZ234" s="59">
        <f t="shared" si="223"/>
        <v>0</v>
      </c>
      <c r="BA234" s="21" t="e">
        <f t="shared" si="224"/>
        <v>#DIV/0!</v>
      </c>
      <c r="BB234" s="58">
        <f t="shared" si="225"/>
        <v>2900</v>
      </c>
      <c r="BC234" s="58">
        <f t="shared" si="226"/>
        <v>1160</v>
      </c>
      <c r="BD234" s="60">
        <f t="shared" si="227"/>
        <v>0.15</v>
      </c>
      <c r="BE234" s="212" t="e">
        <f t="shared" si="239"/>
        <v>#NUM!</v>
      </c>
      <c r="BF234" s="59" t="e">
        <f t="shared" si="228"/>
        <v>#NUM!</v>
      </c>
      <c r="BG234" s="21" t="e">
        <f t="shared" si="229"/>
        <v>#NUM!</v>
      </c>
      <c r="BH234" s="55">
        <f t="shared" ca="1" si="232"/>
        <v>0</v>
      </c>
    </row>
    <row r="235" spans="1:60" x14ac:dyDescent="0.2">
      <c r="A235" s="61">
        <f ca="1">RANK(W235,W$12:W$311,0)+COUNTIF(W$12:W235,W235)-1</f>
        <v>77</v>
      </c>
      <c r="B235" s="55">
        <f>'Etape 1'!A231</f>
        <v>224</v>
      </c>
      <c r="C235" s="55">
        <f>'Etape 1'!B231</f>
        <v>0</v>
      </c>
      <c r="D235" s="55">
        <f>'Etape 1'!C231</f>
        <v>0</v>
      </c>
      <c r="E235" s="55">
        <f>'Etape 1'!D231</f>
        <v>0</v>
      </c>
      <c r="F235" s="55">
        <f>'Etape 1'!E231</f>
        <v>0</v>
      </c>
      <c r="G235" s="55">
        <f>'Etape 1'!F231</f>
        <v>0</v>
      </c>
      <c r="H235" s="55">
        <f>'Etape 1'!G231</f>
        <v>0</v>
      </c>
      <c r="I235" s="209">
        <v>1</v>
      </c>
      <c r="J235" s="58">
        <f t="shared" si="240"/>
        <v>0</v>
      </c>
      <c r="K235" s="21">
        <f t="shared" si="192"/>
        <v>0</v>
      </c>
      <c r="L235" s="21">
        <f t="shared" si="193"/>
        <v>0</v>
      </c>
      <c r="M235" s="21">
        <f t="shared" ca="1" si="194"/>
        <v>3</v>
      </c>
      <c r="N235" s="21">
        <f t="shared" ca="1" si="195"/>
        <v>3</v>
      </c>
      <c r="O235" s="21">
        <f t="shared" ca="1" si="196"/>
        <v>0</v>
      </c>
      <c r="P235" s="262" t="str">
        <f>IF('Etape 1'!J231=999,"",IF('Etape 1'!J231=9999,txt_Schritt1.Angaben.fehlen,VLOOKUP(N235,Matrix_1.2.3.Test.Punkte.ID.Beurteilung,4,1)))</f>
        <v/>
      </c>
      <c r="Q235" s="21">
        <f t="shared" ca="1" si="197"/>
        <v>0</v>
      </c>
      <c r="R235" s="136">
        <f t="shared" si="233"/>
        <v>224</v>
      </c>
      <c r="S235" s="136">
        <f t="shared" ca="1" si="230"/>
        <v>162.74418604651163</v>
      </c>
      <c r="T235" s="136">
        <f t="shared" ca="1" si="234"/>
        <v>750.74418604651157</v>
      </c>
      <c r="U235" s="136">
        <f t="shared" ca="1" si="235"/>
        <v>1224000.7441860465</v>
      </c>
      <c r="V235" s="211">
        <f t="shared" ca="1" si="236"/>
        <v>235406.93623036591</v>
      </c>
      <c r="W235" s="136">
        <f t="shared" ca="1" si="231"/>
        <v>224</v>
      </c>
      <c r="X235" s="136">
        <f t="shared" ca="1" si="198"/>
        <v>162.999000999001</v>
      </c>
      <c r="Y235" s="21">
        <f t="shared" si="199"/>
        <v>1</v>
      </c>
      <c r="Z235" s="21" t="str">
        <f t="shared" si="200"/>
        <v>&lt;IE0</v>
      </c>
      <c r="AA235" s="21">
        <f t="shared" si="201"/>
        <v>1</v>
      </c>
      <c r="AB235" s="21" t="str">
        <f t="shared" si="202"/>
        <v>a - "&lt; 1990 (Eff3)"</v>
      </c>
      <c r="AC235" s="21">
        <f t="shared" si="203"/>
        <v>999999</v>
      </c>
      <c r="AD235" s="21" t="str">
        <f t="shared" si="204"/>
        <v/>
      </c>
      <c r="AE235" s="21" t="str">
        <f t="shared" si="205"/>
        <v/>
      </c>
      <c r="AF235" s="21" t="str">
        <f t="shared" si="206"/>
        <v/>
      </c>
      <c r="AG235" s="21">
        <f t="shared" si="207"/>
        <v>0</v>
      </c>
      <c r="AH235" s="21">
        <f>IF('Etape 1'!H231=St.Wert_Hacken,1,0)</f>
        <v>0</v>
      </c>
      <c r="AI235" s="21">
        <f t="shared" si="208"/>
        <v>0</v>
      </c>
      <c r="AJ235" s="21">
        <f t="shared" si="209"/>
        <v>1000999</v>
      </c>
      <c r="AK235" s="58">
        <f t="shared" si="210"/>
        <v>1100</v>
      </c>
      <c r="AL235" s="58">
        <f t="shared" si="211"/>
        <v>440</v>
      </c>
      <c r="AM235" s="21">
        <f t="shared" si="212"/>
        <v>0</v>
      </c>
      <c r="AN235" s="58">
        <f t="shared" si="213"/>
        <v>1</v>
      </c>
      <c r="AO235" s="58" t="str">
        <f t="shared" si="214"/>
        <v>114</v>
      </c>
      <c r="AP235" s="58" t="str">
        <f t="shared" si="215"/>
        <v>164</v>
      </c>
      <c r="AQ235" s="21" t="e">
        <f t="shared" si="216"/>
        <v>#NUM!</v>
      </c>
      <c r="AR235" s="21" t="e">
        <f t="shared" si="217"/>
        <v>#NUM!</v>
      </c>
      <c r="AS235" s="136" t="e">
        <f t="shared" si="237"/>
        <v>#NUM!</v>
      </c>
      <c r="AT235" s="59" t="e">
        <f t="shared" si="218"/>
        <v>#NUM!</v>
      </c>
      <c r="AU235" s="21" t="e">
        <f t="shared" si="219"/>
        <v>#NUM!</v>
      </c>
      <c r="AV235" s="58">
        <f t="shared" si="220"/>
        <v>1500</v>
      </c>
      <c r="AW235" s="58">
        <f t="shared" si="221"/>
        <v>600</v>
      </c>
      <c r="AX235" s="60">
        <f t="shared" si="222"/>
        <v>0.11</v>
      </c>
      <c r="AY235" s="212">
        <f t="shared" si="238"/>
        <v>0</v>
      </c>
      <c r="AZ235" s="59">
        <f t="shared" si="223"/>
        <v>0</v>
      </c>
      <c r="BA235" s="21" t="e">
        <f t="shared" si="224"/>
        <v>#DIV/0!</v>
      </c>
      <c r="BB235" s="58">
        <f t="shared" si="225"/>
        <v>2900</v>
      </c>
      <c r="BC235" s="58">
        <f t="shared" si="226"/>
        <v>1160</v>
      </c>
      <c r="BD235" s="60">
        <f t="shared" si="227"/>
        <v>0.15</v>
      </c>
      <c r="BE235" s="212" t="e">
        <f t="shared" si="239"/>
        <v>#NUM!</v>
      </c>
      <c r="BF235" s="59" t="e">
        <f t="shared" si="228"/>
        <v>#NUM!</v>
      </c>
      <c r="BG235" s="21" t="e">
        <f t="shared" si="229"/>
        <v>#NUM!</v>
      </c>
      <c r="BH235" s="55">
        <f t="shared" ca="1" si="232"/>
        <v>0</v>
      </c>
    </row>
    <row r="236" spans="1:60" x14ac:dyDescent="0.2">
      <c r="A236" s="61">
        <f ca="1">RANK(W236,W$12:W$311,0)+COUNTIF(W$12:W236,W236)-1</f>
        <v>76</v>
      </c>
      <c r="B236" s="55">
        <f>'Etape 1'!A232</f>
        <v>225</v>
      </c>
      <c r="C236" s="55">
        <f>'Etape 1'!B232</f>
        <v>0</v>
      </c>
      <c r="D236" s="55">
        <f>'Etape 1'!C232</f>
        <v>0</v>
      </c>
      <c r="E236" s="55">
        <f>'Etape 1'!D232</f>
        <v>0</v>
      </c>
      <c r="F236" s="55">
        <f>'Etape 1'!E232</f>
        <v>0</v>
      </c>
      <c r="G236" s="55">
        <f>'Etape 1'!F232</f>
        <v>0</v>
      </c>
      <c r="H236" s="55">
        <f>'Etape 1'!G232</f>
        <v>0</v>
      </c>
      <c r="I236" s="209">
        <v>1</v>
      </c>
      <c r="J236" s="58">
        <f t="shared" si="240"/>
        <v>0</v>
      </c>
      <c r="K236" s="21">
        <f t="shared" si="192"/>
        <v>0</v>
      </c>
      <c r="L236" s="21">
        <f t="shared" si="193"/>
        <v>0</v>
      </c>
      <c r="M236" s="21">
        <f t="shared" ca="1" si="194"/>
        <v>3</v>
      </c>
      <c r="N236" s="21">
        <f t="shared" ca="1" si="195"/>
        <v>3</v>
      </c>
      <c r="O236" s="21">
        <f t="shared" ca="1" si="196"/>
        <v>0</v>
      </c>
      <c r="P236" s="262" t="str">
        <f>IF('Etape 1'!J232=999,"",IF('Etape 1'!J232=9999,txt_Schritt1.Angaben.fehlen,VLOOKUP(N236,Matrix_1.2.3.Test.Punkte.ID.Beurteilung,4,1)))</f>
        <v/>
      </c>
      <c r="Q236" s="21">
        <f t="shared" ca="1" si="197"/>
        <v>0</v>
      </c>
      <c r="R236" s="136">
        <f t="shared" si="233"/>
        <v>225</v>
      </c>
      <c r="S236" s="136">
        <f t="shared" ca="1" si="230"/>
        <v>162.74750830564784</v>
      </c>
      <c r="T236" s="136">
        <f t="shared" ca="1" si="234"/>
        <v>750.74750830564778</v>
      </c>
      <c r="U236" s="136">
        <f t="shared" ca="1" si="235"/>
        <v>1224000.7475083056</v>
      </c>
      <c r="V236" s="211">
        <f t="shared" ca="1" si="236"/>
        <v>235406.93955262506</v>
      </c>
      <c r="W236" s="136">
        <f t="shared" ca="1" si="231"/>
        <v>225</v>
      </c>
      <c r="X236" s="136">
        <f t="shared" ca="1" si="198"/>
        <v>162.999000999001</v>
      </c>
      <c r="Y236" s="21">
        <f t="shared" si="199"/>
        <v>1</v>
      </c>
      <c r="Z236" s="21" t="str">
        <f t="shared" si="200"/>
        <v>&lt;IE0</v>
      </c>
      <c r="AA236" s="21">
        <f t="shared" si="201"/>
        <v>1</v>
      </c>
      <c r="AB236" s="21" t="str">
        <f t="shared" si="202"/>
        <v>a - "&lt; 1990 (Eff3)"</v>
      </c>
      <c r="AC236" s="21">
        <f t="shared" si="203"/>
        <v>999999</v>
      </c>
      <c r="AD236" s="21" t="str">
        <f t="shared" si="204"/>
        <v/>
      </c>
      <c r="AE236" s="21" t="str">
        <f t="shared" si="205"/>
        <v/>
      </c>
      <c r="AF236" s="21" t="str">
        <f t="shared" si="206"/>
        <v/>
      </c>
      <c r="AG236" s="21">
        <f t="shared" si="207"/>
        <v>0</v>
      </c>
      <c r="AH236" s="21">
        <f>IF('Etape 1'!H232=St.Wert_Hacken,1,0)</f>
        <v>0</v>
      </c>
      <c r="AI236" s="21">
        <f t="shared" si="208"/>
        <v>0</v>
      </c>
      <c r="AJ236" s="21">
        <f t="shared" si="209"/>
        <v>1000999</v>
      </c>
      <c r="AK236" s="58">
        <f t="shared" si="210"/>
        <v>1100</v>
      </c>
      <c r="AL236" s="58">
        <f t="shared" si="211"/>
        <v>440</v>
      </c>
      <c r="AM236" s="21">
        <f t="shared" si="212"/>
        <v>0</v>
      </c>
      <c r="AN236" s="58">
        <f t="shared" si="213"/>
        <v>1</v>
      </c>
      <c r="AO236" s="58" t="str">
        <f t="shared" si="214"/>
        <v>114</v>
      </c>
      <c r="AP236" s="58" t="str">
        <f t="shared" si="215"/>
        <v>164</v>
      </c>
      <c r="AQ236" s="21" t="e">
        <f t="shared" si="216"/>
        <v>#NUM!</v>
      </c>
      <c r="AR236" s="21" t="e">
        <f t="shared" si="217"/>
        <v>#NUM!</v>
      </c>
      <c r="AS236" s="136" t="e">
        <f t="shared" si="237"/>
        <v>#NUM!</v>
      </c>
      <c r="AT236" s="59" t="e">
        <f t="shared" si="218"/>
        <v>#NUM!</v>
      </c>
      <c r="AU236" s="21" t="e">
        <f t="shared" si="219"/>
        <v>#NUM!</v>
      </c>
      <c r="AV236" s="58">
        <f t="shared" si="220"/>
        <v>1500</v>
      </c>
      <c r="AW236" s="58">
        <f t="shared" si="221"/>
        <v>600</v>
      </c>
      <c r="AX236" s="60">
        <f t="shared" si="222"/>
        <v>0.11</v>
      </c>
      <c r="AY236" s="212">
        <f t="shared" si="238"/>
        <v>0</v>
      </c>
      <c r="AZ236" s="59">
        <f t="shared" si="223"/>
        <v>0</v>
      </c>
      <c r="BA236" s="21" t="e">
        <f t="shared" si="224"/>
        <v>#DIV/0!</v>
      </c>
      <c r="BB236" s="58">
        <f t="shared" si="225"/>
        <v>2900</v>
      </c>
      <c r="BC236" s="58">
        <f t="shared" si="226"/>
        <v>1160</v>
      </c>
      <c r="BD236" s="60">
        <f t="shared" si="227"/>
        <v>0.15</v>
      </c>
      <c r="BE236" s="212" t="e">
        <f t="shared" si="239"/>
        <v>#NUM!</v>
      </c>
      <c r="BF236" s="59" t="e">
        <f t="shared" si="228"/>
        <v>#NUM!</v>
      </c>
      <c r="BG236" s="21" t="e">
        <f t="shared" si="229"/>
        <v>#NUM!</v>
      </c>
      <c r="BH236" s="55">
        <f t="shared" ca="1" si="232"/>
        <v>0</v>
      </c>
    </row>
    <row r="237" spans="1:60" x14ac:dyDescent="0.2">
      <c r="A237" s="61">
        <f ca="1">RANK(W237,W$12:W$311,0)+COUNTIF(W$12:W237,W237)-1</f>
        <v>75</v>
      </c>
      <c r="B237" s="55">
        <f>'Etape 1'!A233</f>
        <v>226</v>
      </c>
      <c r="C237" s="55">
        <f>'Etape 1'!B233</f>
        <v>0</v>
      </c>
      <c r="D237" s="55">
        <f>'Etape 1'!C233</f>
        <v>0</v>
      </c>
      <c r="E237" s="55">
        <f>'Etape 1'!D233</f>
        <v>0</v>
      </c>
      <c r="F237" s="55">
        <f>'Etape 1'!E233</f>
        <v>0</v>
      </c>
      <c r="G237" s="55">
        <f>'Etape 1'!F233</f>
        <v>0</v>
      </c>
      <c r="H237" s="55">
        <f>'Etape 1'!G233</f>
        <v>0</v>
      </c>
      <c r="I237" s="209">
        <v>1</v>
      </c>
      <c r="J237" s="58">
        <f t="shared" si="240"/>
        <v>0</v>
      </c>
      <c r="K237" s="21">
        <f t="shared" si="192"/>
        <v>0</v>
      </c>
      <c r="L237" s="21">
        <f t="shared" si="193"/>
        <v>0</v>
      </c>
      <c r="M237" s="21">
        <f t="shared" ca="1" si="194"/>
        <v>3</v>
      </c>
      <c r="N237" s="21">
        <f t="shared" ca="1" si="195"/>
        <v>3</v>
      </c>
      <c r="O237" s="21">
        <f t="shared" ca="1" si="196"/>
        <v>0</v>
      </c>
      <c r="P237" s="262" t="str">
        <f>IF('Etape 1'!J233=999,"",IF('Etape 1'!J233=9999,txt_Schritt1.Angaben.fehlen,VLOOKUP(N237,Matrix_1.2.3.Test.Punkte.ID.Beurteilung,4,1)))</f>
        <v/>
      </c>
      <c r="Q237" s="21">
        <f t="shared" ca="1" si="197"/>
        <v>0</v>
      </c>
      <c r="R237" s="136">
        <f t="shared" si="233"/>
        <v>226</v>
      </c>
      <c r="S237" s="136">
        <f t="shared" ca="1" si="230"/>
        <v>162.75083056478405</v>
      </c>
      <c r="T237" s="136">
        <f t="shared" ca="1" si="234"/>
        <v>750.75083056478411</v>
      </c>
      <c r="U237" s="136">
        <f t="shared" ca="1" si="235"/>
        <v>1224000.7508305649</v>
      </c>
      <c r="V237" s="211">
        <f t="shared" ca="1" si="236"/>
        <v>235406.9428748842</v>
      </c>
      <c r="W237" s="136">
        <f t="shared" ca="1" si="231"/>
        <v>226</v>
      </c>
      <c r="X237" s="136">
        <f t="shared" ca="1" si="198"/>
        <v>162.999000999001</v>
      </c>
      <c r="Y237" s="21">
        <f t="shared" si="199"/>
        <v>1</v>
      </c>
      <c r="Z237" s="21" t="str">
        <f t="shared" si="200"/>
        <v>&lt;IE0</v>
      </c>
      <c r="AA237" s="21">
        <f t="shared" si="201"/>
        <v>1</v>
      </c>
      <c r="AB237" s="21" t="str">
        <f t="shared" si="202"/>
        <v>a - "&lt; 1990 (Eff3)"</v>
      </c>
      <c r="AC237" s="21">
        <f t="shared" si="203"/>
        <v>999999</v>
      </c>
      <c r="AD237" s="21" t="str">
        <f t="shared" si="204"/>
        <v/>
      </c>
      <c r="AE237" s="21" t="str">
        <f t="shared" si="205"/>
        <v/>
      </c>
      <c r="AF237" s="21" t="str">
        <f t="shared" si="206"/>
        <v/>
      </c>
      <c r="AG237" s="21">
        <f t="shared" si="207"/>
        <v>0</v>
      </c>
      <c r="AH237" s="21">
        <f>IF('Etape 1'!H233=St.Wert_Hacken,1,0)</f>
        <v>0</v>
      </c>
      <c r="AI237" s="21">
        <f t="shared" si="208"/>
        <v>0</v>
      </c>
      <c r="AJ237" s="21">
        <f t="shared" si="209"/>
        <v>1000999</v>
      </c>
      <c r="AK237" s="58">
        <f t="shared" si="210"/>
        <v>1100</v>
      </c>
      <c r="AL237" s="58">
        <f t="shared" si="211"/>
        <v>440</v>
      </c>
      <c r="AM237" s="21">
        <f t="shared" si="212"/>
        <v>0</v>
      </c>
      <c r="AN237" s="58">
        <f t="shared" si="213"/>
        <v>1</v>
      </c>
      <c r="AO237" s="58" t="str">
        <f t="shared" si="214"/>
        <v>114</v>
      </c>
      <c r="AP237" s="58" t="str">
        <f t="shared" si="215"/>
        <v>164</v>
      </c>
      <c r="AQ237" s="21" t="e">
        <f t="shared" si="216"/>
        <v>#NUM!</v>
      </c>
      <c r="AR237" s="21" t="e">
        <f t="shared" si="217"/>
        <v>#NUM!</v>
      </c>
      <c r="AS237" s="136" t="e">
        <f t="shared" si="237"/>
        <v>#NUM!</v>
      </c>
      <c r="AT237" s="59" t="e">
        <f t="shared" si="218"/>
        <v>#NUM!</v>
      </c>
      <c r="AU237" s="21" t="e">
        <f t="shared" si="219"/>
        <v>#NUM!</v>
      </c>
      <c r="AV237" s="58">
        <f t="shared" si="220"/>
        <v>1500</v>
      </c>
      <c r="AW237" s="58">
        <f t="shared" si="221"/>
        <v>600</v>
      </c>
      <c r="AX237" s="60">
        <f t="shared" si="222"/>
        <v>0.11</v>
      </c>
      <c r="AY237" s="212">
        <f t="shared" si="238"/>
        <v>0</v>
      </c>
      <c r="AZ237" s="59">
        <f t="shared" si="223"/>
        <v>0</v>
      </c>
      <c r="BA237" s="21" t="e">
        <f t="shared" si="224"/>
        <v>#DIV/0!</v>
      </c>
      <c r="BB237" s="58">
        <f t="shared" si="225"/>
        <v>2900</v>
      </c>
      <c r="BC237" s="58">
        <f t="shared" si="226"/>
        <v>1160</v>
      </c>
      <c r="BD237" s="60">
        <f t="shared" si="227"/>
        <v>0.15</v>
      </c>
      <c r="BE237" s="212" t="e">
        <f t="shared" si="239"/>
        <v>#NUM!</v>
      </c>
      <c r="BF237" s="59" t="e">
        <f t="shared" si="228"/>
        <v>#NUM!</v>
      </c>
      <c r="BG237" s="21" t="e">
        <f t="shared" si="229"/>
        <v>#NUM!</v>
      </c>
      <c r="BH237" s="55">
        <f t="shared" ca="1" si="232"/>
        <v>0</v>
      </c>
    </row>
    <row r="238" spans="1:60" x14ac:dyDescent="0.2">
      <c r="A238" s="61">
        <f ca="1">RANK(W238,W$12:W$311,0)+COUNTIF(W$12:W238,W238)-1</f>
        <v>74</v>
      </c>
      <c r="B238" s="55">
        <f>'Etape 1'!A234</f>
        <v>227</v>
      </c>
      <c r="C238" s="55">
        <f>'Etape 1'!B234</f>
        <v>0</v>
      </c>
      <c r="D238" s="55">
        <f>'Etape 1'!C234</f>
        <v>0</v>
      </c>
      <c r="E238" s="55">
        <f>'Etape 1'!D234</f>
        <v>0</v>
      </c>
      <c r="F238" s="55">
        <f>'Etape 1'!E234</f>
        <v>0</v>
      </c>
      <c r="G238" s="55">
        <f>'Etape 1'!F234</f>
        <v>0</v>
      </c>
      <c r="H238" s="55">
        <f>'Etape 1'!G234</f>
        <v>0</v>
      </c>
      <c r="I238" s="209">
        <v>1</v>
      </c>
      <c r="J238" s="58">
        <f t="shared" si="240"/>
        <v>0</v>
      </c>
      <c r="K238" s="21">
        <f t="shared" si="192"/>
        <v>0</v>
      </c>
      <c r="L238" s="21">
        <f t="shared" si="193"/>
        <v>0</v>
      </c>
      <c r="M238" s="21">
        <f t="shared" ca="1" si="194"/>
        <v>3</v>
      </c>
      <c r="N238" s="21">
        <f t="shared" ca="1" si="195"/>
        <v>3</v>
      </c>
      <c r="O238" s="21">
        <f t="shared" ca="1" si="196"/>
        <v>0</v>
      </c>
      <c r="P238" s="262" t="str">
        <f>IF('Etape 1'!J234=999,"",IF('Etape 1'!J234=9999,txt_Schritt1.Angaben.fehlen,VLOOKUP(N238,Matrix_1.2.3.Test.Punkte.ID.Beurteilung,4,1)))</f>
        <v/>
      </c>
      <c r="Q238" s="21">
        <f t="shared" ca="1" si="197"/>
        <v>0</v>
      </c>
      <c r="R238" s="136">
        <f t="shared" si="233"/>
        <v>227</v>
      </c>
      <c r="S238" s="136">
        <f t="shared" ca="1" si="230"/>
        <v>162.75415282392026</v>
      </c>
      <c r="T238" s="136">
        <f t="shared" ca="1" si="234"/>
        <v>750.75415282392032</v>
      </c>
      <c r="U238" s="136">
        <f t="shared" ca="1" si="235"/>
        <v>1224000.7541528239</v>
      </c>
      <c r="V238" s="211">
        <f t="shared" ca="1" si="236"/>
        <v>235406.94619714332</v>
      </c>
      <c r="W238" s="136">
        <f t="shared" ca="1" si="231"/>
        <v>227</v>
      </c>
      <c r="X238" s="136">
        <f t="shared" ca="1" si="198"/>
        <v>162.999000999001</v>
      </c>
      <c r="Y238" s="21">
        <f t="shared" si="199"/>
        <v>1</v>
      </c>
      <c r="Z238" s="21" t="str">
        <f t="shared" si="200"/>
        <v>&lt;IE0</v>
      </c>
      <c r="AA238" s="21">
        <f t="shared" si="201"/>
        <v>1</v>
      </c>
      <c r="AB238" s="21" t="str">
        <f t="shared" si="202"/>
        <v>a - "&lt; 1990 (Eff3)"</v>
      </c>
      <c r="AC238" s="21">
        <f t="shared" si="203"/>
        <v>999999</v>
      </c>
      <c r="AD238" s="21" t="str">
        <f t="shared" si="204"/>
        <v/>
      </c>
      <c r="AE238" s="21" t="str">
        <f t="shared" si="205"/>
        <v/>
      </c>
      <c r="AF238" s="21" t="str">
        <f t="shared" si="206"/>
        <v/>
      </c>
      <c r="AG238" s="21">
        <f t="shared" si="207"/>
        <v>0</v>
      </c>
      <c r="AH238" s="21">
        <f>IF('Etape 1'!H234=St.Wert_Hacken,1,0)</f>
        <v>0</v>
      </c>
      <c r="AI238" s="21">
        <f t="shared" si="208"/>
        <v>0</v>
      </c>
      <c r="AJ238" s="21">
        <f t="shared" si="209"/>
        <v>1000999</v>
      </c>
      <c r="AK238" s="58">
        <f t="shared" si="210"/>
        <v>1100</v>
      </c>
      <c r="AL238" s="58">
        <f t="shared" si="211"/>
        <v>440</v>
      </c>
      <c r="AM238" s="21">
        <f t="shared" si="212"/>
        <v>0</v>
      </c>
      <c r="AN238" s="58">
        <f t="shared" si="213"/>
        <v>1</v>
      </c>
      <c r="AO238" s="58" t="str">
        <f t="shared" si="214"/>
        <v>114</v>
      </c>
      <c r="AP238" s="58" t="str">
        <f t="shared" si="215"/>
        <v>164</v>
      </c>
      <c r="AQ238" s="21" t="e">
        <f t="shared" si="216"/>
        <v>#NUM!</v>
      </c>
      <c r="AR238" s="21" t="e">
        <f t="shared" si="217"/>
        <v>#NUM!</v>
      </c>
      <c r="AS238" s="136" t="e">
        <f t="shared" si="237"/>
        <v>#NUM!</v>
      </c>
      <c r="AT238" s="59" t="e">
        <f t="shared" si="218"/>
        <v>#NUM!</v>
      </c>
      <c r="AU238" s="21" t="e">
        <f t="shared" si="219"/>
        <v>#NUM!</v>
      </c>
      <c r="AV238" s="58">
        <f t="shared" si="220"/>
        <v>1500</v>
      </c>
      <c r="AW238" s="58">
        <f t="shared" si="221"/>
        <v>600</v>
      </c>
      <c r="AX238" s="60">
        <f t="shared" si="222"/>
        <v>0.11</v>
      </c>
      <c r="AY238" s="212">
        <f t="shared" si="238"/>
        <v>0</v>
      </c>
      <c r="AZ238" s="59">
        <f t="shared" si="223"/>
        <v>0</v>
      </c>
      <c r="BA238" s="21" t="e">
        <f t="shared" si="224"/>
        <v>#DIV/0!</v>
      </c>
      <c r="BB238" s="58">
        <f t="shared" si="225"/>
        <v>2900</v>
      </c>
      <c r="BC238" s="58">
        <f t="shared" si="226"/>
        <v>1160</v>
      </c>
      <c r="BD238" s="60">
        <f t="shared" si="227"/>
        <v>0.15</v>
      </c>
      <c r="BE238" s="212" t="e">
        <f t="shared" si="239"/>
        <v>#NUM!</v>
      </c>
      <c r="BF238" s="59" t="e">
        <f t="shared" si="228"/>
        <v>#NUM!</v>
      </c>
      <c r="BG238" s="21" t="e">
        <f t="shared" si="229"/>
        <v>#NUM!</v>
      </c>
      <c r="BH238" s="55">
        <f t="shared" ca="1" si="232"/>
        <v>0</v>
      </c>
    </row>
    <row r="239" spans="1:60" x14ac:dyDescent="0.2">
      <c r="A239" s="61">
        <f ca="1">RANK(W239,W$12:W$311,0)+COUNTIF(W$12:W239,W239)-1</f>
        <v>73</v>
      </c>
      <c r="B239" s="55">
        <f>'Etape 1'!A235</f>
        <v>228</v>
      </c>
      <c r="C239" s="55">
        <f>'Etape 1'!B235</f>
        <v>0</v>
      </c>
      <c r="D239" s="55">
        <f>'Etape 1'!C235</f>
        <v>0</v>
      </c>
      <c r="E239" s="55">
        <f>'Etape 1'!D235</f>
        <v>0</v>
      </c>
      <c r="F239" s="55">
        <f>'Etape 1'!E235</f>
        <v>0</v>
      </c>
      <c r="G239" s="55">
        <f>'Etape 1'!F235</f>
        <v>0</v>
      </c>
      <c r="H239" s="55">
        <f>'Etape 1'!G235</f>
        <v>0</v>
      </c>
      <c r="I239" s="209">
        <v>1</v>
      </c>
      <c r="J239" s="58">
        <f t="shared" si="240"/>
        <v>0</v>
      </c>
      <c r="K239" s="21">
        <f t="shared" ref="K239:K302" si="241">VLOOKUP(F239,Matrix_1.2.3.Test.Leistung.Punkte,2,TRUE)</f>
        <v>0</v>
      </c>
      <c r="L239" s="21">
        <f t="shared" ref="L239:L302" si="242">VLOOKUP(G239,Matrix_1.2.3.Test.Betriebszeit.Punkte,2,TRUE)</f>
        <v>0</v>
      </c>
      <c r="M239" s="21">
        <f t="shared" ref="M239:M302" ca="1" si="243">IF(H239=0,3,VLOOKUP(YEAR(TODAY())-H239,Matrix_1.2.3.Test.Alter.Punkte,2,TRUE))</f>
        <v>3</v>
      </c>
      <c r="N239" s="21">
        <f t="shared" ref="N239:N302" ca="1" si="244">M239+Wert_1.2.3.Test.Faktor.A*L239*K239</f>
        <v>3</v>
      </c>
      <c r="O239" s="21">
        <f t="shared" ref="O239:O302" ca="1" si="245">VLOOKUP(N239,Matrix_1.2.3.Test.Punkte.ID.Beurteilung,3,TRUE)</f>
        <v>0</v>
      </c>
      <c r="P239" s="262" t="str">
        <f>IF('Etape 1'!J235=999,"",IF('Etape 1'!J235=9999,txt_Schritt1.Angaben.fehlen,VLOOKUP(N239,Matrix_1.2.3.Test.Punkte.ID.Beurteilung,4,1)))</f>
        <v/>
      </c>
      <c r="Q239" s="21">
        <f t="shared" ref="Q239:Q302" ca="1" si="246">IF(AH239=1,1,O239)</f>
        <v>0</v>
      </c>
      <c r="R239" s="136">
        <f t="shared" si="233"/>
        <v>228</v>
      </c>
      <c r="S239" s="136">
        <f t="shared" ca="1" si="230"/>
        <v>162.75747508305648</v>
      </c>
      <c r="T239" s="136">
        <f t="shared" ca="1" si="234"/>
        <v>750.75747508305653</v>
      </c>
      <c r="U239" s="136">
        <f t="shared" ca="1" si="235"/>
        <v>1224000.757475083</v>
      </c>
      <c r="V239" s="211">
        <f t="shared" ca="1" si="236"/>
        <v>235406.94951940246</v>
      </c>
      <c r="W239" s="136">
        <f t="shared" ca="1" si="231"/>
        <v>228</v>
      </c>
      <c r="X239" s="136">
        <f t="shared" ref="X239:X302" ca="1" si="247">IF(Q239=0,3,Q239)*St.Wert_1.2.3.Test.PkteMax-N239+IF(AC239&gt;St.Wert_Payback.Max,St.Wert_Payback.Max,AC239)/(St.Wert_Payback.Max+1)</f>
        <v>162.999000999001</v>
      </c>
      <c r="Y239" s="21">
        <f t="shared" ref="Y239:Y302" si="248">VLOOKUP(H239,Matrix_Motor.Jahr.EffKl,2,1)</f>
        <v>1</v>
      </c>
      <c r="Z239" s="21" t="str">
        <f t="shared" ref="Z239:Z302" si="249">VLOOKUP(H239,Matrix_Motor.Jahr.EffKl,3,1)</f>
        <v>&lt;IE0</v>
      </c>
      <c r="AA239" s="21">
        <f t="shared" ref="AA239:AA302" si="250">VLOOKUP(H239,Matrix_Pumpe.Jahr.EffKl,2,1)</f>
        <v>1</v>
      </c>
      <c r="AB239" s="21" t="str">
        <f t="shared" ref="AB239:AB302" si="251">VLOOKUP(H239,Matrix_Pumpe.Jahr.EffKl,3,1)</f>
        <v>a - "&lt; 1990 (Eff3)"</v>
      </c>
      <c r="AC239" s="21">
        <f t="shared" ref="AC239:AC302" si="252">IF(ISNUMBER(MIN(AU239,BA239,BG239)),MIN(AU239,BA239,BG239),St.Wert_Platzhalter.Payback)</f>
        <v>999999</v>
      </c>
      <c r="AD239" s="21" t="str">
        <f t="shared" ref="AD239:AD302" si="253">IF(AC239=St.Wert_Platzhalter.Payback,"",VLOOKUP(AC239,Matrix_Wirtschaftlichkeit.Payback.ID.Txt,2,1))</f>
        <v/>
      </c>
      <c r="AE239" s="21" t="str">
        <f t="shared" ref="AE239:AE302" si="254">IF(AC239=St.Wert_Platzhalter.Payback,"",VLOOKUP(AC239,Matrix_Wirtschaftlichkeit.Payback.ID.Txt,3,1))</f>
        <v/>
      </c>
      <c r="AF239" s="21" t="str">
        <f t="shared" ref="AF239:AF302" si="255">IF(AC239=St.Wert_Platzhalter.Payback,"",VLOOKUP(AC239,Matrix_Wirtschaftlichkeit.Payback.ID.Txt,4,1))</f>
        <v/>
      </c>
      <c r="AG239" s="21">
        <f t="shared" ref="AG239:AG302" si="256">VLOOKUP(AC239,Matrix_Wirtschaftlichkeit.Payback.ID.Txt,6,1)</f>
        <v>0</v>
      </c>
      <c r="AH239" s="21">
        <f>IF('Etape 1'!H235=St.Wert_Hacken,1,0)</f>
        <v>0</v>
      </c>
      <c r="AI239" s="21">
        <f t="shared" ref="AI239:AI302" si="257">IF(AH239=1,1,AG239)</f>
        <v>0</v>
      </c>
      <c r="AJ239" s="21">
        <f t="shared" ref="AJ239:AJ302" si="258">IF(AI239=1,IF(AC239&gt;St.Wert_Payback.Max,St.Wert_Payback.Max,AC239),AC239+St.Wert_Payback.Max)</f>
        <v>1000999</v>
      </c>
      <c r="AK239" s="58">
        <f t="shared" ref="AK239:AK302" si="259">Preis_Motor.a*F239+Preis_Motor.b+Preis_Motor.Planung</f>
        <v>1100</v>
      </c>
      <c r="AL239" s="58">
        <f t="shared" ref="AL239:AL302" si="260">AK239*IF(Wert_Wirtschaftlichkeit.EnergieAnteil.Ja.Nein.Schritt1,VLOOKUP(AA239,Matrix_Anlage.AlterID.Einsparpotential.und.EnergieAnteil,6,0),1)</f>
        <v>440</v>
      </c>
      <c r="AM239" s="21">
        <f t="shared" ref="AM239:AM302" si="261">IF(F239&lt;Wert_Motor.max.Leistung.fuer.Berechnung.Wirkungsgrad,F239,Wert_Motor.max.Leistung.fuer.Berechnung.Wirkungsgrad)</f>
        <v>0</v>
      </c>
      <c r="AN239" s="58">
        <f t="shared" ref="AN239:AN302" si="262">VLOOKUP(F239,Matrix_Motor.LeistungsKl.ID,2,1)</f>
        <v>1</v>
      </c>
      <c r="AO239" s="58" t="str">
        <f t="shared" ref="AO239:AO302" si="263">CONCATENATE(AN239,Y239,Wert_Motor.Pole.Anzahl.Schritt1)</f>
        <v>114</v>
      </c>
      <c r="AP239" s="58" t="str">
        <f t="shared" ref="AP239:AP302" si="264">CONCATENATE(AN239,Wert_Motor.IEID.neu.Schritt1,Wert_Motor.Pole.Anzahl.Schritt1)</f>
        <v>164</v>
      </c>
      <c r="AQ239" s="21" t="e">
        <f t="shared" ref="AQ239:AQ302" si="265">(VLOOKUP(AO239,Matrix_Motor.KombiKl.EffParameter,3,0)*(LOG(AM239))^3+VLOOKUP(AO239,Matrix_Motor.KombiKl.EffParameter,4,0)*(LOG(AM239))^2+VLOOKUP(AO239,Matrix_Motor.KombiKl.EffParameter,5,0)*(LOG(AM239))+VLOOKUP(AO239,Matrix_Motor.KombiKl.EffParameter,6,0))/100</f>
        <v>#NUM!</v>
      </c>
      <c r="AR239" s="21" t="e">
        <f t="shared" ref="AR239:AR302" si="266">(VLOOKUP(AP239,Matrix_Motor.KombiKl.EffParameter,3,0)*(LOG(AM239))^3+VLOOKUP(AP239,Matrix_Motor.KombiKl.EffParameter,4,0)*(LOG(AM239))^2+VLOOKUP(AP239,Matrix_Motor.KombiKl.EffParameter,5,0)*(LOG(AM239))+VLOOKUP(AP239,Matrix_Motor.KombiKl.EffParameter,6,0))/100</f>
        <v>#NUM!</v>
      </c>
      <c r="AS239" s="136" t="e">
        <f t="shared" si="237"/>
        <v>#NUM!</v>
      </c>
      <c r="AT239" s="59" t="e">
        <f t="shared" ref="AT239:AT302" si="267">AS239*Preis_Strom.Schritt1/100</f>
        <v>#NUM!</v>
      </c>
      <c r="AU239" s="21" t="e">
        <f t="shared" ref="AU239:AU302" si="268">AL239/AT239</f>
        <v>#NUM!</v>
      </c>
      <c r="AV239" s="58">
        <f t="shared" ref="AV239:AV302" si="269">Preis_FU.a*F239+Preis_FU.b+Preis_FU.Planung</f>
        <v>1500</v>
      </c>
      <c r="AW239" s="58">
        <f t="shared" ref="AW239:AW302" si="270">AV239*IF(Wert_Wirtschaftlichkeit.EnergieAnteil.Ja.Nein.Schritt1,VLOOKUP(AA239,Matrix_Anlage.AlterID.Einsparpotential.und.EnergieAnteil,6,0),1)</f>
        <v>600</v>
      </c>
      <c r="AX239" s="60">
        <f t="shared" ref="AX239:AX302" si="271">VLOOKUP(AA239,Matrix_Anlage.AlterID.Einsparpotential.und.EnergieAnteil,4,0)</f>
        <v>0.11</v>
      </c>
      <c r="AY239" s="212">
        <f t="shared" si="238"/>
        <v>0</v>
      </c>
      <c r="AZ239" s="59">
        <f t="shared" ref="AZ239:AZ302" si="272">AY239*Preis_Strom.Schritt1/100</f>
        <v>0</v>
      </c>
      <c r="BA239" s="21" t="e">
        <f t="shared" ref="BA239:BA302" si="273">AW239/AZ239</f>
        <v>#DIV/0!</v>
      </c>
      <c r="BB239" s="58">
        <f t="shared" ref="BB239:BB302" si="274">Preis_Redim.a*F239+Preis_Redim.b+Preis_Redim.Planung</f>
        <v>2900</v>
      </c>
      <c r="BC239" s="58">
        <f t="shared" ref="BC239:BC302" si="275">BB239*IF(Wert_Wirtschaftlichkeit.EnergieAnteil.Ja.Nein.Schritt1,VLOOKUP(AA239,Matrix_Anlage.AlterID.Einsparpotential.und.EnergieAnteil,6,0),1)</f>
        <v>1160</v>
      </c>
      <c r="BD239" s="60">
        <f t="shared" ref="BD239:BD302" si="276">VLOOKUP(AA239,Matrix_Anlage.AlterID.Einsparpotential.und.EnergieAnteil,5,0)</f>
        <v>0.15</v>
      </c>
      <c r="BE239" s="212" t="e">
        <f t="shared" si="239"/>
        <v>#NUM!</v>
      </c>
      <c r="BF239" s="59" t="e">
        <f t="shared" ref="BF239:BF302" si="277">BE239*Preis_Strom.Schritt1/100</f>
        <v>#NUM!</v>
      </c>
      <c r="BG239" s="21" t="e">
        <f t="shared" ref="BG239:BG302" si="278">BC239/BF239</f>
        <v>#NUM!</v>
      </c>
      <c r="BH239" s="55">
        <f t="shared" ca="1" si="232"/>
        <v>0</v>
      </c>
    </row>
    <row r="240" spans="1:60" x14ac:dyDescent="0.2">
      <c r="A240" s="61">
        <f ca="1">RANK(W240,W$12:W$311,0)+COUNTIF(W$12:W240,W240)-1</f>
        <v>72</v>
      </c>
      <c r="B240" s="55">
        <f>'Etape 1'!A236</f>
        <v>229</v>
      </c>
      <c r="C240" s="55">
        <f>'Etape 1'!B236</f>
        <v>0</v>
      </c>
      <c r="D240" s="55">
        <f>'Etape 1'!C236</f>
        <v>0</v>
      </c>
      <c r="E240" s="55">
        <f>'Etape 1'!D236</f>
        <v>0</v>
      </c>
      <c r="F240" s="55">
        <f>'Etape 1'!E236</f>
        <v>0</v>
      </c>
      <c r="G240" s="55">
        <f>'Etape 1'!F236</f>
        <v>0</v>
      </c>
      <c r="H240" s="55">
        <f>'Etape 1'!G236</f>
        <v>0</v>
      </c>
      <c r="I240" s="209">
        <v>1</v>
      </c>
      <c r="J240" s="58">
        <f t="shared" si="240"/>
        <v>0</v>
      </c>
      <c r="K240" s="21">
        <f t="shared" si="241"/>
        <v>0</v>
      </c>
      <c r="L240" s="21">
        <f t="shared" si="242"/>
        <v>0</v>
      </c>
      <c r="M240" s="21">
        <f t="shared" ca="1" si="243"/>
        <v>3</v>
      </c>
      <c r="N240" s="21">
        <f t="shared" ca="1" si="244"/>
        <v>3</v>
      </c>
      <c r="O240" s="21">
        <f t="shared" ca="1" si="245"/>
        <v>0</v>
      </c>
      <c r="P240" s="262" t="str">
        <f>IF('Etape 1'!J236=999,"",IF('Etape 1'!J236=9999,txt_Schritt1.Angaben.fehlen,VLOOKUP(N240,Matrix_1.2.3.Test.Punkte.ID.Beurteilung,4,1)))</f>
        <v/>
      </c>
      <c r="Q240" s="21">
        <f t="shared" ca="1" si="246"/>
        <v>0</v>
      </c>
      <c r="R240" s="136">
        <f t="shared" si="233"/>
        <v>229</v>
      </c>
      <c r="S240" s="136">
        <f t="shared" ca="1" si="230"/>
        <v>162.76079734219269</v>
      </c>
      <c r="T240" s="136">
        <f t="shared" ca="1" si="234"/>
        <v>750.76079734219275</v>
      </c>
      <c r="U240" s="136">
        <f t="shared" ca="1" si="235"/>
        <v>1224000.7607973423</v>
      </c>
      <c r="V240" s="211">
        <f t="shared" ca="1" si="236"/>
        <v>235406.95284166161</v>
      </c>
      <c r="W240" s="136">
        <f t="shared" ca="1" si="231"/>
        <v>229</v>
      </c>
      <c r="X240" s="136">
        <f t="shared" ca="1" si="247"/>
        <v>162.999000999001</v>
      </c>
      <c r="Y240" s="21">
        <f t="shared" si="248"/>
        <v>1</v>
      </c>
      <c r="Z240" s="21" t="str">
        <f t="shared" si="249"/>
        <v>&lt;IE0</v>
      </c>
      <c r="AA240" s="21">
        <f t="shared" si="250"/>
        <v>1</v>
      </c>
      <c r="AB240" s="21" t="str">
        <f t="shared" si="251"/>
        <v>a - "&lt; 1990 (Eff3)"</v>
      </c>
      <c r="AC240" s="21">
        <f t="shared" si="252"/>
        <v>999999</v>
      </c>
      <c r="AD240" s="21" t="str">
        <f t="shared" si="253"/>
        <v/>
      </c>
      <c r="AE240" s="21" t="str">
        <f t="shared" si="254"/>
        <v/>
      </c>
      <c r="AF240" s="21" t="str">
        <f t="shared" si="255"/>
        <v/>
      </c>
      <c r="AG240" s="21">
        <f t="shared" si="256"/>
        <v>0</v>
      </c>
      <c r="AH240" s="21">
        <f>IF('Etape 1'!H236=St.Wert_Hacken,1,0)</f>
        <v>0</v>
      </c>
      <c r="AI240" s="21">
        <f t="shared" si="257"/>
        <v>0</v>
      </c>
      <c r="AJ240" s="21">
        <f t="shared" si="258"/>
        <v>1000999</v>
      </c>
      <c r="AK240" s="58">
        <f t="shared" si="259"/>
        <v>1100</v>
      </c>
      <c r="AL240" s="58">
        <f t="shared" si="260"/>
        <v>440</v>
      </c>
      <c r="AM240" s="21">
        <f t="shared" si="261"/>
        <v>0</v>
      </c>
      <c r="AN240" s="58">
        <f t="shared" si="262"/>
        <v>1</v>
      </c>
      <c r="AO240" s="58" t="str">
        <f t="shared" si="263"/>
        <v>114</v>
      </c>
      <c r="AP240" s="58" t="str">
        <f t="shared" si="264"/>
        <v>164</v>
      </c>
      <c r="AQ240" s="21" t="e">
        <f t="shared" si="265"/>
        <v>#NUM!</v>
      </c>
      <c r="AR240" s="21" t="e">
        <f t="shared" si="266"/>
        <v>#NUM!</v>
      </c>
      <c r="AS240" s="136" t="e">
        <f t="shared" si="237"/>
        <v>#NUM!</v>
      </c>
      <c r="AT240" s="59" t="e">
        <f t="shared" si="267"/>
        <v>#NUM!</v>
      </c>
      <c r="AU240" s="21" t="e">
        <f t="shared" si="268"/>
        <v>#NUM!</v>
      </c>
      <c r="AV240" s="58">
        <f t="shared" si="269"/>
        <v>1500</v>
      </c>
      <c r="AW240" s="58">
        <f t="shared" si="270"/>
        <v>600</v>
      </c>
      <c r="AX240" s="60">
        <f t="shared" si="271"/>
        <v>0.11</v>
      </c>
      <c r="AY240" s="212">
        <f t="shared" si="238"/>
        <v>0</v>
      </c>
      <c r="AZ240" s="59">
        <f t="shared" si="272"/>
        <v>0</v>
      </c>
      <c r="BA240" s="21" t="e">
        <f t="shared" si="273"/>
        <v>#DIV/0!</v>
      </c>
      <c r="BB240" s="58">
        <f t="shared" si="274"/>
        <v>2900</v>
      </c>
      <c r="BC240" s="58">
        <f t="shared" si="275"/>
        <v>1160</v>
      </c>
      <c r="BD240" s="60">
        <f t="shared" si="276"/>
        <v>0.15</v>
      </c>
      <c r="BE240" s="212" t="e">
        <f t="shared" si="239"/>
        <v>#NUM!</v>
      </c>
      <c r="BF240" s="59" t="e">
        <f t="shared" si="277"/>
        <v>#NUM!</v>
      </c>
      <c r="BG240" s="21" t="e">
        <f t="shared" si="278"/>
        <v>#NUM!</v>
      </c>
      <c r="BH240" s="55">
        <f t="shared" ca="1" si="232"/>
        <v>0</v>
      </c>
    </row>
    <row r="241" spans="1:60" x14ac:dyDescent="0.2">
      <c r="A241" s="61">
        <f ca="1">RANK(W241,W$12:W$311,0)+COUNTIF(W$12:W241,W241)-1</f>
        <v>71</v>
      </c>
      <c r="B241" s="55">
        <f>'Etape 1'!A237</f>
        <v>230</v>
      </c>
      <c r="C241" s="55">
        <f>'Etape 1'!B237</f>
        <v>0</v>
      </c>
      <c r="D241" s="55">
        <f>'Etape 1'!C237</f>
        <v>0</v>
      </c>
      <c r="E241" s="55">
        <f>'Etape 1'!D237</f>
        <v>0</v>
      </c>
      <c r="F241" s="55">
        <f>'Etape 1'!E237</f>
        <v>0</v>
      </c>
      <c r="G241" s="55">
        <f>'Etape 1'!F237</f>
        <v>0</v>
      </c>
      <c r="H241" s="55">
        <f>'Etape 1'!G237</f>
        <v>0</v>
      </c>
      <c r="I241" s="209">
        <v>1</v>
      </c>
      <c r="J241" s="58">
        <f t="shared" si="240"/>
        <v>0</v>
      </c>
      <c r="K241" s="21">
        <f t="shared" si="241"/>
        <v>0</v>
      </c>
      <c r="L241" s="21">
        <f t="shared" si="242"/>
        <v>0</v>
      </c>
      <c r="M241" s="21">
        <f t="shared" ca="1" si="243"/>
        <v>3</v>
      </c>
      <c r="N241" s="21">
        <f t="shared" ca="1" si="244"/>
        <v>3</v>
      </c>
      <c r="O241" s="21">
        <f t="shared" ca="1" si="245"/>
        <v>0</v>
      </c>
      <c r="P241" s="262" t="str">
        <f>IF('Etape 1'!J237=999,"",IF('Etape 1'!J237=9999,txt_Schritt1.Angaben.fehlen,VLOOKUP(N241,Matrix_1.2.3.Test.Punkte.ID.Beurteilung,4,1)))</f>
        <v/>
      </c>
      <c r="Q241" s="21">
        <f t="shared" ca="1" si="246"/>
        <v>0</v>
      </c>
      <c r="R241" s="136">
        <f t="shared" si="233"/>
        <v>230</v>
      </c>
      <c r="S241" s="136">
        <f t="shared" ca="1" si="230"/>
        <v>162.7641196013289</v>
      </c>
      <c r="T241" s="136">
        <f t="shared" ca="1" si="234"/>
        <v>750.76411960132896</v>
      </c>
      <c r="U241" s="136">
        <f t="shared" ca="1" si="235"/>
        <v>1224000.7641196013</v>
      </c>
      <c r="V241" s="211">
        <f t="shared" ca="1" si="236"/>
        <v>235406.95616392075</v>
      </c>
      <c r="W241" s="136">
        <f t="shared" ca="1" si="231"/>
        <v>230</v>
      </c>
      <c r="X241" s="136">
        <f t="shared" ca="1" si="247"/>
        <v>162.999000999001</v>
      </c>
      <c r="Y241" s="21">
        <f t="shared" si="248"/>
        <v>1</v>
      </c>
      <c r="Z241" s="21" t="str">
        <f t="shared" si="249"/>
        <v>&lt;IE0</v>
      </c>
      <c r="AA241" s="21">
        <f t="shared" si="250"/>
        <v>1</v>
      </c>
      <c r="AB241" s="21" t="str">
        <f t="shared" si="251"/>
        <v>a - "&lt; 1990 (Eff3)"</v>
      </c>
      <c r="AC241" s="21">
        <f t="shared" si="252"/>
        <v>999999</v>
      </c>
      <c r="AD241" s="21" t="str">
        <f t="shared" si="253"/>
        <v/>
      </c>
      <c r="AE241" s="21" t="str">
        <f t="shared" si="254"/>
        <v/>
      </c>
      <c r="AF241" s="21" t="str">
        <f t="shared" si="255"/>
        <v/>
      </c>
      <c r="AG241" s="21">
        <f t="shared" si="256"/>
        <v>0</v>
      </c>
      <c r="AH241" s="21">
        <f>IF('Etape 1'!H237=St.Wert_Hacken,1,0)</f>
        <v>0</v>
      </c>
      <c r="AI241" s="21">
        <f t="shared" si="257"/>
        <v>0</v>
      </c>
      <c r="AJ241" s="21">
        <f t="shared" si="258"/>
        <v>1000999</v>
      </c>
      <c r="AK241" s="58">
        <f t="shared" si="259"/>
        <v>1100</v>
      </c>
      <c r="AL241" s="58">
        <f t="shared" si="260"/>
        <v>440</v>
      </c>
      <c r="AM241" s="21">
        <f t="shared" si="261"/>
        <v>0</v>
      </c>
      <c r="AN241" s="58">
        <f t="shared" si="262"/>
        <v>1</v>
      </c>
      <c r="AO241" s="58" t="str">
        <f t="shared" si="263"/>
        <v>114</v>
      </c>
      <c r="AP241" s="58" t="str">
        <f t="shared" si="264"/>
        <v>164</v>
      </c>
      <c r="AQ241" s="21" t="e">
        <f t="shared" si="265"/>
        <v>#NUM!</v>
      </c>
      <c r="AR241" s="21" t="e">
        <f t="shared" si="266"/>
        <v>#NUM!</v>
      </c>
      <c r="AS241" s="136" t="e">
        <f t="shared" si="237"/>
        <v>#NUM!</v>
      </c>
      <c r="AT241" s="59" t="e">
        <f t="shared" si="267"/>
        <v>#NUM!</v>
      </c>
      <c r="AU241" s="21" t="e">
        <f t="shared" si="268"/>
        <v>#NUM!</v>
      </c>
      <c r="AV241" s="58">
        <f t="shared" si="269"/>
        <v>1500</v>
      </c>
      <c r="AW241" s="58">
        <f t="shared" si="270"/>
        <v>600</v>
      </c>
      <c r="AX241" s="60">
        <f t="shared" si="271"/>
        <v>0.11</v>
      </c>
      <c r="AY241" s="212">
        <f t="shared" si="238"/>
        <v>0</v>
      </c>
      <c r="AZ241" s="59">
        <f t="shared" si="272"/>
        <v>0</v>
      </c>
      <c r="BA241" s="21" t="e">
        <f t="shared" si="273"/>
        <v>#DIV/0!</v>
      </c>
      <c r="BB241" s="58">
        <f t="shared" si="274"/>
        <v>2900</v>
      </c>
      <c r="BC241" s="58">
        <f t="shared" si="275"/>
        <v>1160</v>
      </c>
      <c r="BD241" s="60">
        <f t="shared" si="276"/>
        <v>0.15</v>
      </c>
      <c r="BE241" s="212" t="e">
        <f t="shared" si="239"/>
        <v>#NUM!</v>
      </c>
      <c r="BF241" s="59" t="e">
        <f t="shared" si="277"/>
        <v>#NUM!</v>
      </c>
      <c r="BG241" s="21" t="e">
        <f t="shared" si="278"/>
        <v>#NUM!</v>
      </c>
      <c r="BH241" s="55">
        <f t="shared" ca="1" si="232"/>
        <v>0</v>
      </c>
    </row>
    <row r="242" spans="1:60" x14ac:dyDescent="0.2">
      <c r="A242" s="61">
        <f ca="1">RANK(W242,W$12:W$311,0)+COUNTIF(W$12:W242,W242)-1</f>
        <v>70</v>
      </c>
      <c r="B242" s="55">
        <f>'Etape 1'!A238</f>
        <v>231</v>
      </c>
      <c r="C242" s="55">
        <f>'Etape 1'!B238</f>
        <v>0</v>
      </c>
      <c r="D242" s="55">
        <f>'Etape 1'!C238</f>
        <v>0</v>
      </c>
      <c r="E242" s="55">
        <f>'Etape 1'!D238</f>
        <v>0</v>
      </c>
      <c r="F242" s="55">
        <f>'Etape 1'!E238</f>
        <v>0</v>
      </c>
      <c r="G242" s="55">
        <f>'Etape 1'!F238</f>
        <v>0</v>
      </c>
      <c r="H242" s="55">
        <f>'Etape 1'!G238</f>
        <v>0</v>
      </c>
      <c r="I242" s="209">
        <v>1</v>
      </c>
      <c r="J242" s="58">
        <f t="shared" si="240"/>
        <v>0</v>
      </c>
      <c r="K242" s="21">
        <f t="shared" si="241"/>
        <v>0</v>
      </c>
      <c r="L242" s="21">
        <f t="shared" si="242"/>
        <v>0</v>
      </c>
      <c r="M242" s="21">
        <f t="shared" ca="1" si="243"/>
        <v>3</v>
      </c>
      <c r="N242" s="21">
        <f t="shared" ca="1" si="244"/>
        <v>3</v>
      </c>
      <c r="O242" s="21">
        <f t="shared" ca="1" si="245"/>
        <v>0</v>
      </c>
      <c r="P242" s="262" t="str">
        <f>IF('Etape 1'!J238=999,"",IF('Etape 1'!J238=9999,txt_Schritt1.Angaben.fehlen,VLOOKUP(N242,Matrix_1.2.3.Test.Punkte.ID.Beurteilung,4,1)))</f>
        <v/>
      </c>
      <c r="Q242" s="21">
        <f t="shared" ca="1" si="246"/>
        <v>0</v>
      </c>
      <c r="R242" s="136">
        <f t="shared" si="233"/>
        <v>231</v>
      </c>
      <c r="S242" s="136">
        <f t="shared" ca="1" si="230"/>
        <v>162.76744186046511</v>
      </c>
      <c r="T242" s="136">
        <f t="shared" ca="1" si="234"/>
        <v>750.76744186046517</v>
      </c>
      <c r="U242" s="136">
        <f t="shared" ca="1" si="235"/>
        <v>1224000.7674418604</v>
      </c>
      <c r="V242" s="211">
        <f t="shared" ca="1" si="236"/>
        <v>235406.95948617987</v>
      </c>
      <c r="W242" s="136">
        <f t="shared" ca="1" si="231"/>
        <v>231</v>
      </c>
      <c r="X242" s="136">
        <f t="shared" ca="1" si="247"/>
        <v>162.999000999001</v>
      </c>
      <c r="Y242" s="21">
        <f t="shared" si="248"/>
        <v>1</v>
      </c>
      <c r="Z242" s="21" t="str">
        <f t="shared" si="249"/>
        <v>&lt;IE0</v>
      </c>
      <c r="AA242" s="21">
        <f t="shared" si="250"/>
        <v>1</v>
      </c>
      <c r="AB242" s="21" t="str">
        <f t="shared" si="251"/>
        <v>a - "&lt; 1990 (Eff3)"</v>
      </c>
      <c r="AC242" s="21">
        <f t="shared" si="252"/>
        <v>999999</v>
      </c>
      <c r="AD242" s="21" t="str">
        <f t="shared" si="253"/>
        <v/>
      </c>
      <c r="AE242" s="21" t="str">
        <f t="shared" si="254"/>
        <v/>
      </c>
      <c r="AF242" s="21" t="str">
        <f t="shared" si="255"/>
        <v/>
      </c>
      <c r="AG242" s="21">
        <f t="shared" si="256"/>
        <v>0</v>
      </c>
      <c r="AH242" s="21">
        <f>IF('Etape 1'!H238=St.Wert_Hacken,1,0)</f>
        <v>0</v>
      </c>
      <c r="AI242" s="21">
        <f t="shared" si="257"/>
        <v>0</v>
      </c>
      <c r="AJ242" s="21">
        <f t="shared" si="258"/>
        <v>1000999</v>
      </c>
      <c r="AK242" s="58">
        <f t="shared" si="259"/>
        <v>1100</v>
      </c>
      <c r="AL242" s="58">
        <f t="shared" si="260"/>
        <v>440</v>
      </c>
      <c r="AM242" s="21">
        <f t="shared" si="261"/>
        <v>0</v>
      </c>
      <c r="AN242" s="58">
        <f t="shared" si="262"/>
        <v>1</v>
      </c>
      <c r="AO242" s="58" t="str">
        <f t="shared" si="263"/>
        <v>114</v>
      </c>
      <c r="AP242" s="58" t="str">
        <f t="shared" si="264"/>
        <v>164</v>
      </c>
      <c r="AQ242" s="21" t="e">
        <f t="shared" si="265"/>
        <v>#NUM!</v>
      </c>
      <c r="AR242" s="21" t="e">
        <f t="shared" si="266"/>
        <v>#NUM!</v>
      </c>
      <c r="AS242" s="136" t="e">
        <f t="shared" si="237"/>
        <v>#NUM!</v>
      </c>
      <c r="AT242" s="59" t="e">
        <f t="shared" si="267"/>
        <v>#NUM!</v>
      </c>
      <c r="AU242" s="21" t="e">
        <f t="shared" si="268"/>
        <v>#NUM!</v>
      </c>
      <c r="AV242" s="58">
        <f t="shared" si="269"/>
        <v>1500</v>
      </c>
      <c r="AW242" s="58">
        <f t="shared" si="270"/>
        <v>600</v>
      </c>
      <c r="AX242" s="60">
        <f t="shared" si="271"/>
        <v>0.11</v>
      </c>
      <c r="AY242" s="212">
        <f t="shared" si="238"/>
        <v>0</v>
      </c>
      <c r="AZ242" s="59">
        <f t="shared" si="272"/>
        <v>0</v>
      </c>
      <c r="BA242" s="21" t="e">
        <f t="shared" si="273"/>
        <v>#DIV/0!</v>
      </c>
      <c r="BB242" s="58">
        <f t="shared" si="274"/>
        <v>2900</v>
      </c>
      <c r="BC242" s="58">
        <f t="shared" si="275"/>
        <v>1160</v>
      </c>
      <c r="BD242" s="60">
        <f t="shared" si="276"/>
        <v>0.15</v>
      </c>
      <c r="BE242" s="212" t="e">
        <f t="shared" si="239"/>
        <v>#NUM!</v>
      </c>
      <c r="BF242" s="59" t="e">
        <f t="shared" si="277"/>
        <v>#NUM!</v>
      </c>
      <c r="BG242" s="21" t="e">
        <f t="shared" si="278"/>
        <v>#NUM!</v>
      </c>
      <c r="BH242" s="55">
        <f t="shared" ca="1" si="232"/>
        <v>0</v>
      </c>
    </row>
    <row r="243" spans="1:60" x14ac:dyDescent="0.2">
      <c r="A243" s="61">
        <f ca="1">RANK(W243,W$12:W$311,0)+COUNTIF(W$12:W243,W243)-1</f>
        <v>69</v>
      </c>
      <c r="B243" s="55">
        <f>'Etape 1'!A239</f>
        <v>232</v>
      </c>
      <c r="C243" s="55">
        <f>'Etape 1'!B239</f>
        <v>0</v>
      </c>
      <c r="D243" s="55">
        <f>'Etape 1'!C239</f>
        <v>0</v>
      </c>
      <c r="E243" s="55">
        <f>'Etape 1'!D239</f>
        <v>0</v>
      </c>
      <c r="F243" s="55">
        <f>'Etape 1'!E239</f>
        <v>0</v>
      </c>
      <c r="G243" s="55">
        <f>'Etape 1'!F239</f>
        <v>0</v>
      </c>
      <c r="H243" s="55">
        <f>'Etape 1'!G239</f>
        <v>0</v>
      </c>
      <c r="I243" s="209">
        <v>1</v>
      </c>
      <c r="J243" s="58">
        <f t="shared" si="240"/>
        <v>0</v>
      </c>
      <c r="K243" s="21">
        <f t="shared" si="241"/>
        <v>0</v>
      </c>
      <c r="L243" s="21">
        <f t="shared" si="242"/>
        <v>0</v>
      </c>
      <c r="M243" s="21">
        <f t="shared" ca="1" si="243"/>
        <v>3</v>
      </c>
      <c r="N243" s="21">
        <f t="shared" ca="1" si="244"/>
        <v>3</v>
      </c>
      <c r="O243" s="21">
        <f t="shared" ca="1" si="245"/>
        <v>0</v>
      </c>
      <c r="P243" s="262" t="str">
        <f>IF('Etape 1'!J239=999,"",IF('Etape 1'!J239=9999,txt_Schritt1.Angaben.fehlen,VLOOKUP(N243,Matrix_1.2.3.Test.Punkte.ID.Beurteilung,4,1)))</f>
        <v/>
      </c>
      <c r="Q243" s="21">
        <f t="shared" ca="1" si="246"/>
        <v>0</v>
      </c>
      <c r="R243" s="136">
        <f t="shared" si="233"/>
        <v>232</v>
      </c>
      <c r="S243" s="136">
        <f t="shared" ca="1" si="230"/>
        <v>162.77076411960132</v>
      </c>
      <c r="T243" s="136">
        <f t="shared" ca="1" si="234"/>
        <v>750.77076411960138</v>
      </c>
      <c r="U243" s="136">
        <f t="shared" ca="1" si="235"/>
        <v>1224000.7707641197</v>
      </c>
      <c r="V243" s="211">
        <f t="shared" ca="1" si="236"/>
        <v>235406.96280843901</v>
      </c>
      <c r="W243" s="136">
        <f t="shared" ca="1" si="231"/>
        <v>232</v>
      </c>
      <c r="X243" s="136">
        <f t="shared" ca="1" si="247"/>
        <v>162.999000999001</v>
      </c>
      <c r="Y243" s="21">
        <f t="shared" si="248"/>
        <v>1</v>
      </c>
      <c r="Z243" s="21" t="str">
        <f t="shared" si="249"/>
        <v>&lt;IE0</v>
      </c>
      <c r="AA243" s="21">
        <f t="shared" si="250"/>
        <v>1</v>
      </c>
      <c r="AB243" s="21" t="str">
        <f t="shared" si="251"/>
        <v>a - "&lt; 1990 (Eff3)"</v>
      </c>
      <c r="AC243" s="21">
        <f t="shared" si="252"/>
        <v>999999</v>
      </c>
      <c r="AD243" s="21" t="str">
        <f t="shared" si="253"/>
        <v/>
      </c>
      <c r="AE243" s="21" t="str">
        <f t="shared" si="254"/>
        <v/>
      </c>
      <c r="AF243" s="21" t="str">
        <f t="shared" si="255"/>
        <v/>
      </c>
      <c r="AG243" s="21">
        <f t="shared" si="256"/>
        <v>0</v>
      </c>
      <c r="AH243" s="21">
        <f>IF('Etape 1'!H239=St.Wert_Hacken,1,0)</f>
        <v>0</v>
      </c>
      <c r="AI243" s="21">
        <f t="shared" si="257"/>
        <v>0</v>
      </c>
      <c r="AJ243" s="21">
        <f t="shared" si="258"/>
        <v>1000999</v>
      </c>
      <c r="AK243" s="58">
        <f t="shared" si="259"/>
        <v>1100</v>
      </c>
      <c r="AL243" s="58">
        <f t="shared" si="260"/>
        <v>440</v>
      </c>
      <c r="AM243" s="21">
        <f t="shared" si="261"/>
        <v>0</v>
      </c>
      <c r="AN243" s="58">
        <f t="shared" si="262"/>
        <v>1</v>
      </c>
      <c r="AO243" s="58" t="str">
        <f t="shared" si="263"/>
        <v>114</v>
      </c>
      <c r="AP243" s="58" t="str">
        <f t="shared" si="264"/>
        <v>164</v>
      </c>
      <c r="AQ243" s="21" t="e">
        <f t="shared" si="265"/>
        <v>#NUM!</v>
      </c>
      <c r="AR243" s="21" t="e">
        <f t="shared" si="266"/>
        <v>#NUM!</v>
      </c>
      <c r="AS243" s="136" t="e">
        <f t="shared" si="237"/>
        <v>#NUM!</v>
      </c>
      <c r="AT243" s="59" t="e">
        <f t="shared" si="267"/>
        <v>#NUM!</v>
      </c>
      <c r="AU243" s="21" t="e">
        <f t="shared" si="268"/>
        <v>#NUM!</v>
      </c>
      <c r="AV243" s="58">
        <f t="shared" si="269"/>
        <v>1500</v>
      </c>
      <c r="AW243" s="58">
        <f t="shared" si="270"/>
        <v>600</v>
      </c>
      <c r="AX243" s="60">
        <f t="shared" si="271"/>
        <v>0.11</v>
      </c>
      <c r="AY243" s="212">
        <f t="shared" si="238"/>
        <v>0</v>
      </c>
      <c r="AZ243" s="59">
        <f t="shared" si="272"/>
        <v>0</v>
      </c>
      <c r="BA243" s="21" t="e">
        <f t="shared" si="273"/>
        <v>#DIV/0!</v>
      </c>
      <c r="BB243" s="58">
        <f t="shared" si="274"/>
        <v>2900</v>
      </c>
      <c r="BC243" s="58">
        <f t="shared" si="275"/>
        <v>1160</v>
      </c>
      <c r="BD243" s="60">
        <f t="shared" si="276"/>
        <v>0.15</v>
      </c>
      <c r="BE243" s="212" t="e">
        <f t="shared" si="239"/>
        <v>#NUM!</v>
      </c>
      <c r="BF243" s="59" t="e">
        <f t="shared" si="277"/>
        <v>#NUM!</v>
      </c>
      <c r="BG243" s="21" t="e">
        <f t="shared" si="278"/>
        <v>#NUM!</v>
      </c>
      <c r="BH243" s="55">
        <f t="shared" ca="1" si="232"/>
        <v>0</v>
      </c>
    </row>
    <row r="244" spans="1:60" x14ac:dyDescent="0.2">
      <c r="A244" s="61">
        <f ca="1">RANK(W244,W$12:W$311,0)+COUNTIF(W$12:W244,W244)-1</f>
        <v>68</v>
      </c>
      <c r="B244" s="55">
        <f>'Etape 1'!A240</f>
        <v>233</v>
      </c>
      <c r="C244" s="55">
        <f>'Etape 1'!B240</f>
        <v>0</v>
      </c>
      <c r="D244" s="55">
        <f>'Etape 1'!C240</f>
        <v>0</v>
      </c>
      <c r="E244" s="55">
        <f>'Etape 1'!D240</f>
        <v>0</v>
      </c>
      <c r="F244" s="55">
        <f>'Etape 1'!E240</f>
        <v>0</v>
      </c>
      <c r="G244" s="55">
        <f>'Etape 1'!F240</f>
        <v>0</v>
      </c>
      <c r="H244" s="55">
        <f>'Etape 1'!G240</f>
        <v>0</v>
      </c>
      <c r="I244" s="209">
        <v>1</v>
      </c>
      <c r="J244" s="58">
        <f t="shared" si="240"/>
        <v>0</v>
      </c>
      <c r="K244" s="21">
        <f t="shared" si="241"/>
        <v>0</v>
      </c>
      <c r="L244" s="21">
        <f t="shared" si="242"/>
        <v>0</v>
      </c>
      <c r="M244" s="21">
        <f t="shared" ca="1" si="243"/>
        <v>3</v>
      </c>
      <c r="N244" s="21">
        <f t="shared" ca="1" si="244"/>
        <v>3</v>
      </c>
      <c r="O244" s="21">
        <f t="shared" ca="1" si="245"/>
        <v>0</v>
      </c>
      <c r="P244" s="262" t="str">
        <f>IF('Etape 1'!J240=999,"",IF('Etape 1'!J240=9999,txt_Schritt1.Angaben.fehlen,VLOOKUP(N244,Matrix_1.2.3.Test.Punkte.ID.Beurteilung,4,1)))</f>
        <v/>
      </c>
      <c r="Q244" s="21">
        <f t="shared" ca="1" si="246"/>
        <v>0</v>
      </c>
      <c r="R244" s="136">
        <f t="shared" si="233"/>
        <v>233</v>
      </c>
      <c r="S244" s="136">
        <f t="shared" ca="1" si="230"/>
        <v>162.77408637873754</v>
      </c>
      <c r="T244" s="136">
        <f t="shared" ca="1" si="234"/>
        <v>750.77408637873759</v>
      </c>
      <c r="U244" s="136">
        <f t="shared" ca="1" si="235"/>
        <v>1224000.7740863787</v>
      </c>
      <c r="V244" s="211">
        <f t="shared" ca="1" si="236"/>
        <v>235406.96613069816</v>
      </c>
      <c r="W244" s="136">
        <f t="shared" ca="1" si="231"/>
        <v>233</v>
      </c>
      <c r="X244" s="136">
        <f t="shared" ca="1" si="247"/>
        <v>162.999000999001</v>
      </c>
      <c r="Y244" s="21">
        <f t="shared" si="248"/>
        <v>1</v>
      </c>
      <c r="Z244" s="21" t="str">
        <f t="shared" si="249"/>
        <v>&lt;IE0</v>
      </c>
      <c r="AA244" s="21">
        <f t="shared" si="250"/>
        <v>1</v>
      </c>
      <c r="AB244" s="21" t="str">
        <f t="shared" si="251"/>
        <v>a - "&lt; 1990 (Eff3)"</v>
      </c>
      <c r="AC244" s="21">
        <f t="shared" si="252"/>
        <v>999999</v>
      </c>
      <c r="AD244" s="21" t="str">
        <f t="shared" si="253"/>
        <v/>
      </c>
      <c r="AE244" s="21" t="str">
        <f t="shared" si="254"/>
        <v/>
      </c>
      <c r="AF244" s="21" t="str">
        <f t="shared" si="255"/>
        <v/>
      </c>
      <c r="AG244" s="21">
        <f t="shared" si="256"/>
        <v>0</v>
      </c>
      <c r="AH244" s="21">
        <f>IF('Etape 1'!H240=St.Wert_Hacken,1,0)</f>
        <v>0</v>
      </c>
      <c r="AI244" s="21">
        <f t="shared" si="257"/>
        <v>0</v>
      </c>
      <c r="AJ244" s="21">
        <f t="shared" si="258"/>
        <v>1000999</v>
      </c>
      <c r="AK244" s="58">
        <f t="shared" si="259"/>
        <v>1100</v>
      </c>
      <c r="AL244" s="58">
        <f t="shared" si="260"/>
        <v>440</v>
      </c>
      <c r="AM244" s="21">
        <f t="shared" si="261"/>
        <v>0</v>
      </c>
      <c r="AN244" s="58">
        <f t="shared" si="262"/>
        <v>1</v>
      </c>
      <c r="AO244" s="58" t="str">
        <f t="shared" si="263"/>
        <v>114</v>
      </c>
      <c r="AP244" s="58" t="str">
        <f t="shared" si="264"/>
        <v>164</v>
      </c>
      <c r="AQ244" s="21" t="e">
        <f t="shared" si="265"/>
        <v>#NUM!</v>
      </c>
      <c r="AR244" s="21" t="e">
        <f t="shared" si="266"/>
        <v>#NUM!</v>
      </c>
      <c r="AS244" s="136" t="e">
        <f t="shared" si="237"/>
        <v>#NUM!</v>
      </c>
      <c r="AT244" s="59" t="e">
        <f t="shared" si="267"/>
        <v>#NUM!</v>
      </c>
      <c r="AU244" s="21" t="e">
        <f t="shared" si="268"/>
        <v>#NUM!</v>
      </c>
      <c r="AV244" s="58">
        <f t="shared" si="269"/>
        <v>1500</v>
      </c>
      <c r="AW244" s="58">
        <f t="shared" si="270"/>
        <v>600</v>
      </c>
      <c r="AX244" s="60">
        <f t="shared" si="271"/>
        <v>0.11</v>
      </c>
      <c r="AY244" s="212">
        <f t="shared" si="238"/>
        <v>0</v>
      </c>
      <c r="AZ244" s="59">
        <f t="shared" si="272"/>
        <v>0</v>
      </c>
      <c r="BA244" s="21" t="e">
        <f t="shared" si="273"/>
        <v>#DIV/0!</v>
      </c>
      <c r="BB244" s="58">
        <f t="shared" si="274"/>
        <v>2900</v>
      </c>
      <c r="BC244" s="58">
        <f t="shared" si="275"/>
        <v>1160</v>
      </c>
      <c r="BD244" s="60">
        <f t="shared" si="276"/>
        <v>0.15</v>
      </c>
      <c r="BE244" s="212" t="e">
        <f t="shared" si="239"/>
        <v>#NUM!</v>
      </c>
      <c r="BF244" s="59" t="e">
        <f t="shared" si="277"/>
        <v>#NUM!</v>
      </c>
      <c r="BG244" s="21" t="e">
        <f t="shared" si="278"/>
        <v>#NUM!</v>
      </c>
      <c r="BH244" s="55">
        <f t="shared" ca="1" si="232"/>
        <v>0</v>
      </c>
    </row>
    <row r="245" spans="1:60" x14ac:dyDescent="0.2">
      <c r="A245" s="61">
        <f ca="1">RANK(W245,W$12:W$311,0)+COUNTIF(W$12:W245,W245)-1</f>
        <v>67</v>
      </c>
      <c r="B245" s="55">
        <f>'Etape 1'!A241</f>
        <v>234</v>
      </c>
      <c r="C245" s="55">
        <f>'Etape 1'!B241</f>
        <v>0</v>
      </c>
      <c r="D245" s="55">
        <f>'Etape 1'!C241</f>
        <v>0</v>
      </c>
      <c r="E245" s="55">
        <f>'Etape 1'!D241</f>
        <v>0</v>
      </c>
      <c r="F245" s="55">
        <f>'Etape 1'!E241</f>
        <v>0</v>
      </c>
      <c r="G245" s="55">
        <f>'Etape 1'!F241</f>
        <v>0</v>
      </c>
      <c r="H245" s="55">
        <f>'Etape 1'!G241</f>
        <v>0</v>
      </c>
      <c r="I245" s="209">
        <v>1</v>
      </c>
      <c r="J245" s="58">
        <f t="shared" si="240"/>
        <v>0</v>
      </c>
      <c r="K245" s="21">
        <f t="shared" si="241"/>
        <v>0</v>
      </c>
      <c r="L245" s="21">
        <f t="shared" si="242"/>
        <v>0</v>
      </c>
      <c r="M245" s="21">
        <f t="shared" ca="1" si="243"/>
        <v>3</v>
      </c>
      <c r="N245" s="21">
        <f t="shared" ca="1" si="244"/>
        <v>3</v>
      </c>
      <c r="O245" s="21">
        <f t="shared" ca="1" si="245"/>
        <v>0</v>
      </c>
      <c r="P245" s="262" t="str">
        <f>IF('Etape 1'!J241=999,"",IF('Etape 1'!J241=9999,txt_Schritt1.Angaben.fehlen,VLOOKUP(N245,Matrix_1.2.3.Test.Punkte.ID.Beurteilung,4,1)))</f>
        <v/>
      </c>
      <c r="Q245" s="21">
        <f t="shared" ca="1" si="246"/>
        <v>0</v>
      </c>
      <c r="R245" s="136">
        <f t="shared" si="233"/>
        <v>234</v>
      </c>
      <c r="S245" s="136">
        <f t="shared" ca="1" si="230"/>
        <v>162.77740863787375</v>
      </c>
      <c r="T245" s="136">
        <f t="shared" ca="1" si="234"/>
        <v>750.7774086378738</v>
      </c>
      <c r="U245" s="136">
        <f t="shared" ca="1" si="235"/>
        <v>1224000.7774086378</v>
      </c>
      <c r="V245" s="211">
        <f t="shared" ca="1" si="236"/>
        <v>235406.96945295727</v>
      </c>
      <c r="W245" s="136">
        <f t="shared" ca="1" si="231"/>
        <v>234</v>
      </c>
      <c r="X245" s="136">
        <f t="shared" ca="1" si="247"/>
        <v>162.999000999001</v>
      </c>
      <c r="Y245" s="21">
        <f t="shared" si="248"/>
        <v>1</v>
      </c>
      <c r="Z245" s="21" t="str">
        <f t="shared" si="249"/>
        <v>&lt;IE0</v>
      </c>
      <c r="AA245" s="21">
        <f t="shared" si="250"/>
        <v>1</v>
      </c>
      <c r="AB245" s="21" t="str">
        <f t="shared" si="251"/>
        <v>a - "&lt; 1990 (Eff3)"</v>
      </c>
      <c r="AC245" s="21">
        <f t="shared" si="252"/>
        <v>999999</v>
      </c>
      <c r="AD245" s="21" t="str">
        <f t="shared" si="253"/>
        <v/>
      </c>
      <c r="AE245" s="21" t="str">
        <f t="shared" si="254"/>
        <v/>
      </c>
      <c r="AF245" s="21" t="str">
        <f t="shared" si="255"/>
        <v/>
      </c>
      <c r="AG245" s="21">
        <f t="shared" si="256"/>
        <v>0</v>
      </c>
      <c r="AH245" s="21">
        <f>IF('Etape 1'!H241=St.Wert_Hacken,1,0)</f>
        <v>0</v>
      </c>
      <c r="AI245" s="21">
        <f t="shared" si="257"/>
        <v>0</v>
      </c>
      <c r="AJ245" s="21">
        <f t="shared" si="258"/>
        <v>1000999</v>
      </c>
      <c r="AK245" s="58">
        <f t="shared" si="259"/>
        <v>1100</v>
      </c>
      <c r="AL245" s="58">
        <f t="shared" si="260"/>
        <v>440</v>
      </c>
      <c r="AM245" s="21">
        <f t="shared" si="261"/>
        <v>0</v>
      </c>
      <c r="AN245" s="58">
        <f t="shared" si="262"/>
        <v>1</v>
      </c>
      <c r="AO245" s="58" t="str">
        <f t="shared" si="263"/>
        <v>114</v>
      </c>
      <c r="AP245" s="58" t="str">
        <f t="shared" si="264"/>
        <v>164</v>
      </c>
      <c r="AQ245" s="21" t="e">
        <f t="shared" si="265"/>
        <v>#NUM!</v>
      </c>
      <c r="AR245" s="21" t="e">
        <f t="shared" si="266"/>
        <v>#NUM!</v>
      </c>
      <c r="AS245" s="136" t="e">
        <f t="shared" si="237"/>
        <v>#NUM!</v>
      </c>
      <c r="AT245" s="59" t="e">
        <f t="shared" si="267"/>
        <v>#NUM!</v>
      </c>
      <c r="AU245" s="21" t="e">
        <f t="shared" si="268"/>
        <v>#NUM!</v>
      </c>
      <c r="AV245" s="58">
        <f t="shared" si="269"/>
        <v>1500</v>
      </c>
      <c r="AW245" s="58">
        <f t="shared" si="270"/>
        <v>600</v>
      </c>
      <c r="AX245" s="60">
        <f t="shared" si="271"/>
        <v>0.11</v>
      </c>
      <c r="AY245" s="212">
        <f t="shared" si="238"/>
        <v>0</v>
      </c>
      <c r="AZ245" s="59">
        <f t="shared" si="272"/>
        <v>0</v>
      </c>
      <c r="BA245" s="21" t="e">
        <f t="shared" si="273"/>
        <v>#DIV/0!</v>
      </c>
      <c r="BB245" s="58">
        <f t="shared" si="274"/>
        <v>2900</v>
      </c>
      <c r="BC245" s="58">
        <f t="shared" si="275"/>
        <v>1160</v>
      </c>
      <c r="BD245" s="60">
        <f t="shared" si="276"/>
        <v>0.15</v>
      </c>
      <c r="BE245" s="212" t="e">
        <f t="shared" si="239"/>
        <v>#NUM!</v>
      </c>
      <c r="BF245" s="59" t="e">
        <f t="shared" si="277"/>
        <v>#NUM!</v>
      </c>
      <c r="BG245" s="21" t="e">
        <f t="shared" si="278"/>
        <v>#NUM!</v>
      </c>
      <c r="BH245" s="55">
        <f t="shared" ca="1" si="232"/>
        <v>0</v>
      </c>
    </row>
    <row r="246" spans="1:60" x14ac:dyDescent="0.2">
      <c r="A246" s="61">
        <f ca="1">RANK(W246,W$12:W$311,0)+COUNTIF(W$12:W246,W246)-1</f>
        <v>66</v>
      </c>
      <c r="B246" s="55">
        <f>'Etape 1'!A242</f>
        <v>235</v>
      </c>
      <c r="C246" s="55">
        <f>'Etape 1'!B242</f>
        <v>0</v>
      </c>
      <c r="D246" s="55">
        <f>'Etape 1'!C242</f>
        <v>0</v>
      </c>
      <c r="E246" s="55">
        <f>'Etape 1'!D242</f>
        <v>0</v>
      </c>
      <c r="F246" s="55">
        <f>'Etape 1'!E242</f>
        <v>0</v>
      </c>
      <c r="G246" s="55">
        <f>'Etape 1'!F242</f>
        <v>0</v>
      </c>
      <c r="H246" s="55">
        <f>'Etape 1'!G242</f>
        <v>0</v>
      </c>
      <c r="I246" s="209">
        <v>1</v>
      </c>
      <c r="J246" s="58">
        <f t="shared" si="240"/>
        <v>0</v>
      </c>
      <c r="K246" s="21">
        <f t="shared" si="241"/>
        <v>0</v>
      </c>
      <c r="L246" s="21">
        <f t="shared" si="242"/>
        <v>0</v>
      </c>
      <c r="M246" s="21">
        <f t="shared" ca="1" si="243"/>
        <v>3</v>
      </c>
      <c r="N246" s="21">
        <f t="shared" ca="1" si="244"/>
        <v>3</v>
      </c>
      <c r="O246" s="21">
        <f t="shared" ca="1" si="245"/>
        <v>0</v>
      </c>
      <c r="P246" s="262" t="str">
        <f>IF('Etape 1'!J242=999,"",IF('Etape 1'!J242=9999,txt_Schritt1.Angaben.fehlen,VLOOKUP(N246,Matrix_1.2.3.Test.Punkte.ID.Beurteilung,4,1)))</f>
        <v/>
      </c>
      <c r="Q246" s="21">
        <f t="shared" ca="1" si="246"/>
        <v>0</v>
      </c>
      <c r="R246" s="136">
        <f t="shared" si="233"/>
        <v>235</v>
      </c>
      <c r="S246" s="136">
        <f t="shared" ca="1" si="230"/>
        <v>162.78073089700996</v>
      </c>
      <c r="T246" s="136">
        <f t="shared" ca="1" si="234"/>
        <v>750.78073089701002</v>
      </c>
      <c r="U246" s="136">
        <f t="shared" ca="1" si="235"/>
        <v>1224000.7807308971</v>
      </c>
      <c r="V246" s="211">
        <f t="shared" ca="1" si="236"/>
        <v>235406.97277521642</v>
      </c>
      <c r="W246" s="136">
        <f t="shared" ca="1" si="231"/>
        <v>235</v>
      </c>
      <c r="X246" s="136">
        <f t="shared" ca="1" si="247"/>
        <v>162.999000999001</v>
      </c>
      <c r="Y246" s="21">
        <f t="shared" si="248"/>
        <v>1</v>
      </c>
      <c r="Z246" s="21" t="str">
        <f t="shared" si="249"/>
        <v>&lt;IE0</v>
      </c>
      <c r="AA246" s="21">
        <f t="shared" si="250"/>
        <v>1</v>
      </c>
      <c r="AB246" s="21" t="str">
        <f t="shared" si="251"/>
        <v>a - "&lt; 1990 (Eff3)"</v>
      </c>
      <c r="AC246" s="21">
        <f t="shared" si="252"/>
        <v>999999</v>
      </c>
      <c r="AD246" s="21" t="str">
        <f t="shared" si="253"/>
        <v/>
      </c>
      <c r="AE246" s="21" t="str">
        <f t="shared" si="254"/>
        <v/>
      </c>
      <c r="AF246" s="21" t="str">
        <f t="shared" si="255"/>
        <v/>
      </c>
      <c r="AG246" s="21">
        <f t="shared" si="256"/>
        <v>0</v>
      </c>
      <c r="AH246" s="21">
        <f>IF('Etape 1'!H242=St.Wert_Hacken,1,0)</f>
        <v>0</v>
      </c>
      <c r="AI246" s="21">
        <f t="shared" si="257"/>
        <v>0</v>
      </c>
      <c r="AJ246" s="21">
        <f t="shared" si="258"/>
        <v>1000999</v>
      </c>
      <c r="AK246" s="58">
        <f t="shared" si="259"/>
        <v>1100</v>
      </c>
      <c r="AL246" s="58">
        <f t="shared" si="260"/>
        <v>440</v>
      </c>
      <c r="AM246" s="21">
        <f t="shared" si="261"/>
        <v>0</v>
      </c>
      <c r="AN246" s="58">
        <f t="shared" si="262"/>
        <v>1</v>
      </c>
      <c r="AO246" s="58" t="str">
        <f t="shared" si="263"/>
        <v>114</v>
      </c>
      <c r="AP246" s="58" t="str">
        <f t="shared" si="264"/>
        <v>164</v>
      </c>
      <c r="AQ246" s="21" t="e">
        <f t="shared" si="265"/>
        <v>#NUM!</v>
      </c>
      <c r="AR246" s="21" t="e">
        <f t="shared" si="266"/>
        <v>#NUM!</v>
      </c>
      <c r="AS246" s="136" t="e">
        <f t="shared" si="237"/>
        <v>#NUM!</v>
      </c>
      <c r="AT246" s="59" t="e">
        <f t="shared" si="267"/>
        <v>#NUM!</v>
      </c>
      <c r="AU246" s="21" t="e">
        <f t="shared" si="268"/>
        <v>#NUM!</v>
      </c>
      <c r="AV246" s="58">
        <f t="shared" si="269"/>
        <v>1500</v>
      </c>
      <c r="AW246" s="58">
        <f t="shared" si="270"/>
        <v>600</v>
      </c>
      <c r="AX246" s="60">
        <f t="shared" si="271"/>
        <v>0.11</v>
      </c>
      <c r="AY246" s="212">
        <f t="shared" si="238"/>
        <v>0</v>
      </c>
      <c r="AZ246" s="59">
        <f t="shared" si="272"/>
        <v>0</v>
      </c>
      <c r="BA246" s="21" t="e">
        <f t="shared" si="273"/>
        <v>#DIV/0!</v>
      </c>
      <c r="BB246" s="58">
        <f t="shared" si="274"/>
        <v>2900</v>
      </c>
      <c r="BC246" s="58">
        <f t="shared" si="275"/>
        <v>1160</v>
      </c>
      <c r="BD246" s="60">
        <f t="shared" si="276"/>
        <v>0.15</v>
      </c>
      <c r="BE246" s="212" t="e">
        <f t="shared" si="239"/>
        <v>#NUM!</v>
      </c>
      <c r="BF246" s="59" t="e">
        <f t="shared" si="277"/>
        <v>#NUM!</v>
      </c>
      <c r="BG246" s="21" t="e">
        <f t="shared" si="278"/>
        <v>#NUM!</v>
      </c>
      <c r="BH246" s="55">
        <f t="shared" ca="1" si="232"/>
        <v>0</v>
      </c>
    </row>
    <row r="247" spans="1:60" x14ac:dyDescent="0.2">
      <c r="A247" s="61">
        <f ca="1">RANK(W247,W$12:W$311,0)+COUNTIF(W$12:W247,W247)-1</f>
        <v>65</v>
      </c>
      <c r="B247" s="55">
        <f>'Etape 1'!A243</f>
        <v>236</v>
      </c>
      <c r="C247" s="55">
        <f>'Etape 1'!B243</f>
        <v>0</v>
      </c>
      <c r="D247" s="55">
        <f>'Etape 1'!C243</f>
        <v>0</v>
      </c>
      <c r="E247" s="55">
        <f>'Etape 1'!D243</f>
        <v>0</v>
      </c>
      <c r="F247" s="55">
        <f>'Etape 1'!E243</f>
        <v>0</v>
      </c>
      <c r="G247" s="55">
        <f>'Etape 1'!F243</f>
        <v>0</v>
      </c>
      <c r="H247" s="55">
        <f>'Etape 1'!G243</f>
        <v>0</v>
      </c>
      <c r="I247" s="209">
        <v>1</v>
      </c>
      <c r="J247" s="58">
        <f t="shared" si="240"/>
        <v>0</v>
      </c>
      <c r="K247" s="21">
        <f t="shared" si="241"/>
        <v>0</v>
      </c>
      <c r="L247" s="21">
        <f t="shared" si="242"/>
        <v>0</v>
      </c>
      <c r="M247" s="21">
        <f t="shared" ca="1" si="243"/>
        <v>3</v>
      </c>
      <c r="N247" s="21">
        <f t="shared" ca="1" si="244"/>
        <v>3</v>
      </c>
      <c r="O247" s="21">
        <f t="shared" ca="1" si="245"/>
        <v>0</v>
      </c>
      <c r="P247" s="262" t="str">
        <f>IF('Etape 1'!J243=999,"",IF('Etape 1'!J243=9999,txt_Schritt1.Angaben.fehlen,VLOOKUP(N247,Matrix_1.2.3.Test.Punkte.ID.Beurteilung,4,1)))</f>
        <v/>
      </c>
      <c r="Q247" s="21">
        <f t="shared" ca="1" si="246"/>
        <v>0</v>
      </c>
      <c r="R247" s="136">
        <f t="shared" si="233"/>
        <v>236</v>
      </c>
      <c r="S247" s="136">
        <f t="shared" ca="1" si="230"/>
        <v>162.78405315614617</v>
      </c>
      <c r="T247" s="136">
        <f t="shared" ca="1" si="234"/>
        <v>750.78405315614623</v>
      </c>
      <c r="U247" s="136">
        <f t="shared" ca="1" si="235"/>
        <v>1224000.7840531562</v>
      </c>
      <c r="V247" s="211">
        <f t="shared" ca="1" si="236"/>
        <v>235406.97609747556</v>
      </c>
      <c r="W247" s="136">
        <f t="shared" ca="1" si="231"/>
        <v>236</v>
      </c>
      <c r="X247" s="136">
        <f t="shared" ca="1" si="247"/>
        <v>162.999000999001</v>
      </c>
      <c r="Y247" s="21">
        <f t="shared" si="248"/>
        <v>1</v>
      </c>
      <c r="Z247" s="21" t="str">
        <f t="shared" si="249"/>
        <v>&lt;IE0</v>
      </c>
      <c r="AA247" s="21">
        <f t="shared" si="250"/>
        <v>1</v>
      </c>
      <c r="AB247" s="21" t="str">
        <f t="shared" si="251"/>
        <v>a - "&lt; 1990 (Eff3)"</v>
      </c>
      <c r="AC247" s="21">
        <f t="shared" si="252"/>
        <v>999999</v>
      </c>
      <c r="AD247" s="21" t="str">
        <f t="shared" si="253"/>
        <v/>
      </c>
      <c r="AE247" s="21" t="str">
        <f t="shared" si="254"/>
        <v/>
      </c>
      <c r="AF247" s="21" t="str">
        <f t="shared" si="255"/>
        <v/>
      </c>
      <c r="AG247" s="21">
        <f t="shared" si="256"/>
        <v>0</v>
      </c>
      <c r="AH247" s="21">
        <f>IF('Etape 1'!H243=St.Wert_Hacken,1,0)</f>
        <v>0</v>
      </c>
      <c r="AI247" s="21">
        <f t="shared" si="257"/>
        <v>0</v>
      </c>
      <c r="AJ247" s="21">
        <f t="shared" si="258"/>
        <v>1000999</v>
      </c>
      <c r="AK247" s="58">
        <f t="shared" si="259"/>
        <v>1100</v>
      </c>
      <c r="AL247" s="58">
        <f t="shared" si="260"/>
        <v>440</v>
      </c>
      <c r="AM247" s="21">
        <f t="shared" si="261"/>
        <v>0</v>
      </c>
      <c r="AN247" s="58">
        <f t="shared" si="262"/>
        <v>1</v>
      </c>
      <c r="AO247" s="58" t="str">
        <f t="shared" si="263"/>
        <v>114</v>
      </c>
      <c r="AP247" s="58" t="str">
        <f t="shared" si="264"/>
        <v>164</v>
      </c>
      <c r="AQ247" s="21" t="e">
        <f t="shared" si="265"/>
        <v>#NUM!</v>
      </c>
      <c r="AR247" s="21" t="e">
        <f t="shared" si="266"/>
        <v>#NUM!</v>
      </c>
      <c r="AS247" s="136" t="e">
        <f t="shared" si="237"/>
        <v>#NUM!</v>
      </c>
      <c r="AT247" s="59" t="e">
        <f t="shared" si="267"/>
        <v>#NUM!</v>
      </c>
      <c r="AU247" s="21" t="e">
        <f t="shared" si="268"/>
        <v>#NUM!</v>
      </c>
      <c r="AV247" s="58">
        <f t="shared" si="269"/>
        <v>1500</v>
      </c>
      <c r="AW247" s="58">
        <f t="shared" si="270"/>
        <v>600</v>
      </c>
      <c r="AX247" s="60">
        <f t="shared" si="271"/>
        <v>0.11</v>
      </c>
      <c r="AY247" s="212">
        <f t="shared" si="238"/>
        <v>0</v>
      </c>
      <c r="AZ247" s="59">
        <f t="shared" si="272"/>
        <v>0</v>
      </c>
      <c r="BA247" s="21" t="e">
        <f t="shared" si="273"/>
        <v>#DIV/0!</v>
      </c>
      <c r="BB247" s="58">
        <f t="shared" si="274"/>
        <v>2900</v>
      </c>
      <c r="BC247" s="58">
        <f t="shared" si="275"/>
        <v>1160</v>
      </c>
      <c r="BD247" s="60">
        <f t="shared" si="276"/>
        <v>0.15</v>
      </c>
      <c r="BE247" s="212" t="e">
        <f t="shared" si="239"/>
        <v>#NUM!</v>
      </c>
      <c r="BF247" s="59" t="e">
        <f t="shared" si="277"/>
        <v>#NUM!</v>
      </c>
      <c r="BG247" s="21" t="e">
        <f t="shared" si="278"/>
        <v>#NUM!</v>
      </c>
      <c r="BH247" s="55">
        <f t="shared" ca="1" si="232"/>
        <v>0</v>
      </c>
    </row>
    <row r="248" spans="1:60" x14ac:dyDescent="0.2">
      <c r="A248" s="61">
        <f ca="1">RANK(W248,W$12:W$311,0)+COUNTIF(W$12:W248,W248)-1</f>
        <v>64</v>
      </c>
      <c r="B248" s="55">
        <f>'Etape 1'!A244</f>
        <v>237</v>
      </c>
      <c r="C248" s="55">
        <f>'Etape 1'!B244</f>
        <v>0</v>
      </c>
      <c r="D248" s="55">
        <f>'Etape 1'!C244</f>
        <v>0</v>
      </c>
      <c r="E248" s="55">
        <f>'Etape 1'!D244</f>
        <v>0</v>
      </c>
      <c r="F248" s="55">
        <f>'Etape 1'!E244</f>
        <v>0</v>
      </c>
      <c r="G248" s="55">
        <f>'Etape 1'!F244</f>
        <v>0</v>
      </c>
      <c r="H248" s="55">
        <f>'Etape 1'!G244</f>
        <v>0</v>
      </c>
      <c r="I248" s="209">
        <v>1</v>
      </c>
      <c r="J248" s="58">
        <f t="shared" si="240"/>
        <v>0</v>
      </c>
      <c r="K248" s="21">
        <f t="shared" si="241"/>
        <v>0</v>
      </c>
      <c r="L248" s="21">
        <f t="shared" si="242"/>
        <v>0</v>
      </c>
      <c r="M248" s="21">
        <f t="shared" ca="1" si="243"/>
        <v>3</v>
      </c>
      <c r="N248" s="21">
        <f t="shared" ca="1" si="244"/>
        <v>3</v>
      </c>
      <c r="O248" s="21">
        <f t="shared" ca="1" si="245"/>
        <v>0</v>
      </c>
      <c r="P248" s="262" t="str">
        <f>IF('Etape 1'!J244=999,"",IF('Etape 1'!J244=9999,txt_Schritt1.Angaben.fehlen,VLOOKUP(N248,Matrix_1.2.3.Test.Punkte.ID.Beurteilung,4,1)))</f>
        <v/>
      </c>
      <c r="Q248" s="21">
        <f t="shared" ca="1" si="246"/>
        <v>0</v>
      </c>
      <c r="R248" s="136">
        <f t="shared" si="233"/>
        <v>237</v>
      </c>
      <c r="S248" s="136">
        <f t="shared" ca="1" si="230"/>
        <v>162.78737541528238</v>
      </c>
      <c r="T248" s="136">
        <f t="shared" ca="1" si="234"/>
        <v>750.78737541528244</v>
      </c>
      <c r="U248" s="136">
        <f t="shared" ca="1" si="235"/>
        <v>1224000.7873754152</v>
      </c>
      <c r="V248" s="211">
        <f t="shared" ca="1" si="236"/>
        <v>235406.97941973468</v>
      </c>
      <c r="W248" s="136">
        <f t="shared" ca="1" si="231"/>
        <v>237</v>
      </c>
      <c r="X248" s="136">
        <f t="shared" ca="1" si="247"/>
        <v>162.999000999001</v>
      </c>
      <c r="Y248" s="21">
        <f t="shared" si="248"/>
        <v>1</v>
      </c>
      <c r="Z248" s="21" t="str">
        <f t="shared" si="249"/>
        <v>&lt;IE0</v>
      </c>
      <c r="AA248" s="21">
        <f t="shared" si="250"/>
        <v>1</v>
      </c>
      <c r="AB248" s="21" t="str">
        <f t="shared" si="251"/>
        <v>a - "&lt; 1990 (Eff3)"</v>
      </c>
      <c r="AC248" s="21">
        <f t="shared" si="252"/>
        <v>999999</v>
      </c>
      <c r="AD248" s="21" t="str">
        <f t="shared" si="253"/>
        <v/>
      </c>
      <c r="AE248" s="21" t="str">
        <f t="shared" si="254"/>
        <v/>
      </c>
      <c r="AF248" s="21" t="str">
        <f t="shared" si="255"/>
        <v/>
      </c>
      <c r="AG248" s="21">
        <f t="shared" si="256"/>
        <v>0</v>
      </c>
      <c r="AH248" s="21">
        <f>IF('Etape 1'!H244=St.Wert_Hacken,1,0)</f>
        <v>0</v>
      </c>
      <c r="AI248" s="21">
        <f t="shared" si="257"/>
        <v>0</v>
      </c>
      <c r="AJ248" s="21">
        <f t="shared" si="258"/>
        <v>1000999</v>
      </c>
      <c r="AK248" s="58">
        <f t="shared" si="259"/>
        <v>1100</v>
      </c>
      <c r="AL248" s="58">
        <f t="shared" si="260"/>
        <v>440</v>
      </c>
      <c r="AM248" s="21">
        <f t="shared" si="261"/>
        <v>0</v>
      </c>
      <c r="AN248" s="58">
        <f t="shared" si="262"/>
        <v>1</v>
      </c>
      <c r="AO248" s="58" t="str">
        <f t="shared" si="263"/>
        <v>114</v>
      </c>
      <c r="AP248" s="58" t="str">
        <f t="shared" si="264"/>
        <v>164</v>
      </c>
      <c r="AQ248" s="21" t="e">
        <f t="shared" si="265"/>
        <v>#NUM!</v>
      </c>
      <c r="AR248" s="21" t="e">
        <f t="shared" si="266"/>
        <v>#NUM!</v>
      </c>
      <c r="AS248" s="136" t="e">
        <f t="shared" si="237"/>
        <v>#NUM!</v>
      </c>
      <c r="AT248" s="59" t="e">
        <f t="shared" si="267"/>
        <v>#NUM!</v>
      </c>
      <c r="AU248" s="21" t="e">
        <f t="shared" si="268"/>
        <v>#NUM!</v>
      </c>
      <c r="AV248" s="58">
        <f t="shared" si="269"/>
        <v>1500</v>
      </c>
      <c r="AW248" s="58">
        <f t="shared" si="270"/>
        <v>600</v>
      </c>
      <c r="AX248" s="60">
        <f t="shared" si="271"/>
        <v>0.11</v>
      </c>
      <c r="AY248" s="212">
        <f t="shared" si="238"/>
        <v>0</v>
      </c>
      <c r="AZ248" s="59">
        <f t="shared" si="272"/>
        <v>0</v>
      </c>
      <c r="BA248" s="21" t="e">
        <f t="shared" si="273"/>
        <v>#DIV/0!</v>
      </c>
      <c r="BB248" s="58">
        <f t="shared" si="274"/>
        <v>2900</v>
      </c>
      <c r="BC248" s="58">
        <f t="shared" si="275"/>
        <v>1160</v>
      </c>
      <c r="BD248" s="60">
        <f t="shared" si="276"/>
        <v>0.15</v>
      </c>
      <c r="BE248" s="212" t="e">
        <f t="shared" si="239"/>
        <v>#NUM!</v>
      </c>
      <c r="BF248" s="59" t="e">
        <f t="shared" si="277"/>
        <v>#NUM!</v>
      </c>
      <c r="BG248" s="21" t="e">
        <f t="shared" si="278"/>
        <v>#NUM!</v>
      </c>
      <c r="BH248" s="55">
        <f t="shared" ca="1" si="232"/>
        <v>0</v>
      </c>
    </row>
    <row r="249" spans="1:60" x14ac:dyDescent="0.2">
      <c r="A249" s="61">
        <f ca="1">RANK(W249,W$12:W$311,0)+COUNTIF(W$12:W249,W249)-1</f>
        <v>63</v>
      </c>
      <c r="B249" s="55">
        <f>'Etape 1'!A245</f>
        <v>238</v>
      </c>
      <c r="C249" s="55">
        <f>'Etape 1'!B245</f>
        <v>0</v>
      </c>
      <c r="D249" s="55">
        <f>'Etape 1'!C245</f>
        <v>0</v>
      </c>
      <c r="E249" s="55">
        <f>'Etape 1'!D245</f>
        <v>0</v>
      </c>
      <c r="F249" s="55">
        <f>'Etape 1'!E245</f>
        <v>0</v>
      </c>
      <c r="G249" s="55">
        <f>'Etape 1'!F245</f>
        <v>0</v>
      </c>
      <c r="H249" s="55">
        <f>'Etape 1'!G245</f>
        <v>0</v>
      </c>
      <c r="I249" s="209">
        <v>1</v>
      </c>
      <c r="J249" s="58">
        <f t="shared" si="240"/>
        <v>0</v>
      </c>
      <c r="K249" s="21">
        <f t="shared" si="241"/>
        <v>0</v>
      </c>
      <c r="L249" s="21">
        <f t="shared" si="242"/>
        <v>0</v>
      </c>
      <c r="M249" s="21">
        <f t="shared" ca="1" si="243"/>
        <v>3</v>
      </c>
      <c r="N249" s="21">
        <f t="shared" ca="1" si="244"/>
        <v>3</v>
      </c>
      <c r="O249" s="21">
        <f t="shared" ca="1" si="245"/>
        <v>0</v>
      </c>
      <c r="P249" s="262" t="str">
        <f>IF('Etape 1'!J245=999,"",IF('Etape 1'!J245=9999,txt_Schritt1.Angaben.fehlen,VLOOKUP(N249,Matrix_1.2.3.Test.Punkte.ID.Beurteilung,4,1)))</f>
        <v/>
      </c>
      <c r="Q249" s="21">
        <f t="shared" ca="1" si="246"/>
        <v>0</v>
      </c>
      <c r="R249" s="136">
        <f t="shared" si="233"/>
        <v>238</v>
      </c>
      <c r="S249" s="136">
        <f t="shared" ca="1" si="230"/>
        <v>162.7906976744186</v>
      </c>
      <c r="T249" s="136">
        <f t="shared" ca="1" si="234"/>
        <v>750.79069767441865</v>
      </c>
      <c r="U249" s="136">
        <f t="shared" ca="1" si="235"/>
        <v>1224000.7906976745</v>
      </c>
      <c r="V249" s="211">
        <f t="shared" ca="1" si="236"/>
        <v>235406.98274199382</v>
      </c>
      <c r="W249" s="136">
        <f t="shared" ca="1" si="231"/>
        <v>238</v>
      </c>
      <c r="X249" s="136">
        <f t="shared" ca="1" si="247"/>
        <v>162.999000999001</v>
      </c>
      <c r="Y249" s="21">
        <f t="shared" si="248"/>
        <v>1</v>
      </c>
      <c r="Z249" s="21" t="str">
        <f t="shared" si="249"/>
        <v>&lt;IE0</v>
      </c>
      <c r="AA249" s="21">
        <f t="shared" si="250"/>
        <v>1</v>
      </c>
      <c r="AB249" s="21" t="str">
        <f t="shared" si="251"/>
        <v>a - "&lt; 1990 (Eff3)"</v>
      </c>
      <c r="AC249" s="21">
        <f t="shared" si="252"/>
        <v>999999</v>
      </c>
      <c r="AD249" s="21" t="str">
        <f t="shared" si="253"/>
        <v/>
      </c>
      <c r="AE249" s="21" t="str">
        <f t="shared" si="254"/>
        <v/>
      </c>
      <c r="AF249" s="21" t="str">
        <f t="shared" si="255"/>
        <v/>
      </c>
      <c r="AG249" s="21">
        <f t="shared" si="256"/>
        <v>0</v>
      </c>
      <c r="AH249" s="21">
        <f>IF('Etape 1'!H245=St.Wert_Hacken,1,0)</f>
        <v>0</v>
      </c>
      <c r="AI249" s="21">
        <f t="shared" si="257"/>
        <v>0</v>
      </c>
      <c r="AJ249" s="21">
        <f t="shared" si="258"/>
        <v>1000999</v>
      </c>
      <c r="AK249" s="58">
        <f t="shared" si="259"/>
        <v>1100</v>
      </c>
      <c r="AL249" s="58">
        <f t="shared" si="260"/>
        <v>440</v>
      </c>
      <c r="AM249" s="21">
        <f t="shared" si="261"/>
        <v>0</v>
      </c>
      <c r="AN249" s="58">
        <f t="shared" si="262"/>
        <v>1</v>
      </c>
      <c r="AO249" s="58" t="str">
        <f t="shared" si="263"/>
        <v>114</v>
      </c>
      <c r="AP249" s="58" t="str">
        <f t="shared" si="264"/>
        <v>164</v>
      </c>
      <c r="AQ249" s="21" t="e">
        <f t="shared" si="265"/>
        <v>#NUM!</v>
      </c>
      <c r="AR249" s="21" t="e">
        <f t="shared" si="266"/>
        <v>#NUM!</v>
      </c>
      <c r="AS249" s="136" t="e">
        <f t="shared" si="237"/>
        <v>#NUM!</v>
      </c>
      <c r="AT249" s="59" t="e">
        <f t="shared" si="267"/>
        <v>#NUM!</v>
      </c>
      <c r="AU249" s="21" t="e">
        <f t="shared" si="268"/>
        <v>#NUM!</v>
      </c>
      <c r="AV249" s="58">
        <f t="shared" si="269"/>
        <v>1500</v>
      </c>
      <c r="AW249" s="58">
        <f t="shared" si="270"/>
        <v>600</v>
      </c>
      <c r="AX249" s="60">
        <f t="shared" si="271"/>
        <v>0.11</v>
      </c>
      <c r="AY249" s="212">
        <f t="shared" si="238"/>
        <v>0</v>
      </c>
      <c r="AZ249" s="59">
        <f t="shared" si="272"/>
        <v>0</v>
      </c>
      <c r="BA249" s="21" t="e">
        <f t="shared" si="273"/>
        <v>#DIV/0!</v>
      </c>
      <c r="BB249" s="58">
        <f t="shared" si="274"/>
        <v>2900</v>
      </c>
      <c r="BC249" s="58">
        <f t="shared" si="275"/>
        <v>1160</v>
      </c>
      <c r="BD249" s="60">
        <f t="shared" si="276"/>
        <v>0.15</v>
      </c>
      <c r="BE249" s="212" t="e">
        <f t="shared" si="239"/>
        <v>#NUM!</v>
      </c>
      <c r="BF249" s="59" t="e">
        <f t="shared" si="277"/>
        <v>#NUM!</v>
      </c>
      <c r="BG249" s="21" t="e">
        <f t="shared" si="278"/>
        <v>#NUM!</v>
      </c>
      <c r="BH249" s="55">
        <f t="shared" ca="1" si="232"/>
        <v>0</v>
      </c>
    </row>
    <row r="250" spans="1:60" x14ac:dyDescent="0.2">
      <c r="A250" s="61">
        <f ca="1">RANK(W250,W$12:W$311,0)+COUNTIF(W$12:W250,W250)-1</f>
        <v>62</v>
      </c>
      <c r="B250" s="55">
        <f>'Etape 1'!A246</f>
        <v>239</v>
      </c>
      <c r="C250" s="55">
        <f>'Etape 1'!B246</f>
        <v>0</v>
      </c>
      <c r="D250" s="55">
        <f>'Etape 1'!C246</f>
        <v>0</v>
      </c>
      <c r="E250" s="55">
        <f>'Etape 1'!D246</f>
        <v>0</v>
      </c>
      <c r="F250" s="55">
        <f>'Etape 1'!E246</f>
        <v>0</v>
      </c>
      <c r="G250" s="55">
        <f>'Etape 1'!F246</f>
        <v>0</v>
      </c>
      <c r="H250" s="55">
        <f>'Etape 1'!G246</f>
        <v>0</v>
      </c>
      <c r="I250" s="209">
        <v>1</v>
      </c>
      <c r="J250" s="58">
        <f t="shared" si="240"/>
        <v>0</v>
      </c>
      <c r="K250" s="21">
        <f t="shared" si="241"/>
        <v>0</v>
      </c>
      <c r="L250" s="21">
        <f t="shared" si="242"/>
        <v>0</v>
      </c>
      <c r="M250" s="21">
        <f t="shared" ca="1" si="243"/>
        <v>3</v>
      </c>
      <c r="N250" s="21">
        <f t="shared" ca="1" si="244"/>
        <v>3</v>
      </c>
      <c r="O250" s="21">
        <f t="shared" ca="1" si="245"/>
        <v>0</v>
      </c>
      <c r="P250" s="262" t="str">
        <f>IF('Etape 1'!J246=999,"",IF('Etape 1'!J246=9999,txt_Schritt1.Angaben.fehlen,VLOOKUP(N250,Matrix_1.2.3.Test.Punkte.ID.Beurteilung,4,1)))</f>
        <v/>
      </c>
      <c r="Q250" s="21">
        <f t="shared" ca="1" si="246"/>
        <v>0</v>
      </c>
      <c r="R250" s="136">
        <f t="shared" si="233"/>
        <v>239</v>
      </c>
      <c r="S250" s="136">
        <f t="shared" ca="1" si="230"/>
        <v>162.79401993355481</v>
      </c>
      <c r="T250" s="136">
        <f t="shared" ca="1" si="234"/>
        <v>750.79401993355486</v>
      </c>
      <c r="U250" s="136">
        <f t="shared" ca="1" si="235"/>
        <v>1224000.7940199336</v>
      </c>
      <c r="V250" s="211">
        <f t="shared" ca="1" si="236"/>
        <v>235406.98606425297</v>
      </c>
      <c r="W250" s="136">
        <f t="shared" ca="1" si="231"/>
        <v>239</v>
      </c>
      <c r="X250" s="136">
        <f t="shared" ca="1" si="247"/>
        <v>162.999000999001</v>
      </c>
      <c r="Y250" s="21">
        <f t="shared" si="248"/>
        <v>1</v>
      </c>
      <c r="Z250" s="21" t="str">
        <f t="shared" si="249"/>
        <v>&lt;IE0</v>
      </c>
      <c r="AA250" s="21">
        <f t="shared" si="250"/>
        <v>1</v>
      </c>
      <c r="AB250" s="21" t="str">
        <f t="shared" si="251"/>
        <v>a - "&lt; 1990 (Eff3)"</v>
      </c>
      <c r="AC250" s="21">
        <f t="shared" si="252"/>
        <v>999999</v>
      </c>
      <c r="AD250" s="21" t="str">
        <f t="shared" si="253"/>
        <v/>
      </c>
      <c r="AE250" s="21" t="str">
        <f t="shared" si="254"/>
        <v/>
      </c>
      <c r="AF250" s="21" t="str">
        <f t="shared" si="255"/>
        <v/>
      </c>
      <c r="AG250" s="21">
        <f t="shared" si="256"/>
        <v>0</v>
      </c>
      <c r="AH250" s="21">
        <f>IF('Etape 1'!H246=St.Wert_Hacken,1,0)</f>
        <v>0</v>
      </c>
      <c r="AI250" s="21">
        <f t="shared" si="257"/>
        <v>0</v>
      </c>
      <c r="AJ250" s="21">
        <f t="shared" si="258"/>
        <v>1000999</v>
      </c>
      <c r="AK250" s="58">
        <f t="shared" si="259"/>
        <v>1100</v>
      </c>
      <c r="AL250" s="58">
        <f t="shared" si="260"/>
        <v>440</v>
      </c>
      <c r="AM250" s="21">
        <f t="shared" si="261"/>
        <v>0</v>
      </c>
      <c r="AN250" s="58">
        <f t="shared" si="262"/>
        <v>1</v>
      </c>
      <c r="AO250" s="58" t="str">
        <f t="shared" si="263"/>
        <v>114</v>
      </c>
      <c r="AP250" s="58" t="str">
        <f t="shared" si="264"/>
        <v>164</v>
      </c>
      <c r="AQ250" s="21" t="e">
        <f t="shared" si="265"/>
        <v>#NUM!</v>
      </c>
      <c r="AR250" s="21" t="e">
        <f t="shared" si="266"/>
        <v>#NUM!</v>
      </c>
      <c r="AS250" s="136" t="e">
        <f t="shared" si="237"/>
        <v>#NUM!</v>
      </c>
      <c r="AT250" s="59" t="e">
        <f t="shared" si="267"/>
        <v>#NUM!</v>
      </c>
      <c r="AU250" s="21" t="e">
        <f t="shared" si="268"/>
        <v>#NUM!</v>
      </c>
      <c r="AV250" s="58">
        <f t="shared" si="269"/>
        <v>1500</v>
      </c>
      <c r="AW250" s="58">
        <f t="shared" si="270"/>
        <v>600</v>
      </c>
      <c r="AX250" s="60">
        <f t="shared" si="271"/>
        <v>0.11</v>
      </c>
      <c r="AY250" s="212">
        <f t="shared" si="238"/>
        <v>0</v>
      </c>
      <c r="AZ250" s="59">
        <f t="shared" si="272"/>
        <v>0</v>
      </c>
      <c r="BA250" s="21" t="e">
        <f t="shared" si="273"/>
        <v>#DIV/0!</v>
      </c>
      <c r="BB250" s="58">
        <f t="shared" si="274"/>
        <v>2900</v>
      </c>
      <c r="BC250" s="58">
        <f t="shared" si="275"/>
        <v>1160</v>
      </c>
      <c r="BD250" s="60">
        <f t="shared" si="276"/>
        <v>0.15</v>
      </c>
      <c r="BE250" s="212" t="e">
        <f t="shared" si="239"/>
        <v>#NUM!</v>
      </c>
      <c r="BF250" s="59" t="e">
        <f t="shared" si="277"/>
        <v>#NUM!</v>
      </c>
      <c r="BG250" s="21" t="e">
        <f t="shared" si="278"/>
        <v>#NUM!</v>
      </c>
      <c r="BH250" s="55">
        <f t="shared" ca="1" si="232"/>
        <v>0</v>
      </c>
    </row>
    <row r="251" spans="1:60" x14ac:dyDescent="0.2">
      <c r="A251" s="61">
        <f ca="1">RANK(W251,W$12:W$311,0)+COUNTIF(W$12:W251,W251)-1</f>
        <v>61</v>
      </c>
      <c r="B251" s="55">
        <f>'Etape 1'!A247</f>
        <v>240</v>
      </c>
      <c r="C251" s="55">
        <f>'Etape 1'!B247</f>
        <v>0</v>
      </c>
      <c r="D251" s="55">
        <f>'Etape 1'!C247</f>
        <v>0</v>
      </c>
      <c r="E251" s="55">
        <f>'Etape 1'!D247</f>
        <v>0</v>
      </c>
      <c r="F251" s="55">
        <f>'Etape 1'!E247</f>
        <v>0</v>
      </c>
      <c r="G251" s="55">
        <f>'Etape 1'!F247</f>
        <v>0</v>
      </c>
      <c r="H251" s="55">
        <f>'Etape 1'!G247</f>
        <v>0</v>
      </c>
      <c r="I251" s="209">
        <v>1</v>
      </c>
      <c r="J251" s="58">
        <f t="shared" si="240"/>
        <v>0</v>
      </c>
      <c r="K251" s="21">
        <f t="shared" si="241"/>
        <v>0</v>
      </c>
      <c r="L251" s="21">
        <f t="shared" si="242"/>
        <v>0</v>
      </c>
      <c r="M251" s="21">
        <f t="shared" ca="1" si="243"/>
        <v>3</v>
      </c>
      <c r="N251" s="21">
        <f t="shared" ca="1" si="244"/>
        <v>3</v>
      </c>
      <c r="O251" s="21">
        <f t="shared" ca="1" si="245"/>
        <v>0</v>
      </c>
      <c r="P251" s="262" t="str">
        <f>IF('Etape 1'!J247=999,"",IF('Etape 1'!J247=9999,txt_Schritt1.Angaben.fehlen,VLOOKUP(N251,Matrix_1.2.3.Test.Punkte.ID.Beurteilung,4,1)))</f>
        <v/>
      </c>
      <c r="Q251" s="21">
        <f t="shared" ca="1" si="246"/>
        <v>0</v>
      </c>
      <c r="R251" s="136">
        <f t="shared" si="233"/>
        <v>240</v>
      </c>
      <c r="S251" s="136">
        <f t="shared" ca="1" si="230"/>
        <v>162.79734219269102</v>
      </c>
      <c r="T251" s="136">
        <f t="shared" ca="1" si="234"/>
        <v>750.79734219269108</v>
      </c>
      <c r="U251" s="136">
        <f t="shared" ca="1" si="235"/>
        <v>1224000.7973421926</v>
      </c>
      <c r="V251" s="211">
        <f t="shared" ca="1" si="236"/>
        <v>235406.98938651211</v>
      </c>
      <c r="W251" s="136">
        <f t="shared" ca="1" si="231"/>
        <v>240</v>
      </c>
      <c r="X251" s="136">
        <f t="shared" ca="1" si="247"/>
        <v>162.999000999001</v>
      </c>
      <c r="Y251" s="21">
        <f t="shared" si="248"/>
        <v>1</v>
      </c>
      <c r="Z251" s="21" t="str">
        <f t="shared" si="249"/>
        <v>&lt;IE0</v>
      </c>
      <c r="AA251" s="21">
        <f t="shared" si="250"/>
        <v>1</v>
      </c>
      <c r="AB251" s="21" t="str">
        <f t="shared" si="251"/>
        <v>a - "&lt; 1990 (Eff3)"</v>
      </c>
      <c r="AC251" s="21">
        <f t="shared" si="252"/>
        <v>999999</v>
      </c>
      <c r="AD251" s="21" t="str">
        <f t="shared" si="253"/>
        <v/>
      </c>
      <c r="AE251" s="21" t="str">
        <f t="shared" si="254"/>
        <v/>
      </c>
      <c r="AF251" s="21" t="str">
        <f t="shared" si="255"/>
        <v/>
      </c>
      <c r="AG251" s="21">
        <f t="shared" si="256"/>
        <v>0</v>
      </c>
      <c r="AH251" s="21">
        <f>IF('Etape 1'!H247=St.Wert_Hacken,1,0)</f>
        <v>0</v>
      </c>
      <c r="AI251" s="21">
        <f t="shared" si="257"/>
        <v>0</v>
      </c>
      <c r="AJ251" s="21">
        <f t="shared" si="258"/>
        <v>1000999</v>
      </c>
      <c r="AK251" s="58">
        <f t="shared" si="259"/>
        <v>1100</v>
      </c>
      <c r="AL251" s="58">
        <f t="shared" si="260"/>
        <v>440</v>
      </c>
      <c r="AM251" s="21">
        <f t="shared" si="261"/>
        <v>0</v>
      </c>
      <c r="AN251" s="58">
        <f t="shared" si="262"/>
        <v>1</v>
      </c>
      <c r="AO251" s="58" t="str">
        <f t="shared" si="263"/>
        <v>114</v>
      </c>
      <c r="AP251" s="58" t="str">
        <f t="shared" si="264"/>
        <v>164</v>
      </c>
      <c r="AQ251" s="21" t="e">
        <f t="shared" si="265"/>
        <v>#NUM!</v>
      </c>
      <c r="AR251" s="21" t="e">
        <f t="shared" si="266"/>
        <v>#NUM!</v>
      </c>
      <c r="AS251" s="136" t="e">
        <f t="shared" si="237"/>
        <v>#NUM!</v>
      </c>
      <c r="AT251" s="59" t="e">
        <f t="shared" si="267"/>
        <v>#NUM!</v>
      </c>
      <c r="AU251" s="21" t="e">
        <f t="shared" si="268"/>
        <v>#NUM!</v>
      </c>
      <c r="AV251" s="58">
        <f t="shared" si="269"/>
        <v>1500</v>
      </c>
      <c r="AW251" s="58">
        <f t="shared" si="270"/>
        <v>600</v>
      </c>
      <c r="AX251" s="60">
        <f t="shared" si="271"/>
        <v>0.11</v>
      </c>
      <c r="AY251" s="212">
        <f t="shared" si="238"/>
        <v>0</v>
      </c>
      <c r="AZ251" s="59">
        <f t="shared" si="272"/>
        <v>0</v>
      </c>
      <c r="BA251" s="21" t="e">
        <f t="shared" si="273"/>
        <v>#DIV/0!</v>
      </c>
      <c r="BB251" s="58">
        <f t="shared" si="274"/>
        <v>2900</v>
      </c>
      <c r="BC251" s="58">
        <f t="shared" si="275"/>
        <v>1160</v>
      </c>
      <c r="BD251" s="60">
        <f t="shared" si="276"/>
        <v>0.15</v>
      </c>
      <c r="BE251" s="212" t="e">
        <f t="shared" si="239"/>
        <v>#NUM!</v>
      </c>
      <c r="BF251" s="59" t="e">
        <f t="shared" si="277"/>
        <v>#NUM!</v>
      </c>
      <c r="BG251" s="21" t="e">
        <f t="shared" si="278"/>
        <v>#NUM!</v>
      </c>
      <c r="BH251" s="55">
        <f t="shared" ca="1" si="232"/>
        <v>0</v>
      </c>
    </row>
    <row r="252" spans="1:60" x14ac:dyDescent="0.2">
      <c r="A252" s="61">
        <f ca="1">RANK(W252,W$12:W$311,0)+COUNTIF(W$12:W252,W252)-1</f>
        <v>60</v>
      </c>
      <c r="B252" s="55">
        <f>'Etape 1'!A248</f>
        <v>241</v>
      </c>
      <c r="C252" s="55">
        <f>'Etape 1'!B248</f>
        <v>0</v>
      </c>
      <c r="D252" s="55">
        <f>'Etape 1'!C248</f>
        <v>0</v>
      </c>
      <c r="E252" s="55">
        <f>'Etape 1'!D248</f>
        <v>0</v>
      </c>
      <c r="F252" s="55">
        <f>'Etape 1'!E248</f>
        <v>0</v>
      </c>
      <c r="G252" s="55">
        <f>'Etape 1'!F248</f>
        <v>0</v>
      </c>
      <c r="H252" s="55">
        <f>'Etape 1'!G248</f>
        <v>0</v>
      </c>
      <c r="I252" s="209">
        <v>1</v>
      </c>
      <c r="J252" s="58">
        <f t="shared" si="240"/>
        <v>0</v>
      </c>
      <c r="K252" s="21">
        <f t="shared" si="241"/>
        <v>0</v>
      </c>
      <c r="L252" s="21">
        <f t="shared" si="242"/>
        <v>0</v>
      </c>
      <c r="M252" s="21">
        <f t="shared" ca="1" si="243"/>
        <v>3</v>
      </c>
      <c r="N252" s="21">
        <f t="shared" ca="1" si="244"/>
        <v>3</v>
      </c>
      <c r="O252" s="21">
        <f t="shared" ca="1" si="245"/>
        <v>0</v>
      </c>
      <c r="P252" s="262" t="str">
        <f>IF('Etape 1'!J248=999,"",IF('Etape 1'!J248=9999,txt_Schritt1.Angaben.fehlen,VLOOKUP(N252,Matrix_1.2.3.Test.Punkte.ID.Beurteilung,4,1)))</f>
        <v/>
      </c>
      <c r="Q252" s="21">
        <f t="shared" ca="1" si="246"/>
        <v>0</v>
      </c>
      <c r="R252" s="136">
        <f t="shared" si="233"/>
        <v>241</v>
      </c>
      <c r="S252" s="136">
        <f t="shared" ca="1" si="230"/>
        <v>162.80066445182723</v>
      </c>
      <c r="T252" s="136">
        <f t="shared" ca="1" si="234"/>
        <v>750.80066445182729</v>
      </c>
      <c r="U252" s="136">
        <f t="shared" ca="1" si="235"/>
        <v>1224000.8006644519</v>
      </c>
      <c r="V252" s="211">
        <f t="shared" ca="1" si="236"/>
        <v>235406.99270877123</v>
      </c>
      <c r="W252" s="136">
        <f t="shared" ca="1" si="231"/>
        <v>241</v>
      </c>
      <c r="X252" s="136">
        <f t="shared" ca="1" si="247"/>
        <v>162.999000999001</v>
      </c>
      <c r="Y252" s="21">
        <f t="shared" si="248"/>
        <v>1</v>
      </c>
      <c r="Z252" s="21" t="str">
        <f t="shared" si="249"/>
        <v>&lt;IE0</v>
      </c>
      <c r="AA252" s="21">
        <f t="shared" si="250"/>
        <v>1</v>
      </c>
      <c r="AB252" s="21" t="str">
        <f t="shared" si="251"/>
        <v>a - "&lt; 1990 (Eff3)"</v>
      </c>
      <c r="AC252" s="21">
        <f t="shared" si="252"/>
        <v>999999</v>
      </c>
      <c r="AD252" s="21" t="str">
        <f t="shared" si="253"/>
        <v/>
      </c>
      <c r="AE252" s="21" t="str">
        <f t="shared" si="254"/>
        <v/>
      </c>
      <c r="AF252" s="21" t="str">
        <f t="shared" si="255"/>
        <v/>
      </c>
      <c r="AG252" s="21">
        <f t="shared" si="256"/>
        <v>0</v>
      </c>
      <c r="AH252" s="21">
        <f>IF('Etape 1'!H248=St.Wert_Hacken,1,0)</f>
        <v>0</v>
      </c>
      <c r="AI252" s="21">
        <f t="shared" si="257"/>
        <v>0</v>
      </c>
      <c r="AJ252" s="21">
        <f t="shared" si="258"/>
        <v>1000999</v>
      </c>
      <c r="AK252" s="58">
        <f t="shared" si="259"/>
        <v>1100</v>
      </c>
      <c r="AL252" s="58">
        <f t="shared" si="260"/>
        <v>440</v>
      </c>
      <c r="AM252" s="21">
        <f t="shared" si="261"/>
        <v>0</v>
      </c>
      <c r="AN252" s="58">
        <f t="shared" si="262"/>
        <v>1</v>
      </c>
      <c r="AO252" s="58" t="str">
        <f t="shared" si="263"/>
        <v>114</v>
      </c>
      <c r="AP252" s="58" t="str">
        <f t="shared" si="264"/>
        <v>164</v>
      </c>
      <c r="AQ252" s="21" t="e">
        <f t="shared" si="265"/>
        <v>#NUM!</v>
      </c>
      <c r="AR252" s="21" t="e">
        <f t="shared" si="266"/>
        <v>#NUM!</v>
      </c>
      <c r="AS252" s="136" t="e">
        <f t="shared" si="237"/>
        <v>#NUM!</v>
      </c>
      <c r="AT252" s="59" t="e">
        <f t="shared" si="267"/>
        <v>#NUM!</v>
      </c>
      <c r="AU252" s="21" t="e">
        <f t="shared" si="268"/>
        <v>#NUM!</v>
      </c>
      <c r="AV252" s="58">
        <f t="shared" si="269"/>
        <v>1500</v>
      </c>
      <c r="AW252" s="58">
        <f t="shared" si="270"/>
        <v>600</v>
      </c>
      <c r="AX252" s="60">
        <f t="shared" si="271"/>
        <v>0.11</v>
      </c>
      <c r="AY252" s="212">
        <f t="shared" si="238"/>
        <v>0</v>
      </c>
      <c r="AZ252" s="59">
        <f t="shared" si="272"/>
        <v>0</v>
      </c>
      <c r="BA252" s="21" t="e">
        <f t="shared" si="273"/>
        <v>#DIV/0!</v>
      </c>
      <c r="BB252" s="58">
        <f t="shared" si="274"/>
        <v>2900</v>
      </c>
      <c r="BC252" s="58">
        <f t="shared" si="275"/>
        <v>1160</v>
      </c>
      <c r="BD252" s="60">
        <f t="shared" si="276"/>
        <v>0.15</v>
      </c>
      <c r="BE252" s="212" t="e">
        <f t="shared" si="239"/>
        <v>#NUM!</v>
      </c>
      <c r="BF252" s="59" t="e">
        <f t="shared" si="277"/>
        <v>#NUM!</v>
      </c>
      <c r="BG252" s="21" t="e">
        <f t="shared" si="278"/>
        <v>#NUM!</v>
      </c>
      <c r="BH252" s="55">
        <f t="shared" ca="1" si="232"/>
        <v>0</v>
      </c>
    </row>
    <row r="253" spans="1:60" x14ac:dyDescent="0.2">
      <c r="A253" s="61">
        <f ca="1">RANK(W253,W$12:W$311,0)+COUNTIF(W$12:W253,W253)-1</f>
        <v>59</v>
      </c>
      <c r="B253" s="55">
        <f>'Etape 1'!A249</f>
        <v>242</v>
      </c>
      <c r="C253" s="55">
        <f>'Etape 1'!B249</f>
        <v>0</v>
      </c>
      <c r="D253" s="55">
        <f>'Etape 1'!C249</f>
        <v>0</v>
      </c>
      <c r="E253" s="55">
        <f>'Etape 1'!D249</f>
        <v>0</v>
      </c>
      <c r="F253" s="55">
        <f>'Etape 1'!E249</f>
        <v>0</v>
      </c>
      <c r="G253" s="55">
        <f>'Etape 1'!F249</f>
        <v>0</v>
      </c>
      <c r="H253" s="55">
        <f>'Etape 1'!G249</f>
        <v>0</v>
      </c>
      <c r="I253" s="209">
        <v>1</v>
      </c>
      <c r="J253" s="58">
        <f t="shared" si="240"/>
        <v>0</v>
      </c>
      <c r="K253" s="21">
        <f t="shared" si="241"/>
        <v>0</v>
      </c>
      <c r="L253" s="21">
        <f t="shared" si="242"/>
        <v>0</v>
      </c>
      <c r="M253" s="21">
        <f t="shared" ca="1" si="243"/>
        <v>3</v>
      </c>
      <c r="N253" s="21">
        <f t="shared" ca="1" si="244"/>
        <v>3</v>
      </c>
      <c r="O253" s="21">
        <f t="shared" ca="1" si="245"/>
        <v>0</v>
      </c>
      <c r="P253" s="262" t="str">
        <f>IF('Etape 1'!J249=999,"",IF('Etape 1'!J249=9999,txt_Schritt1.Angaben.fehlen,VLOOKUP(N253,Matrix_1.2.3.Test.Punkte.ID.Beurteilung,4,1)))</f>
        <v/>
      </c>
      <c r="Q253" s="21">
        <f t="shared" ca="1" si="246"/>
        <v>0</v>
      </c>
      <c r="R253" s="136">
        <f t="shared" si="233"/>
        <v>242</v>
      </c>
      <c r="S253" s="136">
        <f t="shared" ca="1" si="230"/>
        <v>162.80398671096344</v>
      </c>
      <c r="T253" s="136">
        <f t="shared" ca="1" si="234"/>
        <v>750.8039867109635</v>
      </c>
      <c r="U253" s="136">
        <f t="shared" ca="1" si="235"/>
        <v>1224000.803986711</v>
      </c>
      <c r="V253" s="211">
        <f t="shared" ca="1" si="236"/>
        <v>235406.99603103037</v>
      </c>
      <c r="W253" s="136">
        <f t="shared" ca="1" si="231"/>
        <v>242</v>
      </c>
      <c r="X253" s="136">
        <f t="shared" ca="1" si="247"/>
        <v>162.999000999001</v>
      </c>
      <c r="Y253" s="21">
        <f t="shared" si="248"/>
        <v>1</v>
      </c>
      <c r="Z253" s="21" t="str">
        <f t="shared" si="249"/>
        <v>&lt;IE0</v>
      </c>
      <c r="AA253" s="21">
        <f t="shared" si="250"/>
        <v>1</v>
      </c>
      <c r="AB253" s="21" t="str">
        <f t="shared" si="251"/>
        <v>a - "&lt; 1990 (Eff3)"</v>
      </c>
      <c r="AC253" s="21">
        <f t="shared" si="252"/>
        <v>999999</v>
      </c>
      <c r="AD253" s="21" t="str">
        <f t="shared" si="253"/>
        <v/>
      </c>
      <c r="AE253" s="21" t="str">
        <f t="shared" si="254"/>
        <v/>
      </c>
      <c r="AF253" s="21" t="str">
        <f t="shared" si="255"/>
        <v/>
      </c>
      <c r="AG253" s="21">
        <f t="shared" si="256"/>
        <v>0</v>
      </c>
      <c r="AH253" s="21">
        <f>IF('Etape 1'!H249=St.Wert_Hacken,1,0)</f>
        <v>0</v>
      </c>
      <c r="AI253" s="21">
        <f t="shared" si="257"/>
        <v>0</v>
      </c>
      <c r="AJ253" s="21">
        <f t="shared" si="258"/>
        <v>1000999</v>
      </c>
      <c r="AK253" s="58">
        <f t="shared" si="259"/>
        <v>1100</v>
      </c>
      <c r="AL253" s="58">
        <f t="shared" si="260"/>
        <v>440</v>
      </c>
      <c r="AM253" s="21">
        <f t="shared" si="261"/>
        <v>0</v>
      </c>
      <c r="AN253" s="58">
        <f t="shared" si="262"/>
        <v>1</v>
      </c>
      <c r="AO253" s="58" t="str">
        <f t="shared" si="263"/>
        <v>114</v>
      </c>
      <c r="AP253" s="58" t="str">
        <f t="shared" si="264"/>
        <v>164</v>
      </c>
      <c r="AQ253" s="21" t="e">
        <f t="shared" si="265"/>
        <v>#NUM!</v>
      </c>
      <c r="AR253" s="21" t="e">
        <f t="shared" si="266"/>
        <v>#NUM!</v>
      </c>
      <c r="AS253" s="136" t="e">
        <f t="shared" si="237"/>
        <v>#NUM!</v>
      </c>
      <c r="AT253" s="59" t="e">
        <f t="shared" si="267"/>
        <v>#NUM!</v>
      </c>
      <c r="AU253" s="21" t="e">
        <f t="shared" si="268"/>
        <v>#NUM!</v>
      </c>
      <c r="AV253" s="58">
        <f t="shared" si="269"/>
        <v>1500</v>
      </c>
      <c r="AW253" s="58">
        <f t="shared" si="270"/>
        <v>600</v>
      </c>
      <c r="AX253" s="60">
        <f t="shared" si="271"/>
        <v>0.11</v>
      </c>
      <c r="AY253" s="212">
        <f t="shared" si="238"/>
        <v>0</v>
      </c>
      <c r="AZ253" s="59">
        <f t="shared" si="272"/>
        <v>0</v>
      </c>
      <c r="BA253" s="21" t="e">
        <f t="shared" si="273"/>
        <v>#DIV/0!</v>
      </c>
      <c r="BB253" s="58">
        <f t="shared" si="274"/>
        <v>2900</v>
      </c>
      <c r="BC253" s="58">
        <f t="shared" si="275"/>
        <v>1160</v>
      </c>
      <c r="BD253" s="60">
        <f t="shared" si="276"/>
        <v>0.15</v>
      </c>
      <c r="BE253" s="212" t="e">
        <f t="shared" si="239"/>
        <v>#NUM!</v>
      </c>
      <c r="BF253" s="59" t="e">
        <f t="shared" si="277"/>
        <v>#NUM!</v>
      </c>
      <c r="BG253" s="21" t="e">
        <f t="shared" si="278"/>
        <v>#NUM!</v>
      </c>
      <c r="BH253" s="55">
        <f t="shared" ca="1" si="232"/>
        <v>0</v>
      </c>
    </row>
    <row r="254" spans="1:60" x14ac:dyDescent="0.2">
      <c r="A254" s="61">
        <f ca="1">RANK(W254,W$12:W$311,0)+COUNTIF(W$12:W254,W254)-1</f>
        <v>58</v>
      </c>
      <c r="B254" s="55">
        <f>'Etape 1'!A250</f>
        <v>243</v>
      </c>
      <c r="C254" s="55">
        <f>'Etape 1'!B250</f>
        <v>0</v>
      </c>
      <c r="D254" s="55">
        <f>'Etape 1'!C250</f>
        <v>0</v>
      </c>
      <c r="E254" s="55">
        <f>'Etape 1'!D250</f>
        <v>0</v>
      </c>
      <c r="F254" s="55">
        <f>'Etape 1'!E250</f>
        <v>0</v>
      </c>
      <c r="G254" s="55">
        <f>'Etape 1'!F250</f>
        <v>0</v>
      </c>
      <c r="H254" s="55">
        <f>'Etape 1'!G250</f>
        <v>0</v>
      </c>
      <c r="I254" s="209">
        <v>1</v>
      </c>
      <c r="J254" s="58">
        <f t="shared" si="240"/>
        <v>0</v>
      </c>
      <c r="K254" s="21">
        <f t="shared" si="241"/>
        <v>0</v>
      </c>
      <c r="L254" s="21">
        <f t="shared" si="242"/>
        <v>0</v>
      </c>
      <c r="M254" s="21">
        <f t="shared" ca="1" si="243"/>
        <v>3</v>
      </c>
      <c r="N254" s="21">
        <f t="shared" ca="1" si="244"/>
        <v>3</v>
      </c>
      <c r="O254" s="21">
        <f t="shared" ca="1" si="245"/>
        <v>0</v>
      </c>
      <c r="P254" s="262" t="str">
        <f>IF('Etape 1'!J250=999,"",IF('Etape 1'!J250=9999,txt_Schritt1.Angaben.fehlen,VLOOKUP(N254,Matrix_1.2.3.Test.Punkte.ID.Beurteilung,4,1)))</f>
        <v/>
      </c>
      <c r="Q254" s="21">
        <f t="shared" ca="1" si="246"/>
        <v>0</v>
      </c>
      <c r="R254" s="136">
        <f t="shared" si="233"/>
        <v>243</v>
      </c>
      <c r="S254" s="136">
        <f t="shared" ca="1" si="230"/>
        <v>162.80730897009965</v>
      </c>
      <c r="T254" s="136">
        <f t="shared" ca="1" si="234"/>
        <v>750.80730897009971</v>
      </c>
      <c r="U254" s="136">
        <f t="shared" ca="1" si="235"/>
        <v>1224000.80730897</v>
      </c>
      <c r="V254" s="211">
        <f t="shared" ca="1" si="236"/>
        <v>235406.99935328952</v>
      </c>
      <c r="W254" s="136">
        <f t="shared" ca="1" si="231"/>
        <v>243</v>
      </c>
      <c r="X254" s="136">
        <f t="shared" ca="1" si="247"/>
        <v>162.999000999001</v>
      </c>
      <c r="Y254" s="21">
        <f t="shared" si="248"/>
        <v>1</v>
      </c>
      <c r="Z254" s="21" t="str">
        <f t="shared" si="249"/>
        <v>&lt;IE0</v>
      </c>
      <c r="AA254" s="21">
        <f t="shared" si="250"/>
        <v>1</v>
      </c>
      <c r="AB254" s="21" t="str">
        <f t="shared" si="251"/>
        <v>a - "&lt; 1990 (Eff3)"</v>
      </c>
      <c r="AC254" s="21">
        <f t="shared" si="252"/>
        <v>999999</v>
      </c>
      <c r="AD254" s="21" t="str">
        <f t="shared" si="253"/>
        <v/>
      </c>
      <c r="AE254" s="21" t="str">
        <f t="shared" si="254"/>
        <v/>
      </c>
      <c r="AF254" s="21" t="str">
        <f t="shared" si="255"/>
        <v/>
      </c>
      <c r="AG254" s="21">
        <f t="shared" si="256"/>
        <v>0</v>
      </c>
      <c r="AH254" s="21">
        <f>IF('Etape 1'!H250=St.Wert_Hacken,1,0)</f>
        <v>0</v>
      </c>
      <c r="AI254" s="21">
        <f t="shared" si="257"/>
        <v>0</v>
      </c>
      <c r="AJ254" s="21">
        <f t="shared" si="258"/>
        <v>1000999</v>
      </c>
      <c r="AK254" s="58">
        <f t="shared" si="259"/>
        <v>1100</v>
      </c>
      <c r="AL254" s="58">
        <f t="shared" si="260"/>
        <v>440</v>
      </c>
      <c r="AM254" s="21">
        <f t="shared" si="261"/>
        <v>0</v>
      </c>
      <c r="AN254" s="58">
        <f t="shared" si="262"/>
        <v>1</v>
      </c>
      <c r="AO254" s="58" t="str">
        <f t="shared" si="263"/>
        <v>114</v>
      </c>
      <c r="AP254" s="58" t="str">
        <f t="shared" si="264"/>
        <v>164</v>
      </c>
      <c r="AQ254" s="21" t="e">
        <f t="shared" si="265"/>
        <v>#NUM!</v>
      </c>
      <c r="AR254" s="21" t="e">
        <f t="shared" si="266"/>
        <v>#NUM!</v>
      </c>
      <c r="AS254" s="136" t="e">
        <f t="shared" si="237"/>
        <v>#NUM!</v>
      </c>
      <c r="AT254" s="59" t="e">
        <f t="shared" si="267"/>
        <v>#NUM!</v>
      </c>
      <c r="AU254" s="21" t="e">
        <f t="shared" si="268"/>
        <v>#NUM!</v>
      </c>
      <c r="AV254" s="58">
        <f t="shared" si="269"/>
        <v>1500</v>
      </c>
      <c r="AW254" s="58">
        <f t="shared" si="270"/>
        <v>600</v>
      </c>
      <c r="AX254" s="60">
        <f t="shared" si="271"/>
        <v>0.11</v>
      </c>
      <c r="AY254" s="212">
        <f t="shared" si="238"/>
        <v>0</v>
      </c>
      <c r="AZ254" s="59">
        <f t="shared" si="272"/>
        <v>0</v>
      </c>
      <c r="BA254" s="21" t="e">
        <f t="shared" si="273"/>
        <v>#DIV/0!</v>
      </c>
      <c r="BB254" s="58">
        <f t="shared" si="274"/>
        <v>2900</v>
      </c>
      <c r="BC254" s="58">
        <f t="shared" si="275"/>
        <v>1160</v>
      </c>
      <c r="BD254" s="60">
        <f t="shared" si="276"/>
        <v>0.15</v>
      </c>
      <c r="BE254" s="212" t="e">
        <f t="shared" si="239"/>
        <v>#NUM!</v>
      </c>
      <c r="BF254" s="59" t="e">
        <f t="shared" si="277"/>
        <v>#NUM!</v>
      </c>
      <c r="BG254" s="21" t="e">
        <f t="shared" si="278"/>
        <v>#NUM!</v>
      </c>
      <c r="BH254" s="55">
        <f t="shared" ca="1" si="232"/>
        <v>0</v>
      </c>
    </row>
    <row r="255" spans="1:60" x14ac:dyDescent="0.2">
      <c r="A255" s="61">
        <f ca="1">RANK(W255,W$12:W$311,0)+COUNTIF(W$12:W255,W255)-1</f>
        <v>57</v>
      </c>
      <c r="B255" s="55">
        <f>'Etape 1'!A251</f>
        <v>244</v>
      </c>
      <c r="C255" s="55">
        <f>'Etape 1'!B251</f>
        <v>0</v>
      </c>
      <c r="D255" s="55">
        <f>'Etape 1'!C251</f>
        <v>0</v>
      </c>
      <c r="E255" s="55">
        <f>'Etape 1'!D251</f>
        <v>0</v>
      </c>
      <c r="F255" s="55">
        <f>'Etape 1'!E251</f>
        <v>0</v>
      </c>
      <c r="G255" s="55">
        <f>'Etape 1'!F251</f>
        <v>0</v>
      </c>
      <c r="H255" s="55">
        <f>'Etape 1'!G251</f>
        <v>0</v>
      </c>
      <c r="I255" s="209">
        <v>1</v>
      </c>
      <c r="J255" s="58">
        <f t="shared" si="240"/>
        <v>0</v>
      </c>
      <c r="K255" s="21">
        <f t="shared" si="241"/>
        <v>0</v>
      </c>
      <c r="L255" s="21">
        <f t="shared" si="242"/>
        <v>0</v>
      </c>
      <c r="M255" s="21">
        <f t="shared" ca="1" si="243"/>
        <v>3</v>
      </c>
      <c r="N255" s="21">
        <f t="shared" ca="1" si="244"/>
        <v>3</v>
      </c>
      <c r="O255" s="21">
        <f t="shared" ca="1" si="245"/>
        <v>0</v>
      </c>
      <c r="P255" s="262" t="str">
        <f>IF('Etape 1'!J251=999,"",IF('Etape 1'!J251=9999,txt_Schritt1.Angaben.fehlen,VLOOKUP(N255,Matrix_1.2.3.Test.Punkte.ID.Beurteilung,4,1)))</f>
        <v/>
      </c>
      <c r="Q255" s="21">
        <f t="shared" ca="1" si="246"/>
        <v>0</v>
      </c>
      <c r="R255" s="136">
        <f t="shared" si="233"/>
        <v>244</v>
      </c>
      <c r="S255" s="136">
        <f t="shared" ca="1" si="230"/>
        <v>162.81063122923587</v>
      </c>
      <c r="T255" s="136">
        <f t="shared" ca="1" si="234"/>
        <v>750.81063122923592</v>
      </c>
      <c r="U255" s="136">
        <f t="shared" ca="1" si="235"/>
        <v>1224000.8106312293</v>
      </c>
      <c r="V255" s="211">
        <f t="shared" ca="1" si="236"/>
        <v>235407.00267554863</v>
      </c>
      <c r="W255" s="136">
        <f t="shared" ca="1" si="231"/>
        <v>244</v>
      </c>
      <c r="X255" s="136">
        <f t="shared" ca="1" si="247"/>
        <v>162.999000999001</v>
      </c>
      <c r="Y255" s="21">
        <f t="shared" si="248"/>
        <v>1</v>
      </c>
      <c r="Z255" s="21" t="str">
        <f t="shared" si="249"/>
        <v>&lt;IE0</v>
      </c>
      <c r="AA255" s="21">
        <f t="shared" si="250"/>
        <v>1</v>
      </c>
      <c r="AB255" s="21" t="str">
        <f t="shared" si="251"/>
        <v>a - "&lt; 1990 (Eff3)"</v>
      </c>
      <c r="AC255" s="21">
        <f t="shared" si="252"/>
        <v>999999</v>
      </c>
      <c r="AD255" s="21" t="str">
        <f t="shared" si="253"/>
        <v/>
      </c>
      <c r="AE255" s="21" t="str">
        <f t="shared" si="254"/>
        <v/>
      </c>
      <c r="AF255" s="21" t="str">
        <f t="shared" si="255"/>
        <v/>
      </c>
      <c r="AG255" s="21">
        <f t="shared" si="256"/>
        <v>0</v>
      </c>
      <c r="AH255" s="21">
        <f>IF('Etape 1'!H251=St.Wert_Hacken,1,0)</f>
        <v>0</v>
      </c>
      <c r="AI255" s="21">
        <f t="shared" si="257"/>
        <v>0</v>
      </c>
      <c r="AJ255" s="21">
        <f t="shared" si="258"/>
        <v>1000999</v>
      </c>
      <c r="AK255" s="58">
        <f t="shared" si="259"/>
        <v>1100</v>
      </c>
      <c r="AL255" s="58">
        <f t="shared" si="260"/>
        <v>440</v>
      </c>
      <c r="AM255" s="21">
        <f t="shared" si="261"/>
        <v>0</v>
      </c>
      <c r="AN255" s="58">
        <f t="shared" si="262"/>
        <v>1</v>
      </c>
      <c r="AO255" s="58" t="str">
        <f t="shared" si="263"/>
        <v>114</v>
      </c>
      <c r="AP255" s="58" t="str">
        <f t="shared" si="264"/>
        <v>164</v>
      </c>
      <c r="AQ255" s="21" t="e">
        <f t="shared" si="265"/>
        <v>#NUM!</v>
      </c>
      <c r="AR255" s="21" t="e">
        <f t="shared" si="266"/>
        <v>#NUM!</v>
      </c>
      <c r="AS255" s="136" t="e">
        <f t="shared" si="237"/>
        <v>#NUM!</v>
      </c>
      <c r="AT255" s="59" t="e">
        <f t="shared" si="267"/>
        <v>#NUM!</v>
      </c>
      <c r="AU255" s="21" t="e">
        <f t="shared" si="268"/>
        <v>#NUM!</v>
      </c>
      <c r="AV255" s="58">
        <f t="shared" si="269"/>
        <v>1500</v>
      </c>
      <c r="AW255" s="58">
        <f t="shared" si="270"/>
        <v>600</v>
      </c>
      <c r="AX255" s="60">
        <f t="shared" si="271"/>
        <v>0.11</v>
      </c>
      <c r="AY255" s="212">
        <f t="shared" si="238"/>
        <v>0</v>
      </c>
      <c r="AZ255" s="59">
        <f t="shared" si="272"/>
        <v>0</v>
      </c>
      <c r="BA255" s="21" t="e">
        <f t="shared" si="273"/>
        <v>#DIV/0!</v>
      </c>
      <c r="BB255" s="58">
        <f t="shared" si="274"/>
        <v>2900</v>
      </c>
      <c r="BC255" s="58">
        <f t="shared" si="275"/>
        <v>1160</v>
      </c>
      <c r="BD255" s="60">
        <f t="shared" si="276"/>
        <v>0.15</v>
      </c>
      <c r="BE255" s="212" t="e">
        <f t="shared" si="239"/>
        <v>#NUM!</v>
      </c>
      <c r="BF255" s="59" t="e">
        <f t="shared" si="277"/>
        <v>#NUM!</v>
      </c>
      <c r="BG255" s="21" t="e">
        <f t="shared" si="278"/>
        <v>#NUM!</v>
      </c>
      <c r="BH255" s="55">
        <f t="shared" ca="1" si="232"/>
        <v>0</v>
      </c>
    </row>
    <row r="256" spans="1:60" x14ac:dyDescent="0.2">
      <c r="A256" s="61">
        <f ca="1">RANK(W256,W$12:W$311,0)+COUNTIF(W$12:W256,W256)-1</f>
        <v>56</v>
      </c>
      <c r="B256" s="55">
        <f>'Etape 1'!A252</f>
        <v>245</v>
      </c>
      <c r="C256" s="55">
        <f>'Etape 1'!B252</f>
        <v>0</v>
      </c>
      <c r="D256" s="55">
        <f>'Etape 1'!C252</f>
        <v>0</v>
      </c>
      <c r="E256" s="55">
        <f>'Etape 1'!D252</f>
        <v>0</v>
      </c>
      <c r="F256" s="55">
        <f>'Etape 1'!E252</f>
        <v>0</v>
      </c>
      <c r="G256" s="55">
        <f>'Etape 1'!F252</f>
        <v>0</v>
      </c>
      <c r="H256" s="55">
        <f>'Etape 1'!G252</f>
        <v>0</v>
      </c>
      <c r="I256" s="209">
        <v>1</v>
      </c>
      <c r="J256" s="58">
        <f t="shared" si="240"/>
        <v>0</v>
      </c>
      <c r="K256" s="21">
        <f t="shared" si="241"/>
        <v>0</v>
      </c>
      <c r="L256" s="21">
        <f t="shared" si="242"/>
        <v>0</v>
      </c>
      <c r="M256" s="21">
        <f t="shared" ca="1" si="243"/>
        <v>3</v>
      </c>
      <c r="N256" s="21">
        <f t="shared" ca="1" si="244"/>
        <v>3</v>
      </c>
      <c r="O256" s="21">
        <f t="shared" ca="1" si="245"/>
        <v>0</v>
      </c>
      <c r="P256" s="262" t="str">
        <f>IF('Etape 1'!J252=999,"",IF('Etape 1'!J252=9999,txt_Schritt1.Angaben.fehlen,VLOOKUP(N256,Matrix_1.2.3.Test.Punkte.ID.Beurteilung,4,1)))</f>
        <v/>
      </c>
      <c r="Q256" s="21">
        <f t="shared" ca="1" si="246"/>
        <v>0</v>
      </c>
      <c r="R256" s="136">
        <f t="shared" si="233"/>
        <v>245</v>
      </c>
      <c r="S256" s="136">
        <f t="shared" ca="1" si="230"/>
        <v>162.81395348837211</v>
      </c>
      <c r="T256" s="136">
        <f t="shared" ca="1" si="234"/>
        <v>750.81395348837214</v>
      </c>
      <c r="U256" s="136">
        <f t="shared" ca="1" si="235"/>
        <v>1224000.8139534884</v>
      </c>
      <c r="V256" s="211">
        <f t="shared" ca="1" si="236"/>
        <v>235407.00599780778</v>
      </c>
      <c r="W256" s="136">
        <f t="shared" ca="1" si="231"/>
        <v>245</v>
      </c>
      <c r="X256" s="136">
        <f t="shared" ca="1" si="247"/>
        <v>162.999000999001</v>
      </c>
      <c r="Y256" s="21">
        <f t="shared" si="248"/>
        <v>1</v>
      </c>
      <c r="Z256" s="21" t="str">
        <f t="shared" si="249"/>
        <v>&lt;IE0</v>
      </c>
      <c r="AA256" s="21">
        <f t="shared" si="250"/>
        <v>1</v>
      </c>
      <c r="AB256" s="21" t="str">
        <f t="shared" si="251"/>
        <v>a - "&lt; 1990 (Eff3)"</v>
      </c>
      <c r="AC256" s="21">
        <f t="shared" si="252"/>
        <v>999999</v>
      </c>
      <c r="AD256" s="21" t="str">
        <f t="shared" si="253"/>
        <v/>
      </c>
      <c r="AE256" s="21" t="str">
        <f t="shared" si="254"/>
        <v/>
      </c>
      <c r="AF256" s="21" t="str">
        <f t="shared" si="255"/>
        <v/>
      </c>
      <c r="AG256" s="21">
        <f t="shared" si="256"/>
        <v>0</v>
      </c>
      <c r="AH256" s="21">
        <f>IF('Etape 1'!H252=St.Wert_Hacken,1,0)</f>
        <v>0</v>
      </c>
      <c r="AI256" s="21">
        <f t="shared" si="257"/>
        <v>0</v>
      </c>
      <c r="AJ256" s="21">
        <f t="shared" si="258"/>
        <v>1000999</v>
      </c>
      <c r="AK256" s="58">
        <f t="shared" si="259"/>
        <v>1100</v>
      </c>
      <c r="AL256" s="58">
        <f t="shared" si="260"/>
        <v>440</v>
      </c>
      <c r="AM256" s="21">
        <f t="shared" si="261"/>
        <v>0</v>
      </c>
      <c r="AN256" s="58">
        <f t="shared" si="262"/>
        <v>1</v>
      </c>
      <c r="AO256" s="58" t="str">
        <f t="shared" si="263"/>
        <v>114</v>
      </c>
      <c r="AP256" s="58" t="str">
        <f t="shared" si="264"/>
        <v>164</v>
      </c>
      <c r="AQ256" s="21" t="e">
        <f t="shared" si="265"/>
        <v>#NUM!</v>
      </c>
      <c r="AR256" s="21" t="e">
        <f t="shared" si="266"/>
        <v>#NUM!</v>
      </c>
      <c r="AS256" s="136" t="e">
        <f t="shared" si="237"/>
        <v>#NUM!</v>
      </c>
      <c r="AT256" s="59" t="e">
        <f t="shared" si="267"/>
        <v>#NUM!</v>
      </c>
      <c r="AU256" s="21" t="e">
        <f t="shared" si="268"/>
        <v>#NUM!</v>
      </c>
      <c r="AV256" s="58">
        <f t="shared" si="269"/>
        <v>1500</v>
      </c>
      <c r="AW256" s="58">
        <f t="shared" si="270"/>
        <v>600</v>
      </c>
      <c r="AX256" s="60">
        <f t="shared" si="271"/>
        <v>0.11</v>
      </c>
      <c r="AY256" s="212">
        <f t="shared" si="238"/>
        <v>0</v>
      </c>
      <c r="AZ256" s="59">
        <f t="shared" si="272"/>
        <v>0</v>
      </c>
      <c r="BA256" s="21" t="e">
        <f t="shared" si="273"/>
        <v>#DIV/0!</v>
      </c>
      <c r="BB256" s="58">
        <f t="shared" si="274"/>
        <v>2900</v>
      </c>
      <c r="BC256" s="58">
        <f t="shared" si="275"/>
        <v>1160</v>
      </c>
      <c r="BD256" s="60">
        <f t="shared" si="276"/>
        <v>0.15</v>
      </c>
      <c r="BE256" s="212" t="e">
        <f t="shared" si="239"/>
        <v>#NUM!</v>
      </c>
      <c r="BF256" s="59" t="e">
        <f t="shared" si="277"/>
        <v>#NUM!</v>
      </c>
      <c r="BG256" s="21" t="e">
        <f t="shared" si="278"/>
        <v>#NUM!</v>
      </c>
      <c r="BH256" s="55">
        <f t="shared" ca="1" si="232"/>
        <v>0</v>
      </c>
    </row>
    <row r="257" spans="1:60" x14ac:dyDescent="0.2">
      <c r="A257" s="61">
        <f ca="1">RANK(W257,W$12:W$311,0)+COUNTIF(W$12:W257,W257)-1</f>
        <v>55</v>
      </c>
      <c r="B257" s="55">
        <f>'Etape 1'!A253</f>
        <v>246</v>
      </c>
      <c r="C257" s="55">
        <f>'Etape 1'!B253</f>
        <v>0</v>
      </c>
      <c r="D257" s="55">
        <f>'Etape 1'!C253</f>
        <v>0</v>
      </c>
      <c r="E257" s="55">
        <f>'Etape 1'!D253</f>
        <v>0</v>
      </c>
      <c r="F257" s="55">
        <f>'Etape 1'!E253</f>
        <v>0</v>
      </c>
      <c r="G257" s="55">
        <f>'Etape 1'!F253</f>
        <v>0</v>
      </c>
      <c r="H257" s="55">
        <f>'Etape 1'!G253</f>
        <v>0</v>
      </c>
      <c r="I257" s="209">
        <v>1</v>
      </c>
      <c r="J257" s="58">
        <f t="shared" si="240"/>
        <v>0</v>
      </c>
      <c r="K257" s="21">
        <f t="shared" si="241"/>
        <v>0</v>
      </c>
      <c r="L257" s="21">
        <f t="shared" si="242"/>
        <v>0</v>
      </c>
      <c r="M257" s="21">
        <f t="shared" ca="1" si="243"/>
        <v>3</v>
      </c>
      <c r="N257" s="21">
        <f t="shared" ca="1" si="244"/>
        <v>3</v>
      </c>
      <c r="O257" s="21">
        <f t="shared" ca="1" si="245"/>
        <v>0</v>
      </c>
      <c r="P257" s="262" t="str">
        <f>IF('Etape 1'!J253=999,"",IF('Etape 1'!J253=9999,txt_Schritt1.Angaben.fehlen,VLOOKUP(N257,Matrix_1.2.3.Test.Punkte.ID.Beurteilung,4,1)))</f>
        <v/>
      </c>
      <c r="Q257" s="21">
        <f t="shared" ca="1" si="246"/>
        <v>0</v>
      </c>
      <c r="R257" s="136">
        <f t="shared" si="233"/>
        <v>246</v>
      </c>
      <c r="S257" s="136">
        <f t="shared" ca="1" si="230"/>
        <v>162.81727574750832</v>
      </c>
      <c r="T257" s="136">
        <f t="shared" ca="1" si="234"/>
        <v>750.81727574750835</v>
      </c>
      <c r="U257" s="136">
        <f t="shared" ca="1" si="235"/>
        <v>1224000.8172757474</v>
      </c>
      <c r="V257" s="211">
        <f t="shared" ca="1" si="236"/>
        <v>235407.00932006692</v>
      </c>
      <c r="W257" s="136">
        <f t="shared" ca="1" si="231"/>
        <v>246</v>
      </c>
      <c r="X257" s="136">
        <f t="shared" ca="1" si="247"/>
        <v>162.999000999001</v>
      </c>
      <c r="Y257" s="21">
        <f t="shared" si="248"/>
        <v>1</v>
      </c>
      <c r="Z257" s="21" t="str">
        <f t="shared" si="249"/>
        <v>&lt;IE0</v>
      </c>
      <c r="AA257" s="21">
        <f t="shared" si="250"/>
        <v>1</v>
      </c>
      <c r="AB257" s="21" t="str">
        <f t="shared" si="251"/>
        <v>a - "&lt; 1990 (Eff3)"</v>
      </c>
      <c r="AC257" s="21">
        <f t="shared" si="252"/>
        <v>999999</v>
      </c>
      <c r="AD257" s="21" t="str">
        <f t="shared" si="253"/>
        <v/>
      </c>
      <c r="AE257" s="21" t="str">
        <f t="shared" si="254"/>
        <v/>
      </c>
      <c r="AF257" s="21" t="str">
        <f t="shared" si="255"/>
        <v/>
      </c>
      <c r="AG257" s="21">
        <f t="shared" si="256"/>
        <v>0</v>
      </c>
      <c r="AH257" s="21">
        <f>IF('Etape 1'!H253=St.Wert_Hacken,1,0)</f>
        <v>0</v>
      </c>
      <c r="AI257" s="21">
        <f t="shared" si="257"/>
        <v>0</v>
      </c>
      <c r="AJ257" s="21">
        <f t="shared" si="258"/>
        <v>1000999</v>
      </c>
      <c r="AK257" s="58">
        <f t="shared" si="259"/>
        <v>1100</v>
      </c>
      <c r="AL257" s="58">
        <f t="shared" si="260"/>
        <v>440</v>
      </c>
      <c r="AM257" s="21">
        <f t="shared" si="261"/>
        <v>0</v>
      </c>
      <c r="AN257" s="58">
        <f t="shared" si="262"/>
        <v>1</v>
      </c>
      <c r="AO257" s="58" t="str">
        <f t="shared" si="263"/>
        <v>114</v>
      </c>
      <c r="AP257" s="58" t="str">
        <f t="shared" si="264"/>
        <v>164</v>
      </c>
      <c r="AQ257" s="21" t="e">
        <f t="shared" si="265"/>
        <v>#NUM!</v>
      </c>
      <c r="AR257" s="21" t="e">
        <f t="shared" si="266"/>
        <v>#NUM!</v>
      </c>
      <c r="AS257" s="136" t="e">
        <f t="shared" si="237"/>
        <v>#NUM!</v>
      </c>
      <c r="AT257" s="59" t="e">
        <f t="shared" si="267"/>
        <v>#NUM!</v>
      </c>
      <c r="AU257" s="21" t="e">
        <f t="shared" si="268"/>
        <v>#NUM!</v>
      </c>
      <c r="AV257" s="58">
        <f t="shared" si="269"/>
        <v>1500</v>
      </c>
      <c r="AW257" s="58">
        <f t="shared" si="270"/>
        <v>600</v>
      </c>
      <c r="AX257" s="60">
        <f t="shared" si="271"/>
        <v>0.11</v>
      </c>
      <c r="AY257" s="212">
        <f t="shared" si="238"/>
        <v>0</v>
      </c>
      <c r="AZ257" s="59">
        <f t="shared" si="272"/>
        <v>0</v>
      </c>
      <c r="BA257" s="21" t="e">
        <f t="shared" si="273"/>
        <v>#DIV/0!</v>
      </c>
      <c r="BB257" s="58">
        <f t="shared" si="274"/>
        <v>2900</v>
      </c>
      <c r="BC257" s="58">
        <f t="shared" si="275"/>
        <v>1160</v>
      </c>
      <c r="BD257" s="60">
        <f t="shared" si="276"/>
        <v>0.15</v>
      </c>
      <c r="BE257" s="212" t="e">
        <f t="shared" si="239"/>
        <v>#NUM!</v>
      </c>
      <c r="BF257" s="59" t="e">
        <f t="shared" si="277"/>
        <v>#NUM!</v>
      </c>
      <c r="BG257" s="21" t="e">
        <f t="shared" si="278"/>
        <v>#NUM!</v>
      </c>
      <c r="BH257" s="55">
        <f t="shared" ca="1" si="232"/>
        <v>0</v>
      </c>
    </row>
    <row r="258" spans="1:60" x14ac:dyDescent="0.2">
      <c r="A258" s="61">
        <f ca="1">RANK(W258,W$12:W$311,0)+COUNTIF(W$12:W258,W258)-1</f>
        <v>54</v>
      </c>
      <c r="B258" s="55">
        <f>'Etape 1'!A254</f>
        <v>247</v>
      </c>
      <c r="C258" s="55">
        <f>'Etape 1'!B254</f>
        <v>0</v>
      </c>
      <c r="D258" s="55">
        <f>'Etape 1'!C254</f>
        <v>0</v>
      </c>
      <c r="E258" s="55">
        <f>'Etape 1'!D254</f>
        <v>0</v>
      </c>
      <c r="F258" s="55">
        <f>'Etape 1'!E254</f>
        <v>0</v>
      </c>
      <c r="G258" s="55">
        <f>'Etape 1'!F254</f>
        <v>0</v>
      </c>
      <c r="H258" s="55">
        <f>'Etape 1'!G254</f>
        <v>0</v>
      </c>
      <c r="I258" s="209">
        <v>1</v>
      </c>
      <c r="J258" s="58">
        <f t="shared" si="240"/>
        <v>0</v>
      </c>
      <c r="K258" s="21">
        <f t="shared" si="241"/>
        <v>0</v>
      </c>
      <c r="L258" s="21">
        <f t="shared" si="242"/>
        <v>0</v>
      </c>
      <c r="M258" s="21">
        <f t="shared" ca="1" si="243"/>
        <v>3</v>
      </c>
      <c r="N258" s="21">
        <f t="shared" ca="1" si="244"/>
        <v>3</v>
      </c>
      <c r="O258" s="21">
        <f t="shared" ca="1" si="245"/>
        <v>0</v>
      </c>
      <c r="P258" s="262" t="str">
        <f>IF('Etape 1'!J254=999,"",IF('Etape 1'!J254=9999,txt_Schritt1.Angaben.fehlen,VLOOKUP(N258,Matrix_1.2.3.Test.Punkte.ID.Beurteilung,4,1)))</f>
        <v/>
      </c>
      <c r="Q258" s="21">
        <f t="shared" ca="1" si="246"/>
        <v>0</v>
      </c>
      <c r="R258" s="136">
        <f t="shared" si="233"/>
        <v>247</v>
      </c>
      <c r="S258" s="136">
        <f t="shared" ca="1" si="230"/>
        <v>162.82059800664453</v>
      </c>
      <c r="T258" s="136">
        <f t="shared" ca="1" si="234"/>
        <v>750.82059800664456</v>
      </c>
      <c r="U258" s="136">
        <f t="shared" ca="1" si="235"/>
        <v>1224000.8205980067</v>
      </c>
      <c r="V258" s="211">
        <f t="shared" ca="1" si="236"/>
        <v>235407.01264232607</v>
      </c>
      <c r="W258" s="136">
        <f t="shared" ca="1" si="231"/>
        <v>247</v>
      </c>
      <c r="X258" s="136">
        <f t="shared" ca="1" si="247"/>
        <v>162.999000999001</v>
      </c>
      <c r="Y258" s="21">
        <f t="shared" si="248"/>
        <v>1</v>
      </c>
      <c r="Z258" s="21" t="str">
        <f t="shared" si="249"/>
        <v>&lt;IE0</v>
      </c>
      <c r="AA258" s="21">
        <f t="shared" si="250"/>
        <v>1</v>
      </c>
      <c r="AB258" s="21" t="str">
        <f t="shared" si="251"/>
        <v>a - "&lt; 1990 (Eff3)"</v>
      </c>
      <c r="AC258" s="21">
        <f t="shared" si="252"/>
        <v>999999</v>
      </c>
      <c r="AD258" s="21" t="str">
        <f t="shared" si="253"/>
        <v/>
      </c>
      <c r="AE258" s="21" t="str">
        <f t="shared" si="254"/>
        <v/>
      </c>
      <c r="AF258" s="21" t="str">
        <f t="shared" si="255"/>
        <v/>
      </c>
      <c r="AG258" s="21">
        <f t="shared" si="256"/>
        <v>0</v>
      </c>
      <c r="AH258" s="21">
        <f>IF('Etape 1'!H254=St.Wert_Hacken,1,0)</f>
        <v>0</v>
      </c>
      <c r="AI258" s="21">
        <f t="shared" si="257"/>
        <v>0</v>
      </c>
      <c r="AJ258" s="21">
        <f t="shared" si="258"/>
        <v>1000999</v>
      </c>
      <c r="AK258" s="58">
        <f t="shared" si="259"/>
        <v>1100</v>
      </c>
      <c r="AL258" s="58">
        <f t="shared" si="260"/>
        <v>440</v>
      </c>
      <c r="AM258" s="21">
        <f t="shared" si="261"/>
        <v>0</v>
      </c>
      <c r="AN258" s="58">
        <f t="shared" si="262"/>
        <v>1</v>
      </c>
      <c r="AO258" s="58" t="str">
        <f t="shared" si="263"/>
        <v>114</v>
      </c>
      <c r="AP258" s="58" t="str">
        <f t="shared" si="264"/>
        <v>164</v>
      </c>
      <c r="AQ258" s="21" t="e">
        <f t="shared" si="265"/>
        <v>#NUM!</v>
      </c>
      <c r="AR258" s="21" t="e">
        <f t="shared" si="266"/>
        <v>#NUM!</v>
      </c>
      <c r="AS258" s="136" t="e">
        <f t="shared" si="237"/>
        <v>#NUM!</v>
      </c>
      <c r="AT258" s="59" t="e">
        <f t="shared" si="267"/>
        <v>#NUM!</v>
      </c>
      <c r="AU258" s="21" t="e">
        <f t="shared" si="268"/>
        <v>#NUM!</v>
      </c>
      <c r="AV258" s="58">
        <f t="shared" si="269"/>
        <v>1500</v>
      </c>
      <c r="AW258" s="58">
        <f t="shared" si="270"/>
        <v>600</v>
      </c>
      <c r="AX258" s="60">
        <f t="shared" si="271"/>
        <v>0.11</v>
      </c>
      <c r="AY258" s="212">
        <f t="shared" si="238"/>
        <v>0</v>
      </c>
      <c r="AZ258" s="59">
        <f t="shared" si="272"/>
        <v>0</v>
      </c>
      <c r="BA258" s="21" t="e">
        <f t="shared" si="273"/>
        <v>#DIV/0!</v>
      </c>
      <c r="BB258" s="58">
        <f t="shared" si="274"/>
        <v>2900</v>
      </c>
      <c r="BC258" s="58">
        <f t="shared" si="275"/>
        <v>1160</v>
      </c>
      <c r="BD258" s="60">
        <f t="shared" si="276"/>
        <v>0.15</v>
      </c>
      <c r="BE258" s="212" t="e">
        <f t="shared" si="239"/>
        <v>#NUM!</v>
      </c>
      <c r="BF258" s="59" t="e">
        <f t="shared" si="277"/>
        <v>#NUM!</v>
      </c>
      <c r="BG258" s="21" t="e">
        <f t="shared" si="278"/>
        <v>#NUM!</v>
      </c>
      <c r="BH258" s="55">
        <f t="shared" ca="1" si="232"/>
        <v>0</v>
      </c>
    </row>
    <row r="259" spans="1:60" x14ac:dyDescent="0.2">
      <c r="A259" s="61">
        <f ca="1">RANK(W259,W$12:W$311,0)+COUNTIF(W$12:W259,W259)-1</f>
        <v>53</v>
      </c>
      <c r="B259" s="55">
        <f>'Etape 1'!A255</f>
        <v>248</v>
      </c>
      <c r="C259" s="55">
        <f>'Etape 1'!B255</f>
        <v>0</v>
      </c>
      <c r="D259" s="55">
        <f>'Etape 1'!C255</f>
        <v>0</v>
      </c>
      <c r="E259" s="55">
        <f>'Etape 1'!D255</f>
        <v>0</v>
      </c>
      <c r="F259" s="55">
        <f>'Etape 1'!E255</f>
        <v>0</v>
      </c>
      <c r="G259" s="55">
        <f>'Etape 1'!F255</f>
        <v>0</v>
      </c>
      <c r="H259" s="55">
        <f>'Etape 1'!G255</f>
        <v>0</v>
      </c>
      <c r="I259" s="209">
        <v>1</v>
      </c>
      <c r="J259" s="58">
        <f t="shared" si="240"/>
        <v>0</v>
      </c>
      <c r="K259" s="21">
        <f t="shared" si="241"/>
        <v>0</v>
      </c>
      <c r="L259" s="21">
        <f t="shared" si="242"/>
        <v>0</v>
      </c>
      <c r="M259" s="21">
        <f t="shared" ca="1" si="243"/>
        <v>3</v>
      </c>
      <c r="N259" s="21">
        <f t="shared" ca="1" si="244"/>
        <v>3</v>
      </c>
      <c r="O259" s="21">
        <f t="shared" ca="1" si="245"/>
        <v>0</v>
      </c>
      <c r="P259" s="262" t="str">
        <f>IF('Etape 1'!J255=999,"",IF('Etape 1'!J255=9999,txt_Schritt1.Angaben.fehlen,VLOOKUP(N259,Matrix_1.2.3.Test.Punkte.ID.Beurteilung,4,1)))</f>
        <v/>
      </c>
      <c r="Q259" s="21">
        <f t="shared" ca="1" si="246"/>
        <v>0</v>
      </c>
      <c r="R259" s="136">
        <f t="shared" si="233"/>
        <v>248</v>
      </c>
      <c r="S259" s="136">
        <f t="shared" ca="1" si="230"/>
        <v>162.82392026578074</v>
      </c>
      <c r="T259" s="136">
        <f t="shared" ca="1" si="234"/>
        <v>750.82392026578077</v>
      </c>
      <c r="U259" s="136">
        <f t="shared" ca="1" si="235"/>
        <v>1224000.8239202658</v>
      </c>
      <c r="V259" s="211">
        <f t="shared" ca="1" si="236"/>
        <v>235407.01596458518</v>
      </c>
      <c r="W259" s="136">
        <f t="shared" ca="1" si="231"/>
        <v>248</v>
      </c>
      <c r="X259" s="136">
        <f t="shared" ca="1" si="247"/>
        <v>162.999000999001</v>
      </c>
      <c r="Y259" s="21">
        <f t="shared" si="248"/>
        <v>1</v>
      </c>
      <c r="Z259" s="21" t="str">
        <f t="shared" si="249"/>
        <v>&lt;IE0</v>
      </c>
      <c r="AA259" s="21">
        <f t="shared" si="250"/>
        <v>1</v>
      </c>
      <c r="AB259" s="21" t="str">
        <f t="shared" si="251"/>
        <v>a - "&lt; 1990 (Eff3)"</v>
      </c>
      <c r="AC259" s="21">
        <f t="shared" si="252"/>
        <v>999999</v>
      </c>
      <c r="AD259" s="21" t="str">
        <f t="shared" si="253"/>
        <v/>
      </c>
      <c r="AE259" s="21" t="str">
        <f t="shared" si="254"/>
        <v/>
      </c>
      <c r="AF259" s="21" t="str">
        <f t="shared" si="255"/>
        <v/>
      </c>
      <c r="AG259" s="21">
        <f t="shared" si="256"/>
        <v>0</v>
      </c>
      <c r="AH259" s="21">
        <f>IF('Etape 1'!H255=St.Wert_Hacken,1,0)</f>
        <v>0</v>
      </c>
      <c r="AI259" s="21">
        <f t="shared" si="257"/>
        <v>0</v>
      </c>
      <c r="AJ259" s="21">
        <f t="shared" si="258"/>
        <v>1000999</v>
      </c>
      <c r="AK259" s="58">
        <f t="shared" si="259"/>
        <v>1100</v>
      </c>
      <c r="AL259" s="58">
        <f t="shared" si="260"/>
        <v>440</v>
      </c>
      <c r="AM259" s="21">
        <f t="shared" si="261"/>
        <v>0</v>
      </c>
      <c r="AN259" s="58">
        <f t="shared" si="262"/>
        <v>1</v>
      </c>
      <c r="AO259" s="58" t="str">
        <f t="shared" si="263"/>
        <v>114</v>
      </c>
      <c r="AP259" s="58" t="str">
        <f t="shared" si="264"/>
        <v>164</v>
      </c>
      <c r="AQ259" s="21" t="e">
        <f t="shared" si="265"/>
        <v>#NUM!</v>
      </c>
      <c r="AR259" s="21" t="e">
        <f t="shared" si="266"/>
        <v>#NUM!</v>
      </c>
      <c r="AS259" s="136" t="e">
        <f t="shared" si="237"/>
        <v>#NUM!</v>
      </c>
      <c r="AT259" s="59" t="e">
        <f t="shared" si="267"/>
        <v>#NUM!</v>
      </c>
      <c r="AU259" s="21" t="e">
        <f t="shared" si="268"/>
        <v>#NUM!</v>
      </c>
      <c r="AV259" s="58">
        <f t="shared" si="269"/>
        <v>1500</v>
      </c>
      <c r="AW259" s="58">
        <f t="shared" si="270"/>
        <v>600</v>
      </c>
      <c r="AX259" s="60">
        <f t="shared" si="271"/>
        <v>0.11</v>
      </c>
      <c r="AY259" s="212">
        <f t="shared" si="238"/>
        <v>0</v>
      </c>
      <c r="AZ259" s="59">
        <f t="shared" si="272"/>
        <v>0</v>
      </c>
      <c r="BA259" s="21" t="e">
        <f t="shared" si="273"/>
        <v>#DIV/0!</v>
      </c>
      <c r="BB259" s="58">
        <f t="shared" si="274"/>
        <v>2900</v>
      </c>
      <c r="BC259" s="58">
        <f t="shared" si="275"/>
        <v>1160</v>
      </c>
      <c r="BD259" s="60">
        <f t="shared" si="276"/>
        <v>0.15</v>
      </c>
      <c r="BE259" s="212" t="e">
        <f t="shared" si="239"/>
        <v>#NUM!</v>
      </c>
      <c r="BF259" s="59" t="e">
        <f t="shared" si="277"/>
        <v>#NUM!</v>
      </c>
      <c r="BG259" s="21" t="e">
        <f t="shared" si="278"/>
        <v>#NUM!</v>
      </c>
      <c r="BH259" s="55">
        <f t="shared" ca="1" si="232"/>
        <v>0</v>
      </c>
    </row>
    <row r="260" spans="1:60" x14ac:dyDescent="0.2">
      <c r="A260" s="61">
        <f ca="1">RANK(W260,W$12:W$311,0)+COUNTIF(W$12:W260,W260)-1</f>
        <v>52</v>
      </c>
      <c r="B260" s="55">
        <f>'Etape 1'!A256</f>
        <v>249</v>
      </c>
      <c r="C260" s="55">
        <f>'Etape 1'!B256</f>
        <v>0</v>
      </c>
      <c r="D260" s="55">
        <f>'Etape 1'!C256</f>
        <v>0</v>
      </c>
      <c r="E260" s="55">
        <f>'Etape 1'!D256</f>
        <v>0</v>
      </c>
      <c r="F260" s="55">
        <f>'Etape 1'!E256</f>
        <v>0</v>
      </c>
      <c r="G260" s="55">
        <f>'Etape 1'!F256</f>
        <v>0</v>
      </c>
      <c r="H260" s="55">
        <f>'Etape 1'!G256</f>
        <v>0</v>
      </c>
      <c r="I260" s="209">
        <v>1</v>
      </c>
      <c r="J260" s="58">
        <f t="shared" si="240"/>
        <v>0</v>
      </c>
      <c r="K260" s="21">
        <f t="shared" si="241"/>
        <v>0</v>
      </c>
      <c r="L260" s="21">
        <f t="shared" si="242"/>
        <v>0</v>
      </c>
      <c r="M260" s="21">
        <f t="shared" ca="1" si="243"/>
        <v>3</v>
      </c>
      <c r="N260" s="21">
        <f t="shared" ca="1" si="244"/>
        <v>3</v>
      </c>
      <c r="O260" s="21">
        <f t="shared" ca="1" si="245"/>
        <v>0</v>
      </c>
      <c r="P260" s="262" t="str">
        <f>IF('Etape 1'!J256=999,"",IF('Etape 1'!J256=9999,txt_Schritt1.Angaben.fehlen,VLOOKUP(N260,Matrix_1.2.3.Test.Punkte.ID.Beurteilung,4,1)))</f>
        <v/>
      </c>
      <c r="Q260" s="21">
        <f t="shared" ca="1" si="246"/>
        <v>0</v>
      </c>
      <c r="R260" s="136">
        <f t="shared" si="233"/>
        <v>249</v>
      </c>
      <c r="S260" s="136">
        <f t="shared" ca="1" si="230"/>
        <v>162.82724252491695</v>
      </c>
      <c r="T260" s="136">
        <f t="shared" ca="1" si="234"/>
        <v>750.82724252491698</v>
      </c>
      <c r="U260" s="136">
        <f t="shared" ca="1" si="235"/>
        <v>1224000.8272425248</v>
      </c>
      <c r="V260" s="211">
        <f t="shared" ca="1" si="236"/>
        <v>235407.01928684433</v>
      </c>
      <c r="W260" s="136">
        <f t="shared" ca="1" si="231"/>
        <v>249</v>
      </c>
      <c r="X260" s="136">
        <f t="shared" ca="1" si="247"/>
        <v>162.999000999001</v>
      </c>
      <c r="Y260" s="21">
        <f t="shared" si="248"/>
        <v>1</v>
      </c>
      <c r="Z260" s="21" t="str">
        <f t="shared" si="249"/>
        <v>&lt;IE0</v>
      </c>
      <c r="AA260" s="21">
        <f t="shared" si="250"/>
        <v>1</v>
      </c>
      <c r="AB260" s="21" t="str">
        <f t="shared" si="251"/>
        <v>a - "&lt; 1990 (Eff3)"</v>
      </c>
      <c r="AC260" s="21">
        <f t="shared" si="252"/>
        <v>999999</v>
      </c>
      <c r="AD260" s="21" t="str">
        <f t="shared" si="253"/>
        <v/>
      </c>
      <c r="AE260" s="21" t="str">
        <f t="shared" si="254"/>
        <v/>
      </c>
      <c r="AF260" s="21" t="str">
        <f t="shared" si="255"/>
        <v/>
      </c>
      <c r="AG260" s="21">
        <f t="shared" si="256"/>
        <v>0</v>
      </c>
      <c r="AH260" s="21">
        <f>IF('Etape 1'!H256=St.Wert_Hacken,1,0)</f>
        <v>0</v>
      </c>
      <c r="AI260" s="21">
        <f t="shared" si="257"/>
        <v>0</v>
      </c>
      <c r="AJ260" s="21">
        <f t="shared" si="258"/>
        <v>1000999</v>
      </c>
      <c r="AK260" s="58">
        <f t="shared" si="259"/>
        <v>1100</v>
      </c>
      <c r="AL260" s="58">
        <f t="shared" si="260"/>
        <v>440</v>
      </c>
      <c r="AM260" s="21">
        <f t="shared" si="261"/>
        <v>0</v>
      </c>
      <c r="AN260" s="58">
        <f t="shared" si="262"/>
        <v>1</v>
      </c>
      <c r="AO260" s="58" t="str">
        <f t="shared" si="263"/>
        <v>114</v>
      </c>
      <c r="AP260" s="58" t="str">
        <f t="shared" si="264"/>
        <v>164</v>
      </c>
      <c r="AQ260" s="21" t="e">
        <f t="shared" si="265"/>
        <v>#NUM!</v>
      </c>
      <c r="AR260" s="21" t="e">
        <f t="shared" si="266"/>
        <v>#NUM!</v>
      </c>
      <c r="AS260" s="136" t="e">
        <f t="shared" si="237"/>
        <v>#NUM!</v>
      </c>
      <c r="AT260" s="59" t="e">
        <f t="shared" si="267"/>
        <v>#NUM!</v>
      </c>
      <c r="AU260" s="21" t="e">
        <f t="shared" si="268"/>
        <v>#NUM!</v>
      </c>
      <c r="AV260" s="58">
        <f t="shared" si="269"/>
        <v>1500</v>
      </c>
      <c r="AW260" s="58">
        <f t="shared" si="270"/>
        <v>600</v>
      </c>
      <c r="AX260" s="60">
        <f t="shared" si="271"/>
        <v>0.11</v>
      </c>
      <c r="AY260" s="212">
        <f t="shared" si="238"/>
        <v>0</v>
      </c>
      <c r="AZ260" s="59">
        <f t="shared" si="272"/>
        <v>0</v>
      </c>
      <c r="BA260" s="21" t="e">
        <f t="shared" si="273"/>
        <v>#DIV/0!</v>
      </c>
      <c r="BB260" s="58">
        <f t="shared" si="274"/>
        <v>2900</v>
      </c>
      <c r="BC260" s="58">
        <f t="shared" si="275"/>
        <v>1160</v>
      </c>
      <c r="BD260" s="60">
        <f t="shared" si="276"/>
        <v>0.15</v>
      </c>
      <c r="BE260" s="212" t="e">
        <f t="shared" si="239"/>
        <v>#NUM!</v>
      </c>
      <c r="BF260" s="59" t="e">
        <f t="shared" si="277"/>
        <v>#NUM!</v>
      </c>
      <c r="BG260" s="21" t="e">
        <f t="shared" si="278"/>
        <v>#NUM!</v>
      </c>
      <c r="BH260" s="55">
        <f t="shared" ca="1" si="232"/>
        <v>0</v>
      </c>
    </row>
    <row r="261" spans="1:60" x14ac:dyDescent="0.2">
      <c r="A261" s="61">
        <f ca="1">RANK(W261,W$12:W$311,0)+COUNTIF(W$12:W261,W261)-1</f>
        <v>51</v>
      </c>
      <c r="B261" s="55">
        <f>'Etape 1'!A257</f>
        <v>250</v>
      </c>
      <c r="C261" s="55">
        <f>'Etape 1'!B257</f>
        <v>0</v>
      </c>
      <c r="D261" s="55">
        <f>'Etape 1'!C257</f>
        <v>0</v>
      </c>
      <c r="E261" s="55">
        <f>'Etape 1'!D257</f>
        <v>0</v>
      </c>
      <c r="F261" s="55">
        <f>'Etape 1'!E257</f>
        <v>0</v>
      </c>
      <c r="G261" s="55">
        <f>'Etape 1'!F257</f>
        <v>0</v>
      </c>
      <c r="H261" s="55">
        <f>'Etape 1'!G257</f>
        <v>0</v>
      </c>
      <c r="I261" s="209">
        <v>1</v>
      </c>
      <c r="J261" s="58">
        <f t="shared" si="240"/>
        <v>0</v>
      </c>
      <c r="K261" s="21">
        <f t="shared" si="241"/>
        <v>0</v>
      </c>
      <c r="L261" s="21">
        <f t="shared" si="242"/>
        <v>0</v>
      </c>
      <c r="M261" s="21">
        <f t="shared" ca="1" si="243"/>
        <v>3</v>
      </c>
      <c r="N261" s="21">
        <f t="shared" ca="1" si="244"/>
        <v>3</v>
      </c>
      <c r="O261" s="21">
        <f t="shared" ca="1" si="245"/>
        <v>0</v>
      </c>
      <c r="P261" s="262" t="str">
        <f>IF('Etape 1'!J257=999,"",IF('Etape 1'!J257=9999,txt_Schritt1.Angaben.fehlen,VLOOKUP(N261,Matrix_1.2.3.Test.Punkte.ID.Beurteilung,4,1)))</f>
        <v/>
      </c>
      <c r="Q261" s="21">
        <f t="shared" ca="1" si="246"/>
        <v>0</v>
      </c>
      <c r="R261" s="136">
        <f t="shared" si="233"/>
        <v>250</v>
      </c>
      <c r="S261" s="136">
        <f t="shared" ca="1" si="230"/>
        <v>162.83056478405317</v>
      </c>
      <c r="T261" s="136">
        <f t="shared" ca="1" si="234"/>
        <v>750.83056478405319</v>
      </c>
      <c r="U261" s="136">
        <f t="shared" ca="1" si="235"/>
        <v>1224000.8305647841</v>
      </c>
      <c r="V261" s="211">
        <f t="shared" ca="1" si="236"/>
        <v>235407.02260910347</v>
      </c>
      <c r="W261" s="136">
        <f t="shared" ca="1" si="231"/>
        <v>250</v>
      </c>
      <c r="X261" s="136">
        <f t="shared" ca="1" si="247"/>
        <v>162.999000999001</v>
      </c>
      <c r="Y261" s="21">
        <f t="shared" si="248"/>
        <v>1</v>
      </c>
      <c r="Z261" s="21" t="str">
        <f t="shared" si="249"/>
        <v>&lt;IE0</v>
      </c>
      <c r="AA261" s="21">
        <f t="shared" si="250"/>
        <v>1</v>
      </c>
      <c r="AB261" s="21" t="str">
        <f t="shared" si="251"/>
        <v>a - "&lt; 1990 (Eff3)"</v>
      </c>
      <c r="AC261" s="21">
        <f t="shared" si="252"/>
        <v>999999</v>
      </c>
      <c r="AD261" s="21" t="str">
        <f t="shared" si="253"/>
        <v/>
      </c>
      <c r="AE261" s="21" t="str">
        <f t="shared" si="254"/>
        <v/>
      </c>
      <c r="AF261" s="21" t="str">
        <f t="shared" si="255"/>
        <v/>
      </c>
      <c r="AG261" s="21">
        <f t="shared" si="256"/>
        <v>0</v>
      </c>
      <c r="AH261" s="21">
        <f>IF('Etape 1'!H257=St.Wert_Hacken,1,0)</f>
        <v>0</v>
      </c>
      <c r="AI261" s="21">
        <f t="shared" si="257"/>
        <v>0</v>
      </c>
      <c r="AJ261" s="21">
        <f t="shared" si="258"/>
        <v>1000999</v>
      </c>
      <c r="AK261" s="58">
        <f t="shared" si="259"/>
        <v>1100</v>
      </c>
      <c r="AL261" s="58">
        <f t="shared" si="260"/>
        <v>440</v>
      </c>
      <c r="AM261" s="21">
        <f t="shared" si="261"/>
        <v>0</v>
      </c>
      <c r="AN261" s="58">
        <f t="shared" si="262"/>
        <v>1</v>
      </c>
      <c r="AO261" s="58" t="str">
        <f t="shared" si="263"/>
        <v>114</v>
      </c>
      <c r="AP261" s="58" t="str">
        <f t="shared" si="264"/>
        <v>164</v>
      </c>
      <c r="AQ261" s="21" t="e">
        <f t="shared" si="265"/>
        <v>#NUM!</v>
      </c>
      <c r="AR261" s="21" t="e">
        <f t="shared" si="266"/>
        <v>#NUM!</v>
      </c>
      <c r="AS261" s="136" t="e">
        <f t="shared" si="237"/>
        <v>#NUM!</v>
      </c>
      <c r="AT261" s="59" t="e">
        <f t="shared" si="267"/>
        <v>#NUM!</v>
      </c>
      <c r="AU261" s="21" t="e">
        <f t="shared" si="268"/>
        <v>#NUM!</v>
      </c>
      <c r="AV261" s="58">
        <f t="shared" si="269"/>
        <v>1500</v>
      </c>
      <c r="AW261" s="58">
        <f t="shared" si="270"/>
        <v>600</v>
      </c>
      <c r="AX261" s="60">
        <f t="shared" si="271"/>
        <v>0.11</v>
      </c>
      <c r="AY261" s="212">
        <f t="shared" si="238"/>
        <v>0</v>
      </c>
      <c r="AZ261" s="59">
        <f t="shared" si="272"/>
        <v>0</v>
      </c>
      <c r="BA261" s="21" t="e">
        <f t="shared" si="273"/>
        <v>#DIV/0!</v>
      </c>
      <c r="BB261" s="58">
        <f t="shared" si="274"/>
        <v>2900</v>
      </c>
      <c r="BC261" s="58">
        <f t="shared" si="275"/>
        <v>1160</v>
      </c>
      <c r="BD261" s="60">
        <f t="shared" si="276"/>
        <v>0.15</v>
      </c>
      <c r="BE261" s="212" t="e">
        <f t="shared" si="239"/>
        <v>#NUM!</v>
      </c>
      <c r="BF261" s="59" t="e">
        <f t="shared" si="277"/>
        <v>#NUM!</v>
      </c>
      <c r="BG261" s="21" t="e">
        <f t="shared" si="278"/>
        <v>#NUM!</v>
      </c>
      <c r="BH261" s="55">
        <f t="shared" ca="1" si="232"/>
        <v>0</v>
      </c>
    </row>
    <row r="262" spans="1:60" x14ac:dyDescent="0.2">
      <c r="A262" s="61">
        <f ca="1">RANK(W262,W$12:W$311,0)+COUNTIF(W$12:W262,W262)-1</f>
        <v>50</v>
      </c>
      <c r="B262" s="55">
        <f>'Etape 1'!A258</f>
        <v>251</v>
      </c>
      <c r="C262" s="55">
        <f>'Etape 1'!B258</f>
        <v>0</v>
      </c>
      <c r="D262" s="55">
        <f>'Etape 1'!C258</f>
        <v>0</v>
      </c>
      <c r="E262" s="55">
        <f>'Etape 1'!D258</f>
        <v>0</v>
      </c>
      <c r="F262" s="55">
        <f>'Etape 1'!E258</f>
        <v>0</v>
      </c>
      <c r="G262" s="55">
        <f>'Etape 1'!F258</f>
        <v>0</v>
      </c>
      <c r="H262" s="55">
        <f>'Etape 1'!G258</f>
        <v>0</v>
      </c>
      <c r="I262" s="209">
        <v>1</v>
      </c>
      <c r="J262" s="58">
        <f t="shared" si="240"/>
        <v>0</v>
      </c>
      <c r="K262" s="21">
        <f t="shared" si="241"/>
        <v>0</v>
      </c>
      <c r="L262" s="21">
        <f t="shared" si="242"/>
        <v>0</v>
      </c>
      <c r="M262" s="21">
        <f t="shared" ca="1" si="243"/>
        <v>3</v>
      </c>
      <c r="N262" s="21">
        <f t="shared" ca="1" si="244"/>
        <v>3</v>
      </c>
      <c r="O262" s="21">
        <f t="shared" ca="1" si="245"/>
        <v>0</v>
      </c>
      <c r="P262" s="262" t="str">
        <f>IF('Etape 1'!J258=999,"",IF('Etape 1'!J258=9999,txt_Schritt1.Angaben.fehlen,VLOOKUP(N262,Matrix_1.2.3.Test.Punkte.ID.Beurteilung,4,1)))</f>
        <v/>
      </c>
      <c r="Q262" s="21">
        <f t="shared" ca="1" si="246"/>
        <v>0</v>
      </c>
      <c r="R262" s="136">
        <f t="shared" si="233"/>
        <v>251</v>
      </c>
      <c r="S262" s="136">
        <f t="shared" ca="1" si="230"/>
        <v>162.83388704318938</v>
      </c>
      <c r="T262" s="136">
        <f t="shared" ca="1" si="234"/>
        <v>750.83388704318941</v>
      </c>
      <c r="U262" s="136">
        <f t="shared" ca="1" si="235"/>
        <v>1224000.8338870432</v>
      </c>
      <c r="V262" s="211">
        <f t="shared" ca="1" si="236"/>
        <v>235407.02593136259</v>
      </c>
      <c r="W262" s="136">
        <f t="shared" ca="1" si="231"/>
        <v>251</v>
      </c>
      <c r="X262" s="136">
        <f t="shared" ca="1" si="247"/>
        <v>162.999000999001</v>
      </c>
      <c r="Y262" s="21">
        <f t="shared" si="248"/>
        <v>1</v>
      </c>
      <c r="Z262" s="21" t="str">
        <f t="shared" si="249"/>
        <v>&lt;IE0</v>
      </c>
      <c r="AA262" s="21">
        <f t="shared" si="250"/>
        <v>1</v>
      </c>
      <c r="AB262" s="21" t="str">
        <f t="shared" si="251"/>
        <v>a - "&lt; 1990 (Eff3)"</v>
      </c>
      <c r="AC262" s="21">
        <f t="shared" si="252"/>
        <v>999999</v>
      </c>
      <c r="AD262" s="21" t="str">
        <f t="shared" si="253"/>
        <v/>
      </c>
      <c r="AE262" s="21" t="str">
        <f t="shared" si="254"/>
        <v/>
      </c>
      <c r="AF262" s="21" t="str">
        <f t="shared" si="255"/>
        <v/>
      </c>
      <c r="AG262" s="21">
        <f t="shared" si="256"/>
        <v>0</v>
      </c>
      <c r="AH262" s="21">
        <f>IF('Etape 1'!H258=St.Wert_Hacken,1,0)</f>
        <v>0</v>
      </c>
      <c r="AI262" s="21">
        <f t="shared" si="257"/>
        <v>0</v>
      </c>
      <c r="AJ262" s="21">
        <f t="shared" si="258"/>
        <v>1000999</v>
      </c>
      <c r="AK262" s="58">
        <f t="shared" si="259"/>
        <v>1100</v>
      </c>
      <c r="AL262" s="58">
        <f t="shared" si="260"/>
        <v>440</v>
      </c>
      <c r="AM262" s="21">
        <f t="shared" si="261"/>
        <v>0</v>
      </c>
      <c r="AN262" s="58">
        <f t="shared" si="262"/>
        <v>1</v>
      </c>
      <c r="AO262" s="58" t="str">
        <f t="shared" si="263"/>
        <v>114</v>
      </c>
      <c r="AP262" s="58" t="str">
        <f t="shared" si="264"/>
        <v>164</v>
      </c>
      <c r="AQ262" s="21" t="e">
        <f t="shared" si="265"/>
        <v>#NUM!</v>
      </c>
      <c r="AR262" s="21" t="e">
        <f t="shared" si="266"/>
        <v>#NUM!</v>
      </c>
      <c r="AS262" s="136" t="e">
        <f t="shared" si="237"/>
        <v>#NUM!</v>
      </c>
      <c r="AT262" s="59" t="e">
        <f t="shared" si="267"/>
        <v>#NUM!</v>
      </c>
      <c r="AU262" s="21" t="e">
        <f t="shared" si="268"/>
        <v>#NUM!</v>
      </c>
      <c r="AV262" s="58">
        <f t="shared" si="269"/>
        <v>1500</v>
      </c>
      <c r="AW262" s="58">
        <f t="shared" si="270"/>
        <v>600</v>
      </c>
      <c r="AX262" s="60">
        <f t="shared" si="271"/>
        <v>0.11</v>
      </c>
      <c r="AY262" s="212">
        <f t="shared" si="238"/>
        <v>0</v>
      </c>
      <c r="AZ262" s="59">
        <f t="shared" si="272"/>
        <v>0</v>
      </c>
      <c r="BA262" s="21" t="e">
        <f t="shared" si="273"/>
        <v>#DIV/0!</v>
      </c>
      <c r="BB262" s="58">
        <f t="shared" si="274"/>
        <v>2900</v>
      </c>
      <c r="BC262" s="58">
        <f t="shared" si="275"/>
        <v>1160</v>
      </c>
      <c r="BD262" s="60">
        <f t="shared" si="276"/>
        <v>0.15</v>
      </c>
      <c r="BE262" s="212" t="e">
        <f t="shared" si="239"/>
        <v>#NUM!</v>
      </c>
      <c r="BF262" s="59" t="e">
        <f t="shared" si="277"/>
        <v>#NUM!</v>
      </c>
      <c r="BG262" s="21" t="e">
        <f t="shared" si="278"/>
        <v>#NUM!</v>
      </c>
      <c r="BH262" s="55">
        <f t="shared" ca="1" si="232"/>
        <v>0</v>
      </c>
    </row>
    <row r="263" spans="1:60" x14ac:dyDescent="0.2">
      <c r="A263" s="61">
        <f ca="1">RANK(W263,W$12:W$311,0)+COUNTIF(W$12:W263,W263)-1</f>
        <v>49</v>
      </c>
      <c r="B263" s="55">
        <f>'Etape 1'!A259</f>
        <v>252</v>
      </c>
      <c r="C263" s="55">
        <f>'Etape 1'!B259</f>
        <v>0</v>
      </c>
      <c r="D263" s="55">
        <f>'Etape 1'!C259</f>
        <v>0</v>
      </c>
      <c r="E263" s="55">
        <f>'Etape 1'!D259</f>
        <v>0</v>
      </c>
      <c r="F263" s="55">
        <f>'Etape 1'!E259</f>
        <v>0</v>
      </c>
      <c r="G263" s="55">
        <f>'Etape 1'!F259</f>
        <v>0</v>
      </c>
      <c r="H263" s="55">
        <f>'Etape 1'!G259</f>
        <v>0</v>
      </c>
      <c r="I263" s="209">
        <v>1</v>
      </c>
      <c r="J263" s="58">
        <f t="shared" si="240"/>
        <v>0</v>
      </c>
      <c r="K263" s="21">
        <f t="shared" si="241"/>
        <v>0</v>
      </c>
      <c r="L263" s="21">
        <f t="shared" si="242"/>
        <v>0</v>
      </c>
      <c r="M263" s="21">
        <f t="shared" ca="1" si="243"/>
        <v>3</v>
      </c>
      <c r="N263" s="21">
        <f t="shared" ca="1" si="244"/>
        <v>3</v>
      </c>
      <c r="O263" s="21">
        <f t="shared" ca="1" si="245"/>
        <v>0</v>
      </c>
      <c r="P263" s="262" t="str">
        <f>IF('Etape 1'!J259=999,"",IF('Etape 1'!J259=9999,txt_Schritt1.Angaben.fehlen,VLOOKUP(N263,Matrix_1.2.3.Test.Punkte.ID.Beurteilung,4,1)))</f>
        <v/>
      </c>
      <c r="Q263" s="21">
        <f t="shared" ca="1" si="246"/>
        <v>0</v>
      </c>
      <c r="R263" s="136">
        <f t="shared" si="233"/>
        <v>252</v>
      </c>
      <c r="S263" s="136">
        <f t="shared" ca="1" si="230"/>
        <v>162.83720930232559</v>
      </c>
      <c r="T263" s="136">
        <f t="shared" ca="1" si="234"/>
        <v>750.83720930232562</v>
      </c>
      <c r="U263" s="136">
        <f t="shared" ca="1" si="235"/>
        <v>1224000.8372093022</v>
      </c>
      <c r="V263" s="211">
        <f t="shared" ca="1" si="236"/>
        <v>235407.02925362173</v>
      </c>
      <c r="W263" s="136">
        <f t="shared" ca="1" si="231"/>
        <v>252</v>
      </c>
      <c r="X263" s="136">
        <f t="shared" ca="1" si="247"/>
        <v>162.999000999001</v>
      </c>
      <c r="Y263" s="21">
        <f t="shared" si="248"/>
        <v>1</v>
      </c>
      <c r="Z263" s="21" t="str">
        <f t="shared" si="249"/>
        <v>&lt;IE0</v>
      </c>
      <c r="AA263" s="21">
        <f t="shared" si="250"/>
        <v>1</v>
      </c>
      <c r="AB263" s="21" t="str">
        <f t="shared" si="251"/>
        <v>a - "&lt; 1990 (Eff3)"</v>
      </c>
      <c r="AC263" s="21">
        <f t="shared" si="252"/>
        <v>999999</v>
      </c>
      <c r="AD263" s="21" t="str">
        <f t="shared" si="253"/>
        <v/>
      </c>
      <c r="AE263" s="21" t="str">
        <f t="shared" si="254"/>
        <v/>
      </c>
      <c r="AF263" s="21" t="str">
        <f t="shared" si="255"/>
        <v/>
      </c>
      <c r="AG263" s="21">
        <f t="shared" si="256"/>
        <v>0</v>
      </c>
      <c r="AH263" s="21">
        <f>IF('Etape 1'!H259=St.Wert_Hacken,1,0)</f>
        <v>0</v>
      </c>
      <c r="AI263" s="21">
        <f t="shared" si="257"/>
        <v>0</v>
      </c>
      <c r="AJ263" s="21">
        <f t="shared" si="258"/>
        <v>1000999</v>
      </c>
      <c r="AK263" s="58">
        <f t="shared" si="259"/>
        <v>1100</v>
      </c>
      <c r="AL263" s="58">
        <f t="shared" si="260"/>
        <v>440</v>
      </c>
      <c r="AM263" s="21">
        <f t="shared" si="261"/>
        <v>0</v>
      </c>
      <c r="AN263" s="58">
        <f t="shared" si="262"/>
        <v>1</v>
      </c>
      <c r="AO263" s="58" t="str">
        <f t="shared" si="263"/>
        <v>114</v>
      </c>
      <c r="AP263" s="58" t="str">
        <f t="shared" si="264"/>
        <v>164</v>
      </c>
      <c r="AQ263" s="21" t="e">
        <f t="shared" si="265"/>
        <v>#NUM!</v>
      </c>
      <c r="AR263" s="21" t="e">
        <f t="shared" si="266"/>
        <v>#NUM!</v>
      </c>
      <c r="AS263" s="136" t="e">
        <f t="shared" si="237"/>
        <v>#NUM!</v>
      </c>
      <c r="AT263" s="59" t="e">
        <f t="shared" si="267"/>
        <v>#NUM!</v>
      </c>
      <c r="AU263" s="21" t="e">
        <f t="shared" si="268"/>
        <v>#NUM!</v>
      </c>
      <c r="AV263" s="58">
        <f t="shared" si="269"/>
        <v>1500</v>
      </c>
      <c r="AW263" s="58">
        <f t="shared" si="270"/>
        <v>600</v>
      </c>
      <c r="AX263" s="60">
        <f t="shared" si="271"/>
        <v>0.11</v>
      </c>
      <c r="AY263" s="212">
        <f t="shared" si="238"/>
        <v>0</v>
      </c>
      <c r="AZ263" s="59">
        <f t="shared" si="272"/>
        <v>0</v>
      </c>
      <c r="BA263" s="21" t="e">
        <f t="shared" si="273"/>
        <v>#DIV/0!</v>
      </c>
      <c r="BB263" s="58">
        <f t="shared" si="274"/>
        <v>2900</v>
      </c>
      <c r="BC263" s="58">
        <f t="shared" si="275"/>
        <v>1160</v>
      </c>
      <c r="BD263" s="60">
        <f t="shared" si="276"/>
        <v>0.15</v>
      </c>
      <c r="BE263" s="212" t="e">
        <f t="shared" si="239"/>
        <v>#NUM!</v>
      </c>
      <c r="BF263" s="59" t="e">
        <f t="shared" si="277"/>
        <v>#NUM!</v>
      </c>
      <c r="BG263" s="21" t="e">
        <f t="shared" si="278"/>
        <v>#NUM!</v>
      </c>
      <c r="BH263" s="55">
        <f t="shared" ca="1" si="232"/>
        <v>0</v>
      </c>
    </row>
    <row r="264" spans="1:60" x14ac:dyDescent="0.2">
      <c r="A264" s="61">
        <f ca="1">RANK(W264,W$12:W$311,0)+COUNTIF(W$12:W264,W264)-1</f>
        <v>48</v>
      </c>
      <c r="B264" s="55">
        <f>'Etape 1'!A260</f>
        <v>253</v>
      </c>
      <c r="C264" s="55">
        <f>'Etape 1'!B260</f>
        <v>0</v>
      </c>
      <c r="D264" s="55">
        <f>'Etape 1'!C260</f>
        <v>0</v>
      </c>
      <c r="E264" s="55">
        <f>'Etape 1'!D260</f>
        <v>0</v>
      </c>
      <c r="F264" s="55">
        <f>'Etape 1'!E260</f>
        <v>0</v>
      </c>
      <c r="G264" s="55">
        <f>'Etape 1'!F260</f>
        <v>0</v>
      </c>
      <c r="H264" s="55">
        <f>'Etape 1'!G260</f>
        <v>0</v>
      </c>
      <c r="I264" s="209">
        <v>1</v>
      </c>
      <c r="J264" s="58">
        <f t="shared" si="240"/>
        <v>0</v>
      </c>
      <c r="K264" s="21">
        <f t="shared" si="241"/>
        <v>0</v>
      </c>
      <c r="L264" s="21">
        <f t="shared" si="242"/>
        <v>0</v>
      </c>
      <c r="M264" s="21">
        <f t="shared" ca="1" si="243"/>
        <v>3</v>
      </c>
      <c r="N264" s="21">
        <f t="shared" ca="1" si="244"/>
        <v>3</v>
      </c>
      <c r="O264" s="21">
        <f t="shared" ca="1" si="245"/>
        <v>0</v>
      </c>
      <c r="P264" s="262" t="str">
        <f>IF('Etape 1'!J260=999,"",IF('Etape 1'!J260=9999,txt_Schritt1.Angaben.fehlen,VLOOKUP(N264,Matrix_1.2.3.Test.Punkte.ID.Beurteilung,4,1)))</f>
        <v/>
      </c>
      <c r="Q264" s="21">
        <f t="shared" ca="1" si="246"/>
        <v>0</v>
      </c>
      <c r="R264" s="136">
        <f t="shared" si="233"/>
        <v>253</v>
      </c>
      <c r="S264" s="136">
        <f t="shared" ca="1" si="230"/>
        <v>162.8405315614618</v>
      </c>
      <c r="T264" s="136">
        <f t="shared" ca="1" si="234"/>
        <v>750.84053156146183</v>
      </c>
      <c r="U264" s="136">
        <f t="shared" ca="1" si="235"/>
        <v>1224000.8405315615</v>
      </c>
      <c r="V264" s="211">
        <f t="shared" ca="1" si="236"/>
        <v>235407.03257588088</v>
      </c>
      <c r="W264" s="136">
        <f t="shared" ca="1" si="231"/>
        <v>253</v>
      </c>
      <c r="X264" s="136">
        <f t="shared" ca="1" si="247"/>
        <v>162.999000999001</v>
      </c>
      <c r="Y264" s="21">
        <f t="shared" si="248"/>
        <v>1</v>
      </c>
      <c r="Z264" s="21" t="str">
        <f t="shared" si="249"/>
        <v>&lt;IE0</v>
      </c>
      <c r="AA264" s="21">
        <f t="shared" si="250"/>
        <v>1</v>
      </c>
      <c r="AB264" s="21" t="str">
        <f t="shared" si="251"/>
        <v>a - "&lt; 1990 (Eff3)"</v>
      </c>
      <c r="AC264" s="21">
        <f t="shared" si="252"/>
        <v>999999</v>
      </c>
      <c r="AD264" s="21" t="str">
        <f t="shared" si="253"/>
        <v/>
      </c>
      <c r="AE264" s="21" t="str">
        <f t="shared" si="254"/>
        <v/>
      </c>
      <c r="AF264" s="21" t="str">
        <f t="shared" si="255"/>
        <v/>
      </c>
      <c r="AG264" s="21">
        <f t="shared" si="256"/>
        <v>0</v>
      </c>
      <c r="AH264" s="21">
        <f>IF('Etape 1'!H260=St.Wert_Hacken,1,0)</f>
        <v>0</v>
      </c>
      <c r="AI264" s="21">
        <f t="shared" si="257"/>
        <v>0</v>
      </c>
      <c r="AJ264" s="21">
        <f t="shared" si="258"/>
        <v>1000999</v>
      </c>
      <c r="AK264" s="58">
        <f t="shared" si="259"/>
        <v>1100</v>
      </c>
      <c r="AL264" s="58">
        <f t="shared" si="260"/>
        <v>440</v>
      </c>
      <c r="AM264" s="21">
        <f t="shared" si="261"/>
        <v>0</v>
      </c>
      <c r="AN264" s="58">
        <f t="shared" si="262"/>
        <v>1</v>
      </c>
      <c r="AO264" s="58" t="str">
        <f t="shared" si="263"/>
        <v>114</v>
      </c>
      <c r="AP264" s="58" t="str">
        <f t="shared" si="264"/>
        <v>164</v>
      </c>
      <c r="AQ264" s="21" t="e">
        <f t="shared" si="265"/>
        <v>#NUM!</v>
      </c>
      <c r="AR264" s="21" t="e">
        <f t="shared" si="266"/>
        <v>#NUM!</v>
      </c>
      <c r="AS264" s="136" t="e">
        <f t="shared" si="237"/>
        <v>#NUM!</v>
      </c>
      <c r="AT264" s="59" t="e">
        <f t="shared" si="267"/>
        <v>#NUM!</v>
      </c>
      <c r="AU264" s="21" t="e">
        <f t="shared" si="268"/>
        <v>#NUM!</v>
      </c>
      <c r="AV264" s="58">
        <f t="shared" si="269"/>
        <v>1500</v>
      </c>
      <c r="AW264" s="58">
        <f t="shared" si="270"/>
        <v>600</v>
      </c>
      <c r="AX264" s="60">
        <f t="shared" si="271"/>
        <v>0.11</v>
      </c>
      <c r="AY264" s="212">
        <f t="shared" si="238"/>
        <v>0</v>
      </c>
      <c r="AZ264" s="59">
        <f t="shared" si="272"/>
        <v>0</v>
      </c>
      <c r="BA264" s="21" t="e">
        <f t="shared" si="273"/>
        <v>#DIV/0!</v>
      </c>
      <c r="BB264" s="58">
        <f t="shared" si="274"/>
        <v>2900</v>
      </c>
      <c r="BC264" s="58">
        <f t="shared" si="275"/>
        <v>1160</v>
      </c>
      <c r="BD264" s="60">
        <f t="shared" si="276"/>
        <v>0.15</v>
      </c>
      <c r="BE264" s="212" t="e">
        <f t="shared" si="239"/>
        <v>#NUM!</v>
      </c>
      <c r="BF264" s="59" t="e">
        <f t="shared" si="277"/>
        <v>#NUM!</v>
      </c>
      <c r="BG264" s="21" t="e">
        <f t="shared" si="278"/>
        <v>#NUM!</v>
      </c>
      <c r="BH264" s="55">
        <f t="shared" ca="1" si="232"/>
        <v>0</v>
      </c>
    </row>
    <row r="265" spans="1:60" x14ac:dyDescent="0.2">
      <c r="A265" s="61">
        <f ca="1">RANK(W265,W$12:W$311,0)+COUNTIF(W$12:W265,W265)-1</f>
        <v>47</v>
      </c>
      <c r="B265" s="55">
        <f>'Etape 1'!A261</f>
        <v>254</v>
      </c>
      <c r="C265" s="55">
        <f>'Etape 1'!B261</f>
        <v>0</v>
      </c>
      <c r="D265" s="55">
        <f>'Etape 1'!C261</f>
        <v>0</v>
      </c>
      <c r="E265" s="55">
        <f>'Etape 1'!D261</f>
        <v>0</v>
      </c>
      <c r="F265" s="55">
        <f>'Etape 1'!E261</f>
        <v>0</v>
      </c>
      <c r="G265" s="55">
        <f>'Etape 1'!F261</f>
        <v>0</v>
      </c>
      <c r="H265" s="55">
        <f>'Etape 1'!G261</f>
        <v>0</v>
      </c>
      <c r="I265" s="209">
        <v>1</v>
      </c>
      <c r="J265" s="58">
        <f t="shared" si="240"/>
        <v>0</v>
      </c>
      <c r="K265" s="21">
        <f t="shared" si="241"/>
        <v>0</v>
      </c>
      <c r="L265" s="21">
        <f t="shared" si="242"/>
        <v>0</v>
      </c>
      <c r="M265" s="21">
        <f t="shared" ca="1" si="243"/>
        <v>3</v>
      </c>
      <c r="N265" s="21">
        <f t="shared" ca="1" si="244"/>
        <v>3</v>
      </c>
      <c r="O265" s="21">
        <f t="shared" ca="1" si="245"/>
        <v>0</v>
      </c>
      <c r="P265" s="262" t="str">
        <f>IF('Etape 1'!J261=999,"",IF('Etape 1'!J261=9999,txt_Schritt1.Angaben.fehlen,VLOOKUP(N265,Matrix_1.2.3.Test.Punkte.ID.Beurteilung,4,1)))</f>
        <v/>
      </c>
      <c r="Q265" s="21">
        <f t="shared" ca="1" si="246"/>
        <v>0</v>
      </c>
      <c r="R265" s="136">
        <f t="shared" si="233"/>
        <v>254</v>
      </c>
      <c r="S265" s="136">
        <f t="shared" ca="1" si="230"/>
        <v>162.84385382059801</v>
      </c>
      <c r="T265" s="136">
        <f t="shared" ca="1" si="234"/>
        <v>750.84385382059804</v>
      </c>
      <c r="U265" s="136">
        <f t="shared" ca="1" si="235"/>
        <v>1224000.8438538206</v>
      </c>
      <c r="V265" s="211">
        <f t="shared" ca="1" si="236"/>
        <v>235407.03589814002</v>
      </c>
      <c r="W265" s="136">
        <f t="shared" ca="1" si="231"/>
        <v>254</v>
      </c>
      <c r="X265" s="136">
        <f t="shared" ca="1" si="247"/>
        <v>162.999000999001</v>
      </c>
      <c r="Y265" s="21">
        <f t="shared" si="248"/>
        <v>1</v>
      </c>
      <c r="Z265" s="21" t="str">
        <f t="shared" si="249"/>
        <v>&lt;IE0</v>
      </c>
      <c r="AA265" s="21">
        <f t="shared" si="250"/>
        <v>1</v>
      </c>
      <c r="AB265" s="21" t="str">
        <f t="shared" si="251"/>
        <v>a - "&lt; 1990 (Eff3)"</v>
      </c>
      <c r="AC265" s="21">
        <f t="shared" si="252"/>
        <v>999999</v>
      </c>
      <c r="AD265" s="21" t="str">
        <f t="shared" si="253"/>
        <v/>
      </c>
      <c r="AE265" s="21" t="str">
        <f t="shared" si="254"/>
        <v/>
      </c>
      <c r="AF265" s="21" t="str">
        <f t="shared" si="255"/>
        <v/>
      </c>
      <c r="AG265" s="21">
        <f t="shared" si="256"/>
        <v>0</v>
      </c>
      <c r="AH265" s="21">
        <f>IF('Etape 1'!H261=St.Wert_Hacken,1,0)</f>
        <v>0</v>
      </c>
      <c r="AI265" s="21">
        <f t="shared" si="257"/>
        <v>0</v>
      </c>
      <c r="AJ265" s="21">
        <f t="shared" si="258"/>
        <v>1000999</v>
      </c>
      <c r="AK265" s="58">
        <f t="shared" si="259"/>
        <v>1100</v>
      </c>
      <c r="AL265" s="58">
        <f t="shared" si="260"/>
        <v>440</v>
      </c>
      <c r="AM265" s="21">
        <f t="shared" si="261"/>
        <v>0</v>
      </c>
      <c r="AN265" s="58">
        <f t="shared" si="262"/>
        <v>1</v>
      </c>
      <c r="AO265" s="58" t="str">
        <f t="shared" si="263"/>
        <v>114</v>
      </c>
      <c r="AP265" s="58" t="str">
        <f t="shared" si="264"/>
        <v>164</v>
      </c>
      <c r="AQ265" s="21" t="e">
        <f t="shared" si="265"/>
        <v>#NUM!</v>
      </c>
      <c r="AR265" s="21" t="e">
        <f t="shared" si="266"/>
        <v>#NUM!</v>
      </c>
      <c r="AS265" s="136" t="e">
        <f t="shared" si="237"/>
        <v>#NUM!</v>
      </c>
      <c r="AT265" s="59" t="e">
        <f t="shared" si="267"/>
        <v>#NUM!</v>
      </c>
      <c r="AU265" s="21" t="e">
        <f t="shared" si="268"/>
        <v>#NUM!</v>
      </c>
      <c r="AV265" s="58">
        <f t="shared" si="269"/>
        <v>1500</v>
      </c>
      <c r="AW265" s="58">
        <f t="shared" si="270"/>
        <v>600</v>
      </c>
      <c r="AX265" s="60">
        <f t="shared" si="271"/>
        <v>0.11</v>
      </c>
      <c r="AY265" s="212">
        <f t="shared" si="238"/>
        <v>0</v>
      </c>
      <c r="AZ265" s="59">
        <f t="shared" si="272"/>
        <v>0</v>
      </c>
      <c r="BA265" s="21" t="e">
        <f t="shared" si="273"/>
        <v>#DIV/0!</v>
      </c>
      <c r="BB265" s="58">
        <f t="shared" si="274"/>
        <v>2900</v>
      </c>
      <c r="BC265" s="58">
        <f t="shared" si="275"/>
        <v>1160</v>
      </c>
      <c r="BD265" s="60">
        <f t="shared" si="276"/>
        <v>0.15</v>
      </c>
      <c r="BE265" s="212" t="e">
        <f t="shared" si="239"/>
        <v>#NUM!</v>
      </c>
      <c r="BF265" s="59" t="e">
        <f t="shared" si="277"/>
        <v>#NUM!</v>
      </c>
      <c r="BG265" s="21" t="e">
        <f t="shared" si="278"/>
        <v>#NUM!</v>
      </c>
      <c r="BH265" s="55">
        <f t="shared" ca="1" si="232"/>
        <v>0</v>
      </c>
    </row>
    <row r="266" spans="1:60" x14ac:dyDescent="0.2">
      <c r="A266" s="61">
        <f ca="1">RANK(W266,W$12:W$311,0)+COUNTIF(W$12:W266,W266)-1</f>
        <v>46</v>
      </c>
      <c r="B266" s="55">
        <f>'Etape 1'!A262</f>
        <v>255</v>
      </c>
      <c r="C266" s="55">
        <f>'Etape 1'!B262</f>
        <v>0</v>
      </c>
      <c r="D266" s="55">
        <f>'Etape 1'!C262</f>
        <v>0</v>
      </c>
      <c r="E266" s="55">
        <f>'Etape 1'!D262</f>
        <v>0</v>
      </c>
      <c r="F266" s="55">
        <f>'Etape 1'!E262</f>
        <v>0</v>
      </c>
      <c r="G266" s="55">
        <f>'Etape 1'!F262</f>
        <v>0</v>
      </c>
      <c r="H266" s="55">
        <f>'Etape 1'!G262</f>
        <v>0</v>
      </c>
      <c r="I266" s="209">
        <v>1</v>
      </c>
      <c r="J266" s="58">
        <f t="shared" si="240"/>
        <v>0</v>
      </c>
      <c r="K266" s="21">
        <f t="shared" si="241"/>
        <v>0</v>
      </c>
      <c r="L266" s="21">
        <f t="shared" si="242"/>
        <v>0</v>
      </c>
      <c r="M266" s="21">
        <f t="shared" ca="1" si="243"/>
        <v>3</v>
      </c>
      <c r="N266" s="21">
        <f t="shared" ca="1" si="244"/>
        <v>3</v>
      </c>
      <c r="O266" s="21">
        <f t="shared" ca="1" si="245"/>
        <v>0</v>
      </c>
      <c r="P266" s="262" t="str">
        <f>IF('Etape 1'!J262=999,"",IF('Etape 1'!J262=9999,txt_Schritt1.Angaben.fehlen,VLOOKUP(N266,Matrix_1.2.3.Test.Punkte.ID.Beurteilung,4,1)))</f>
        <v/>
      </c>
      <c r="Q266" s="21">
        <f t="shared" ca="1" si="246"/>
        <v>0</v>
      </c>
      <c r="R266" s="136">
        <f t="shared" si="233"/>
        <v>255</v>
      </c>
      <c r="S266" s="136">
        <f t="shared" ca="1" si="230"/>
        <v>162.84717607973423</v>
      </c>
      <c r="T266" s="136">
        <f t="shared" ca="1" si="234"/>
        <v>750.84717607973425</v>
      </c>
      <c r="U266" s="136">
        <f t="shared" ca="1" si="235"/>
        <v>1224000.8471760796</v>
      </c>
      <c r="V266" s="211">
        <f t="shared" ca="1" si="236"/>
        <v>235407.03922039914</v>
      </c>
      <c r="W266" s="136">
        <f t="shared" ca="1" si="231"/>
        <v>255</v>
      </c>
      <c r="X266" s="136">
        <f t="shared" ca="1" si="247"/>
        <v>162.999000999001</v>
      </c>
      <c r="Y266" s="21">
        <f t="shared" si="248"/>
        <v>1</v>
      </c>
      <c r="Z266" s="21" t="str">
        <f t="shared" si="249"/>
        <v>&lt;IE0</v>
      </c>
      <c r="AA266" s="21">
        <f t="shared" si="250"/>
        <v>1</v>
      </c>
      <c r="AB266" s="21" t="str">
        <f t="shared" si="251"/>
        <v>a - "&lt; 1990 (Eff3)"</v>
      </c>
      <c r="AC266" s="21">
        <f t="shared" si="252"/>
        <v>999999</v>
      </c>
      <c r="AD266" s="21" t="str">
        <f t="shared" si="253"/>
        <v/>
      </c>
      <c r="AE266" s="21" t="str">
        <f t="shared" si="254"/>
        <v/>
      </c>
      <c r="AF266" s="21" t="str">
        <f t="shared" si="255"/>
        <v/>
      </c>
      <c r="AG266" s="21">
        <f t="shared" si="256"/>
        <v>0</v>
      </c>
      <c r="AH266" s="21">
        <f>IF('Etape 1'!H262=St.Wert_Hacken,1,0)</f>
        <v>0</v>
      </c>
      <c r="AI266" s="21">
        <f t="shared" si="257"/>
        <v>0</v>
      </c>
      <c r="AJ266" s="21">
        <f t="shared" si="258"/>
        <v>1000999</v>
      </c>
      <c r="AK266" s="58">
        <f t="shared" si="259"/>
        <v>1100</v>
      </c>
      <c r="AL266" s="58">
        <f t="shared" si="260"/>
        <v>440</v>
      </c>
      <c r="AM266" s="21">
        <f t="shared" si="261"/>
        <v>0</v>
      </c>
      <c r="AN266" s="58">
        <f t="shared" si="262"/>
        <v>1</v>
      </c>
      <c r="AO266" s="58" t="str">
        <f t="shared" si="263"/>
        <v>114</v>
      </c>
      <c r="AP266" s="58" t="str">
        <f t="shared" si="264"/>
        <v>164</v>
      </c>
      <c r="AQ266" s="21" t="e">
        <f t="shared" si="265"/>
        <v>#NUM!</v>
      </c>
      <c r="AR266" s="21" t="e">
        <f t="shared" si="266"/>
        <v>#NUM!</v>
      </c>
      <c r="AS266" s="136" t="e">
        <f t="shared" si="237"/>
        <v>#NUM!</v>
      </c>
      <c r="AT266" s="59" t="e">
        <f t="shared" si="267"/>
        <v>#NUM!</v>
      </c>
      <c r="AU266" s="21" t="e">
        <f t="shared" si="268"/>
        <v>#NUM!</v>
      </c>
      <c r="AV266" s="58">
        <f t="shared" si="269"/>
        <v>1500</v>
      </c>
      <c r="AW266" s="58">
        <f t="shared" si="270"/>
        <v>600</v>
      </c>
      <c r="AX266" s="60">
        <f t="shared" si="271"/>
        <v>0.11</v>
      </c>
      <c r="AY266" s="212">
        <f t="shared" si="238"/>
        <v>0</v>
      </c>
      <c r="AZ266" s="59">
        <f t="shared" si="272"/>
        <v>0</v>
      </c>
      <c r="BA266" s="21" t="e">
        <f t="shared" si="273"/>
        <v>#DIV/0!</v>
      </c>
      <c r="BB266" s="58">
        <f t="shared" si="274"/>
        <v>2900</v>
      </c>
      <c r="BC266" s="58">
        <f t="shared" si="275"/>
        <v>1160</v>
      </c>
      <c r="BD266" s="60">
        <f t="shared" si="276"/>
        <v>0.15</v>
      </c>
      <c r="BE266" s="212" t="e">
        <f t="shared" si="239"/>
        <v>#NUM!</v>
      </c>
      <c r="BF266" s="59" t="e">
        <f t="shared" si="277"/>
        <v>#NUM!</v>
      </c>
      <c r="BG266" s="21" t="e">
        <f t="shared" si="278"/>
        <v>#NUM!</v>
      </c>
      <c r="BH266" s="55">
        <f t="shared" ca="1" si="232"/>
        <v>0</v>
      </c>
    </row>
    <row r="267" spans="1:60" x14ac:dyDescent="0.2">
      <c r="A267" s="61">
        <f ca="1">RANK(W267,W$12:W$311,0)+COUNTIF(W$12:W267,W267)-1</f>
        <v>45</v>
      </c>
      <c r="B267" s="55">
        <f>'Etape 1'!A263</f>
        <v>256</v>
      </c>
      <c r="C267" s="55">
        <f>'Etape 1'!B263</f>
        <v>0</v>
      </c>
      <c r="D267" s="55">
        <f>'Etape 1'!C263</f>
        <v>0</v>
      </c>
      <c r="E267" s="55">
        <f>'Etape 1'!D263</f>
        <v>0</v>
      </c>
      <c r="F267" s="55">
        <f>'Etape 1'!E263</f>
        <v>0</v>
      </c>
      <c r="G267" s="55">
        <f>'Etape 1'!F263</f>
        <v>0</v>
      </c>
      <c r="H267" s="55">
        <f>'Etape 1'!G263</f>
        <v>0</v>
      </c>
      <c r="I267" s="209">
        <v>1</v>
      </c>
      <c r="J267" s="58">
        <f t="shared" si="240"/>
        <v>0</v>
      </c>
      <c r="K267" s="21">
        <f t="shared" si="241"/>
        <v>0</v>
      </c>
      <c r="L267" s="21">
        <f t="shared" si="242"/>
        <v>0</v>
      </c>
      <c r="M267" s="21">
        <f t="shared" ca="1" si="243"/>
        <v>3</v>
      </c>
      <c r="N267" s="21">
        <f t="shared" ca="1" si="244"/>
        <v>3</v>
      </c>
      <c r="O267" s="21">
        <f t="shared" ca="1" si="245"/>
        <v>0</v>
      </c>
      <c r="P267" s="262" t="str">
        <f>IF('Etape 1'!J263=999,"",IF('Etape 1'!J263=9999,txt_Schritt1.Angaben.fehlen,VLOOKUP(N267,Matrix_1.2.3.Test.Punkte.ID.Beurteilung,4,1)))</f>
        <v/>
      </c>
      <c r="Q267" s="21">
        <f t="shared" ca="1" si="246"/>
        <v>0</v>
      </c>
      <c r="R267" s="136">
        <f t="shared" si="233"/>
        <v>256</v>
      </c>
      <c r="S267" s="136">
        <f t="shared" ca="1" si="230"/>
        <v>162.85049833887044</v>
      </c>
      <c r="T267" s="136">
        <f t="shared" ca="1" si="234"/>
        <v>750.85049833887047</v>
      </c>
      <c r="U267" s="136">
        <f t="shared" ca="1" si="235"/>
        <v>1224000.8504983389</v>
      </c>
      <c r="V267" s="211">
        <f t="shared" ca="1" si="236"/>
        <v>235407.04254265828</v>
      </c>
      <c r="W267" s="136">
        <f t="shared" ca="1" si="231"/>
        <v>256</v>
      </c>
      <c r="X267" s="136">
        <f t="shared" ca="1" si="247"/>
        <v>162.999000999001</v>
      </c>
      <c r="Y267" s="21">
        <f t="shared" si="248"/>
        <v>1</v>
      </c>
      <c r="Z267" s="21" t="str">
        <f t="shared" si="249"/>
        <v>&lt;IE0</v>
      </c>
      <c r="AA267" s="21">
        <f t="shared" si="250"/>
        <v>1</v>
      </c>
      <c r="AB267" s="21" t="str">
        <f t="shared" si="251"/>
        <v>a - "&lt; 1990 (Eff3)"</v>
      </c>
      <c r="AC267" s="21">
        <f t="shared" si="252"/>
        <v>999999</v>
      </c>
      <c r="AD267" s="21" t="str">
        <f t="shared" si="253"/>
        <v/>
      </c>
      <c r="AE267" s="21" t="str">
        <f t="shared" si="254"/>
        <v/>
      </c>
      <c r="AF267" s="21" t="str">
        <f t="shared" si="255"/>
        <v/>
      </c>
      <c r="AG267" s="21">
        <f t="shared" si="256"/>
        <v>0</v>
      </c>
      <c r="AH267" s="21">
        <f>IF('Etape 1'!H263=St.Wert_Hacken,1,0)</f>
        <v>0</v>
      </c>
      <c r="AI267" s="21">
        <f t="shared" si="257"/>
        <v>0</v>
      </c>
      <c r="AJ267" s="21">
        <f t="shared" si="258"/>
        <v>1000999</v>
      </c>
      <c r="AK267" s="58">
        <f t="shared" si="259"/>
        <v>1100</v>
      </c>
      <c r="AL267" s="58">
        <f t="shared" si="260"/>
        <v>440</v>
      </c>
      <c r="AM267" s="21">
        <f t="shared" si="261"/>
        <v>0</v>
      </c>
      <c r="AN267" s="58">
        <f t="shared" si="262"/>
        <v>1</v>
      </c>
      <c r="AO267" s="58" t="str">
        <f t="shared" si="263"/>
        <v>114</v>
      </c>
      <c r="AP267" s="58" t="str">
        <f t="shared" si="264"/>
        <v>164</v>
      </c>
      <c r="AQ267" s="21" t="e">
        <f t="shared" si="265"/>
        <v>#NUM!</v>
      </c>
      <c r="AR267" s="21" t="e">
        <f t="shared" si="266"/>
        <v>#NUM!</v>
      </c>
      <c r="AS267" s="136" t="e">
        <f t="shared" si="237"/>
        <v>#NUM!</v>
      </c>
      <c r="AT267" s="59" t="e">
        <f t="shared" si="267"/>
        <v>#NUM!</v>
      </c>
      <c r="AU267" s="21" t="e">
        <f t="shared" si="268"/>
        <v>#NUM!</v>
      </c>
      <c r="AV267" s="58">
        <f t="shared" si="269"/>
        <v>1500</v>
      </c>
      <c r="AW267" s="58">
        <f t="shared" si="270"/>
        <v>600</v>
      </c>
      <c r="AX267" s="60">
        <f t="shared" si="271"/>
        <v>0.11</v>
      </c>
      <c r="AY267" s="212">
        <f t="shared" si="238"/>
        <v>0</v>
      </c>
      <c r="AZ267" s="59">
        <f t="shared" si="272"/>
        <v>0</v>
      </c>
      <c r="BA267" s="21" t="e">
        <f t="shared" si="273"/>
        <v>#DIV/0!</v>
      </c>
      <c r="BB267" s="58">
        <f t="shared" si="274"/>
        <v>2900</v>
      </c>
      <c r="BC267" s="58">
        <f t="shared" si="275"/>
        <v>1160</v>
      </c>
      <c r="BD267" s="60">
        <f t="shared" si="276"/>
        <v>0.15</v>
      </c>
      <c r="BE267" s="212" t="e">
        <f t="shared" si="239"/>
        <v>#NUM!</v>
      </c>
      <c r="BF267" s="59" t="e">
        <f t="shared" si="277"/>
        <v>#NUM!</v>
      </c>
      <c r="BG267" s="21" t="e">
        <f t="shared" si="278"/>
        <v>#NUM!</v>
      </c>
      <c r="BH267" s="55">
        <f t="shared" ca="1" si="232"/>
        <v>0</v>
      </c>
    </row>
    <row r="268" spans="1:60" x14ac:dyDescent="0.2">
      <c r="A268" s="61">
        <f ca="1">RANK(W268,W$12:W$311,0)+COUNTIF(W$12:W268,W268)-1</f>
        <v>44</v>
      </c>
      <c r="B268" s="55">
        <f>'Etape 1'!A264</f>
        <v>257</v>
      </c>
      <c r="C268" s="55">
        <f>'Etape 1'!B264</f>
        <v>0</v>
      </c>
      <c r="D268" s="55">
        <f>'Etape 1'!C264</f>
        <v>0</v>
      </c>
      <c r="E268" s="55">
        <f>'Etape 1'!D264</f>
        <v>0</v>
      </c>
      <c r="F268" s="55">
        <f>'Etape 1'!E264</f>
        <v>0</v>
      </c>
      <c r="G268" s="55">
        <f>'Etape 1'!F264</f>
        <v>0</v>
      </c>
      <c r="H268" s="55">
        <f>'Etape 1'!G264</f>
        <v>0</v>
      </c>
      <c r="I268" s="209">
        <v>1</v>
      </c>
      <c r="J268" s="58">
        <f t="shared" si="240"/>
        <v>0</v>
      </c>
      <c r="K268" s="21">
        <f t="shared" si="241"/>
        <v>0</v>
      </c>
      <c r="L268" s="21">
        <f t="shared" si="242"/>
        <v>0</v>
      </c>
      <c r="M268" s="21">
        <f t="shared" ca="1" si="243"/>
        <v>3</v>
      </c>
      <c r="N268" s="21">
        <f t="shared" ca="1" si="244"/>
        <v>3</v>
      </c>
      <c r="O268" s="21">
        <f t="shared" ca="1" si="245"/>
        <v>0</v>
      </c>
      <c r="P268" s="262" t="str">
        <f>IF('Etape 1'!J264=999,"",IF('Etape 1'!J264=9999,txt_Schritt1.Angaben.fehlen,VLOOKUP(N268,Matrix_1.2.3.Test.Punkte.ID.Beurteilung,4,1)))</f>
        <v/>
      </c>
      <c r="Q268" s="21">
        <f t="shared" ca="1" si="246"/>
        <v>0</v>
      </c>
      <c r="R268" s="136">
        <f t="shared" si="233"/>
        <v>257</v>
      </c>
      <c r="S268" s="136">
        <f t="shared" ref="S268:S311" ca="1" si="279">IF(Q268=0,3,Q268)*St.Wert_1.2.3.Test.PkteMax-N268+$B268/(MAX($B$12:$B$311)+1)</f>
        <v>162.85382059800665</v>
      </c>
      <c r="T268" s="136">
        <f t="shared" ca="1" si="234"/>
        <v>750.85382059800668</v>
      </c>
      <c r="U268" s="136">
        <f t="shared" ca="1" si="235"/>
        <v>1224000.853820598</v>
      </c>
      <c r="V268" s="211">
        <f t="shared" ca="1" si="236"/>
        <v>235407.04586491743</v>
      </c>
      <c r="W268" s="136">
        <f t="shared" ref="W268:W311" ca="1" si="280">INDIRECT(ADDRESS(ROW(W268),Wert_Sortiervariante.SpaltenNr))</f>
        <v>257</v>
      </c>
      <c r="X268" s="136">
        <f t="shared" ca="1" si="247"/>
        <v>162.999000999001</v>
      </c>
      <c r="Y268" s="21">
        <f t="shared" si="248"/>
        <v>1</v>
      </c>
      <c r="Z268" s="21" t="str">
        <f t="shared" si="249"/>
        <v>&lt;IE0</v>
      </c>
      <c r="AA268" s="21">
        <f t="shared" si="250"/>
        <v>1</v>
      </c>
      <c r="AB268" s="21" t="str">
        <f t="shared" si="251"/>
        <v>a - "&lt; 1990 (Eff3)"</v>
      </c>
      <c r="AC268" s="21">
        <f t="shared" si="252"/>
        <v>999999</v>
      </c>
      <c r="AD268" s="21" t="str">
        <f t="shared" si="253"/>
        <v/>
      </c>
      <c r="AE268" s="21" t="str">
        <f t="shared" si="254"/>
        <v/>
      </c>
      <c r="AF268" s="21" t="str">
        <f t="shared" si="255"/>
        <v/>
      </c>
      <c r="AG268" s="21">
        <f t="shared" si="256"/>
        <v>0</v>
      </c>
      <c r="AH268" s="21">
        <f>IF('Etape 1'!H264=St.Wert_Hacken,1,0)</f>
        <v>0</v>
      </c>
      <c r="AI268" s="21">
        <f t="shared" si="257"/>
        <v>0</v>
      </c>
      <c r="AJ268" s="21">
        <f t="shared" si="258"/>
        <v>1000999</v>
      </c>
      <c r="AK268" s="58">
        <f t="shared" si="259"/>
        <v>1100</v>
      </c>
      <c r="AL268" s="58">
        <f t="shared" si="260"/>
        <v>440</v>
      </c>
      <c r="AM268" s="21">
        <f t="shared" si="261"/>
        <v>0</v>
      </c>
      <c r="AN268" s="58">
        <f t="shared" si="262"/>
        <v>1</v>
      </c>
      <c r="AO268" s="58" t="str">
        <f t="shared" si="263"/>
        <v>114</v>
      </c>
      <c r="AP268" s="58" t="str">
        <f t="shared" si="264"/>
        <v>164</v>
      </c>
      <c r="AQ268" s="21" t="e">
        <f t="shared" si="265"/>
        <v>#NUM!</v>
      </c>
      <c r="AR268" s="21" t="e">
        <f t="shared" si="266"/>
        <v>#NUM!</v>
      </c>
      <c r="AS268" s="136" t="e">
        <f t="shared" si="237"/>
        <v>#NUM!</v>
      </c>
      <c r="AT268" s="59" t="e">
        <f t="shared" si="267"/>
        <v>#NUM!</v>
      </c>
      <c r="AU268" s="21" t="e">
        <f t="shared" si="268"/>
        <v>#NUM!</v>
      </c>
      <c r="AV268" s="58">
        <f t="shared" si="269"/>
        <v>1500</v>
      </c>
      <c r="AW268" s="58">
        <f t="shared" si="270"/>
        <v>600</v>
      </c>
      <c r="AX268" s="60">
        <f t="shared" si="271"/>
        <v>0.11</v>
      </c>
      <c r="AY268" s="212">
        <f t="shared" si="238"/>
        <v>0</v>
      </c>
      <c r="AZ268" s="59">
        <f t="shared" si="272"/>
        <v>0</v>
      </c>
      <c r="BA268" s="21" t="e">
        <f t="shared" si="273"/>
        <v>#DIV/0!</v>
      </c>
      <c r="BB268" s="58">
        <f t="shared" si="274"/>
        <v>2900</v>
      </c>
      <c r="BC268" s="58">
        <f t="shared" si="275"/>
        <v>1160</v>
      </c>
      <c r="BD268" s="60">
        <f t="shared" si="276"/>
        <v>0.15</v>
      </c>
      <c r="BE268" s="212" t="e">
        <f t="shared" si="239"/>
        <v>#NUM!</v>
      </c>
      <c r="BF268" s="59" t="e">
        <f t="shared" si="277"/>
        <v>#NUM!</v>
      </c>
      <c r="BG268" s="21" t="e">
        <f t="shared" si="278"/>
        <v>#NUM!</v>
      </c>
      <c r="BH268" s="55">
        <f t="shared" ref="BH268:BH311" ca="1" si="281">IF(ISERROR(VLOOKUP(A268,Matrix_Berechnungen2.Rang1.Rang2.Pumpendaten.Endresultate,BH$8,FALSE)),0,VLOOKUP(A268,Matrix_Berechnungen2.Rang1.Rang2.Pumpendaten.Endresultate,BH$8,FALSE))</f>
        <v>0</v>
      </c>
    </row>
    <row r="269" spans="1:60" x14ac:dyDescent="0.2">
      <c r="A269" s="61">
        <f ca="1">RANK(W269,W$12:W$311,0)+COUNTIF(W$12:W269,W269)-1</f>
        <v>43</v>
      </c>
      <c r="B269" s="55">
        <f>'Etape 1'!A265</f>
        <v>258</v>
      </c>
      <c r="C269" s="55">
        <f>'Etape 1'!B265</f>
        <v>0</v>
      </c>
      <c r="D269" s="55">
        <f>'Etape 1'!C265</f>
        <v>0</v>
      </c>
      <c r="E269" s="55">
        <f>'Etape 1'!D265</f>
        <v>0</v>
      </c>
      <c r="F269" s="55">
        <f>'Etape 1'!E265</f>
        <v>0</v>
      </c>
      <c r="G269" s="55">
        <f>'Etape 1'!F265</f>
        <v>0</v>
      </c>
      <c r="H269" s="55">
        <f>'Etape 1'!G265</f>
        <v>0</v>
      </c>
      <c r="I269" s="209">
        <v>1</v>
      </c>
      <c r="J269" s="58">
        <f t="shared" si="240"/>
        <v>0</v>
      </c>
      <c r="K269" s="21">
        <f t="shared" si="241"/>
        <v>0</v>
      </c>
      <c r="L269" s="21">
        <f t="shared" si="242"/>
        <v>0</v>
      </c>
      <c r="M269" s="21">
        <f t="shared" ca="1" si="243"/>
        <v>3</v>
      </c>
      <c r="N269" s="21">
        <f t="shared" ca="1" si="244"/>
        <v>3</v>
      </c>
      <c r="O269" s="21">
        <f t="shared" ca="1" si="245"/>
        <v>0</v>
      </c>
      <c r="P269" s="262" t="str">
        <f>IF('Etape 1'!J265=999,"",IF('Etape 1'!J265=9999,txt_Schritt1.Angaben.fehlen,VLOOKUP(N269,Matrix_1.2.3.Test.Punkte.ID.Beurteilung,4,1)))</f>
        <v/>
      </c>
      <c r="Q269" s="21">
        <f t="shared" ca="1" si="246"/>
        <v>0</v>
      </c>
      <c r="R269" s="136">
        <f t="shared" ref="R269:R311" si="282">$B269</f>
        <v>258</v>
      </c>
      <c r="S269" s="136">
        <f t="shared" ca="1" si="279"/>
        <v>162.85714285714286</v>
      </c>
      <c r="T269" s="136">
        <f t="shared" ref="T269:T311" ca="1" si="283">IF(Q269=0,3,Q269)*MAX($F$12:$F$311)-F269+$B269/(MAX($B$12:$B$311)+1)</f>
        <v>750.85714285714289</v>
      </c>
      <c r="U269" s="136">
        <f t="shared" ref="U269:U311" ca="1" si="284">IF(Q269=0,3,Q269)*MAX($J$12:$J$311)-J269+$B269/(MAX($B$12:$B$311)+1)</f>
        <v>1224000.857142857</v>
      </c>
      <c r="V269" s="211">
        <f t="shared" ref="V269:V311" ca="1" si="285">IF(Q269=0,3,Q269)*MAX($BH$12:$BH$311)-BH269+$B269/(MAX($B$12:$B$311)+1)</f>
        <v>235407.04918717654</v>
      </c>
      <c r="W269" s="136">
        <f t="shared" ca="1" si="280"/>
        <v>258</v>
      </c>
      <c r="X269" s="136">
        <f t="shared" ca="1" si="247"/>
        <v>162.999000999001</v>
      </c>
      <c r="Y269" s="21">
        <f t="shared" si="248"/>
        <v>1</v>
      </c>
      <c r="Z269" s="21" t="str">
        <f t="shared" si="249"/>
        <v>&lt;IE0</v>
      </c>
      <c r="AA269" s="21">
        <f t="shared" si="250"/>
        <v>1</v>
      </c>
      <c r="AB269" s="21" t="str">
        <f t="shared" si="251"/>
        <v>a - "&lt; 1990 (Eff3)"</v>
      </c>
      <c r="AC269" s="21">
        <f t="shared" si="252"/>
        <v>999999</v>
      </c>
      <c r="AD269" s="21" t="str">
        <f t="shared" si="253"/>
        <v/>
      </c>
      <c r="AE269" s="21" t="str">
        <f t="shared" si="254"/>
        <v/>
      </c>
      <c r="AF269" s="21" t="str">
        <f t="shared" si="255"/>
        <v/>
      </c>
      <c r="AG269" s="21">
        <f t="shared" si="256"/>
        <v>0</v>
      </c>
      <c r="AH269" s="21">
        <f>IF('Etape 1'!H265=St.Wert_Hacken,1,0)</f>
        <v>0</v>
      </c>
      <c r="AI269" s="21">
        <f t="shared" si="257"/>
        <v>0</v>
      </c>
      <c r="AJ269" s="21">
        <f t="shared" si="258"/>
        <v>1000999</v>
      </c>
      <c r="AK269" s="58">
        <f t="shared" si="259"/>
        <v>1100</v>
      </c>
      <c r="AL269" s="58">
        <f t="shared" si="260"/>
        <v>440</v>
      </c>
      <c r="AM269" s="21">
        <f t="shared" si="261"/>
        <v>0</v>
      </c>
      <c r="AN269" s="58">
        <f t="shared" si="262"/>
        <v>1</v>
      </c>
      <c r="AO269" s="58" t="str">
        <f t="shared" si="263"/>
        <v>114</v>
      </c>
      <c r="AP269" s="58" t="str">
        <f t="shared" si="264"/>
        <v>164</v>
      </c>
      <c r="AQ269" s="21" t="e">
        <f t="shared" si="265"/>
        <v>#NUM!</v>
      </c>
      <c r="AR269" s="21" t="e">
        <f t="shared" si="266"/>
        <v>#NUM!</v>
      </c>
      <c r="AS269" s="136" t="e">
        <f t="shared" ref="AS269:AS311" si="286">J269*(1-AQ269/AR269)</f>
        <v>#NUM!</v>
      </c>
      <c r="AT269" s="59" t="e">
        <f t="shared" si="267"/>
        <v>#NUM!</v>
      </c>
      <c r="AU269" s="21" t="e">
        <f t="shared" si="268"/>
        <v>#NUM!</v>
      </c>
      <c r="AV269" s="58">
        <f t="shared" si="269"/>
        <v>1500</v>
      </c>
      <c r="AW269" s="58">
        <f t="shared" si="270"/>
        <v>600</v>
      </c>
      <c r="AX269" s="60">
        <f t="shared" si="271"/>
        <v>0.11</v>
      </c>
      <c r="AY269" s="212">
        <f t="shared" ref="AY269:AY311" si="287">J269*AX269</f>
        <v>0</v>
      </c>
      <c r="AZ269" s="59">
        <f t="shared" si="272"/>
        <v>0</v>
      </c>
      <c r="BA269" s="21" t="e">
        <f t="shared" si="273"/>
        <v>#DIV/0!</v>
      </c>
      <c r="BB269" s="58">
        <f t="shared" si="274"/>
        <v>2900</v>
      </c>
      <c r="BC269" s="58">
        <f t="shared" si="275"/>
        <v>1160</v>
      </c>
      <c r="BD269" s="60">
        <f t="shared" si="276"/>
        <v>0.15</v>
      </c>
      <c r="BE269" s="212" t="e">
        <f t="shared" ref="BE269:BE311" si="288">J269*(1-AQ269/AR269*(1-AX269)*(1-BD269))</f>
        <v>#NUM!</v>
      </c>
      <c r="BF269" s="59" t="e">
        <f t="shared" si="277"/>
        <v>#NUM!</v>
      </c>
      <c r="BG269" s="21" t="e">
        <f t="shared" si="278"/>
        <v>#NUM!</v>
      </c>
      <c r="BH269" s="55">
        <f t="shared" ca="1" si="281"/>
        <v>0</v>
      </c>
    </row>
    <row r="270" spans="1:60" x14ac:dyDescent="0.2">
      <c r="A270" s="61">
        <f ca="1">RANK(W270,W$12:W$311,0)+COUNTIF(W$12:W270,W270)-1</f>
        <v>42</v>
      </c>
      <c r="B270" s="55">
        <f>'Etape 1'!A266</f>
        <v>259</v>
      </c>
      <c r="C270" s="55">
        <f>'Etape 1'!B266</f>
        <v>0</v>
      </c>
      <c r="D270" s="55">
        <f>'Etape 1'!C266</f>
        <v>0</v>
      </c>
      <c r="E270" s="55">
        <f>'Etape 1'!D266</f>
        <v>0</v>
      </c>
      <c r="F270" s="55">
        <f>'Etape 1'!E266</f>
        <v>0</v>
      </c>
      <c r="G270" s="55">
        <f>'Etape 1'!F266</f>
        <v>0</v>
      </c>
      <c r="H270" s="55">
        <f>'Etape 1'!G266</f>
        <v>0</v>
      </c>
      <c r="I270" s="209">
        <v>1</v>
      </c>
      <c r="J270" s="58">
        <f t="shared" ref="J270:J311" si="289">F270*G270*I270</f>
        <v>0</v>
      </c>
      <c r="K270" s="21">
        <f t="shared" si="241"/>
        <v>0</v>
      </c>
      <c r="L270" s="21">
        <f t="shared" si="242"/>
        <v>0</v>
      </c>
      <c r="M270" s="21">
        <f t="shared" ca="1" si="243"/>
        <v>3</v>
      </c>
      <c r="N270" s="21">
        <f t="shared" ca="1" si="244"/>
        <v>3</v>
      </c>
      <c r="O270" s="21">
        <f t="shared" ca="1" si="245"/>
        <v>0</v>
      </c>
      <c r="P270" s="262" t="str">
        <f>IF('Etape 1'!J266=999,"",IF('Etape 1'!J266=9999,txt_Schritt1.Angaben.fehlen,VLOOKUP(N270,Matrix_1.2.3.Test.Punkte.ID.Beurteilung,4,1)))</f>
        <v/>
      </c>
      <c r="Q270" s="21">
        <f t="shared" ca="1" si="246"/>
        <v>0</v>
      </c>
      <c r="R270" s="136">
        <f t="shared" si="282"/>
        <v>259</v>
      </c>
      <c r="S270" s="136">
        <f t="shared" ca="1" si="279"/>
        <v>162.86046511627907</v>
      </c>
      <c r="T270" s="136">
        <f t="shared" ca="1" si="283"/>
        <v>750.8604651162791</v>
      </c>
      <c r="U270" s="136">
        <f t="shared" ca="1" si="284"/>
        <v>1224000.8604651163</v>
      </c>
      <c r="V270" s="211">
        <f t="shared" ca="1" si="285"/>
        <v>235407.05250943569</v>
      </c>
      <c r="W270" s="136">
        <f t="shared" ca="1" si="280"/>
        <v>259</v>
      </c>
      <c r="X270" s="136">
        <f t="shared" ca="1" si="247"/>
        <v>162.999000999001</v>
      </c>
      <c r="Y270" s="21">
        <f t="shared" si="248"/>
        <v>1</v>
      </c>
      <c r="Z270" s="21" t="str">
        <f t="shared" si="249"/>
        <v>&lt;IE0</v>
      </c>
      <c r="AA270" s="21">
        <f t="shared" si="250"/>
        <v>1</v>
      </c>
      <c r="AB270" s="21" t="str">
        <f t="shared" si="251"/>
        <v>a - "&lt; 1990 (Eff3)"</v>
      </c>
      <c r="AC270" s="21">
        <f t="shared" si="252"/>
        <v>999999</v>
      </c>
      <c r="AD270" s="21" t="str">
        <f t="shared" si="253"/>
        <v/>
      </c>
      <c r="AE270" s="21" t="str">
        <f t="shared" si="254"/>
        <v/>
      </c>
      <c r="AF270" s="21" t="str">
        <f t="shared" si="255"/>
        <v/>
      </c>
      <c r="AG270" s="21">
        <f t="shared" si="256"/>
        <v>0</v>
      </c>
      <c r="AH270" s="21">
        <f>IF('Etape 1'!H266=St.Wert_Hacken,1,0)</f>
        <v>0</v>
      </c>
      <c r="AI270" s="21">
        <f t="shared" si="257"/>
        <v>0</v>
      </c>
      <c r="AJ270" s="21">
        <f t="shared" si="258"/>
        <v>1000999</v>
      </c>
      <c r="AK270" s="58">
        <f t="shared" si="259"/>
        <v>1100</v>
      </c>
      <c r="AL270" s="58">
        <f t="shared" si="260"/>
        <v>440</v>
      </c>
      <c r="AM270" s="21">
        <f t="shared" si="261"/>
        <v>0</v>
      </c>
      <c r="AN270" s="58">
        <f t="shared" si="262"/>
        <v>1</v>
      </c>
      <c r="AO270" s="58" t="str">
        <f t="shared" si="263"/>
        <v>114</v>
      </c>
      <c r="AP270" s="58" t="str">
        <f t="shared" si="264"/>
        <v>164</v>
      </c>
      <c r="AQ270" s="21" t="e">
        <f t="shared" si="265"/>
        <v>#NUM!</v>
      </c>
      <c r="AR270" s="21" t="e">
        <f t="shared" si="266"/>
        <v>#NUM!</v>
      </c>
      <c r="AS270" s="136" t="e">
        <f t="shared" si="286"/>
        <v>#NUM!</v>
      </c>
      <c r="AT270" s="59" t="e">
        <f t="shared" si="267"/>
        <v>#NUM!</v>
      </c>
      <c r="AU270" s="21" t="e">
        <f t="shared" si="268"/>
        <v>#NUM!</v>
      </c>
      <c r="AV270" s="58">
        <f t="shared" si="269"/>
        <v>1500</v>
      </c>
      <c r="AW270" s="58">
        <f t="shared" si="270"/>
        <v>600</v>
      </c>
      <c r="AX270" s="60">
        <f t="shared" si="271"/>
        <v>0.11</v>
      </c>
      <c r="AY270" s="212">
        <f t="shared" si="287"/>
        <v>0</v>
      </c>
      <c r="AZ270" s="59">
        <f t="shared" si="272"/>
        <v>0</v>
      </c>
      <c r="BA270" s="21" t="e">
        <f t="shared" si="273"/>
        <v>#DIV/0!</v>
      </c>
      <c r="BB270" s="58">
        <f t="shared" si="274"/>
        <v>2900</v>
      </c>
      <c r="BC270" s="58">
        <f t="shared" si="275"/>
        <v>1160</v>
      </c>
      <c r="BD270" s="60">
        <f t="shared" si="276"/>
        <v>0.15</v>
      </c>
      <c r="BE270" s="212" t="e">
        <f t="shared" si="288"/>
        <v>#NUM!</v>
      </c>
      <c r="BF270" s="59" t="e">
        <f t="shared" si="277"/>
        <v>#NUM!</v>
      </c>
      <c r="BG270" s="21" t="e">
        <f t="shared" si="278"/>
        <v>#NUM!</v>
      </c>
      <c r="BH270" s="55">
        <f t="shared" ca="1" si="281"/>
        <v>0</v>
      </c>
    </row>
    <row r="271" spans="1:60" x14ac:dyDescent="0.2">
      <c r="A271" s="61">
        <f ca="1">RANK(W271,W$12:W$311,0)+COUNTIF(W$12:W271,W271)-1</f>
        <v>41</v>
      </c>
      <c r="B271" s="55">
        <f>'Etape 1'!A267</f>
        <v>260</v>
      </c>
      <c r="C271" s="55">
        <f>'Etape 1'!B267</f>
        <v>0</v>
      </c>
      <c r="D271" s="55">
        <f>'Etape 1'!C267</f>
        <v>0</v>
      </c>
      <c r="E271" s="55">
        <f>'Etape 1'!D267</f>
        <v>0</v>
      </c>
      <c r="F271" s="55">
        <f>'Etape 1'!E267</f>
        <v>0</v>
      </c>
      <c r="G271" s="55">
        <f>'Etape 1'!F267</f>
        <v>0</v>
      </c>
      <c r="H271" s="55">
        <f>'Etape 1'!G267</f>
        <v>0</v>
      </c>
      <c r="I271" s="209">
        <v>1</v>
      </c>
      <c r="J271" s="58">
        <f t="shared" si="289"/>
        <v>0</v>
      </c>
      <c r="K271" s="21">
        <f t="shared" si="241"/>
        <v>0</v>
      </c>
      <c r="L271" s="21">
        <f t="shared" si="242"/>
        <v>0</v>
      </c>
      <c r="M271" s="21">
        <f t="shared" ca="1" si="243"/>
        <v>3</v>
      </c>
      <c r="N271" s="21">
        <f t="shared" ca="1" si="244"/>
        <v>3</v>
      </c>
      <c r="O271" s="21">
        <f t="shared" ca="1" si="245"/>
        <v>0</v>
      </c>
      <c r="P271" s="262" t="str">
        <f>IF('Etape 1'!J267=999,"",IF('Etape 1'!J267=9999,txt_Schritt1.Angaben.fehlen,VLOOKUP(N271,Matrix_1.2.3.Test.Punkte.ID.Beurteilung,4,1)))</f>
        <v/>
      </c>
      <c r="Q271" s="21">
        <f t="shared" ca="1" si="246"/>
        <v>0</v>
      </c>
      <c r="R271" s="136">
        <f t="shared" si="282"/>
        <v>260</v>
      </c>
      <c r="S271" s="136">
        <f t="shared" ca="1" si="279"/>
        <v>162.86378737541528</v>
      </c>
      <c r="T271" s="136">
        <f t="shared" ca="1" si="283"/>
        <v>750.86378737541531</v>
      </c>
      <c r="U271" s="136">
        <f t="shared" ca="1" si="284"/>
        <v>1224000.8637873754</v>
      </c>
      <c r="V271" s="211">
        <f t="shared" ca="1" si="285"/>
        <v>235407.05583169483</v>
      </c>
      <c r="W271" s="136">
        <f t="shared" ca="1" si="280"/>
        <v>260</v>
      </c>
      <c r="X271" s="136">
        <f t="shared" ca="1" si="247"/>
        <v>162.999000999001</v>
      </c>
      <c r="Y271" s="21">
        <f t="shared" si="248"/>
        <v>1</v>
      </c>
      <c r="Z271" s="21" t="str">
        <f t="shared" si="249"/>
        <v>&lt;IE0</v>
      </c>
      <c r="AA271" s="21">
        <f t="shared" si="250"/>
        <v>1</v>
      </c>
      <c r="AB271" s="21" t="str">
        <f t="shared" si="251"/>
        <v>a - "&lt; 1990 (Eff3)"</v>
      </c>
      <c r="AC271" s="21">
        <f t="shared" si="252"/>
        <v>999999</v>
      </c>
      <c r="AD271" s="21" t="str">
        <f t="shared" si="253"/>
        <v/>
      </c>
      <c r="AE271" s="21" t="str">
        <f t="shared" si="254"/>
        <v/>
      </c>
      <c r="AF271" s="21" t="str">
        <f t="shared" si="255"/>
        <v/>
      </c>
      <c r="AG271" s="21">
        <f t="shared" si="256"/>
        <v>0</v>
      </c>
      <c r="AH271" s="21">
        <f>IF('Etape 1'!H267=St.Wert_Hacken,1,0)</f>
        <v>0</v>
      </c>
      <c r="AI271" s="21">
        <f t="shared" si="257"/>
        <v>0</v>
      </c>
      <c r="AJ271" s="21">
        <f t="shared" si="258"/>
        <v>1000999</v>
      </c>
      <c r="AK271" s="58">
        <f t="shared" si="259"/>
        <v>1100</v>
      </c>
      <c r="AL271" s="58">
        <f t="shared" si="260"/>
        <v>440</v>
      </c>
      <c r="AM271" s="21">
        <f t="shared" si="261"/>
        <v>0</v>
      </c>
      <c r="AN271" s="58">
        <f t="shared" si="262"/>
        <v>1</v>
      </c>
      <c r="AO271" s="58" t="str">
        <f t="shared" si="263"/>
        <v>114</v>
      </c>
      <c r="AP271" s="58" t="str">
        <f t="shared" si="264"/>
        <v>164</v>
      </c>
      <c r="AQ271" s="21" t="e">
        <f t="shared" si="265"/>
        <v>#NUM!</v>
      </c>
      <c r="AR271" s="21" t="e">
        <f t="shared" si="266"/>
        <v>#NUM!</v>
      </c>
      <c r="AS271" s="136" t="e">
        <f t="shared" si="286"/>
        <v>#NUM!</v>
      </c>
      <c r="AT271" s="59" t="e">
        <f t="shared" si="267"/>
        <v>#NUM!</v>
      </c>
      <c r="AU271" s="21" t="e">
        <f t="shared" si="268"/>
        <v>#NUM!</v>
      </c>
      <c r="AV271" s="58">
        <f t="shared" si="269"/>
        <v>1500</v>
      </c>
      <c r="AW271" s="58">
        <f t="shared" si="270"/>
        <v>600</v>
      </c>
      <c r="AX271" s="60">
        <f t="shared" si="271"/>
        <v>0.11</v>
      </c>
      <c r="AY271" s="212">
        <f t="shared" si="287"/>
        <v>0</v>
      </c>
      <c r="AZ271" s="59">
        <f t="shared" si="272"/>
        <v>0</v>
      </c>
      <c r="BA271" s="21" t="e">
        <f t="shared" si="273"/>
        <v>#DIV/0!</v>
      </c>
      <c r="BB271" s="58">
        <f t="shared" si="274"/>
        <v>2900</v>
      </c>
      <c r="BC271" s="58">
        <f t="shared" si="275"/>
        <v>1160</v>
      </c>
      <c r="BD271" s="60">
        <f t="shared" si="276"/>
        <v>0.15</v>
      </c>
      <c r="BE271" s="212" t="e">
        <f t="shared" si="288"/>
        <v>#NUM!</v>
      </c>
      <c r="BF271" s="59" t="e">
        <f t="shared" si="277"/>
        <v>#NUM!</v>
      </c>
      <c r="BG271" s="21" t="e">
        <f t="shared" si="278"/>
        <v>#NUM!</v>
      </c>
      <c r="BH271" s="55">
        <f t="shared" ca="1" si="281"/>
        <v>0</v>
      </c>
    </row>
    <row r="272" spans="1:60" x14ac:dyDescent="0.2">
      <c r="A272" s="61">
        <f ca="1">RANK(W272,W$12:W$311,0)+COUNTIF(W$12:W272,W272)-1</f>
        <v>40</v>
      </c>
      <c r="B272" s="55">
        <f>'Etape 1'!A268</f>
        <v>261</v>
      </c>
      <c r="C272" s="55">
        <f>'Etape 1'!B268</f>
        <v>0</v>
      </c>
      <c r="D272" s="55">
        <f>'Etape 1'!C268</f>
        <v>0</v>
      </c>
      <c r="E272" s="55">
        <f>'Etape 1'!D268</f>
        <v>0</v>
      </c>
      <c r="F272" s="55">
        <f>'Etape 1'!E268</f>
        <v>0</v>
      </c>
      <c r="G272" s="55">
        <f>'Etape 1'!F268</f>
        <v>0</v>
      </c>
      <c r="H272" s="55">
        <f>'Etape 1'!G268</f>
        <v>0</v>
      </c>
      <c r="I272" s="209">
        <v>1</v>
      </c>
      <c r="J272" s="58">
        <f t="shared" si="289"/>
        <v>0</v>
      </c>
      <c r="K272" s="21">
        <f t="shared" si="241"/>
        <v>0</v>
      </c>
      <c r="L272" s="21">
        <f t="shared" si="242"/>
        <v>0</v>
      </c>
      <c r="M272" s="21">
        <f t="shared" ca="1" si="243"/>
        <v>3</v>
      </c>
      <c r="N272" s="21">
        <f t="shared" ca="1" si="244"/>
        <v>3</v>
      </c>
      <c r="O272" s="21">
        <f t="shared" ca="1" si="245"/>
        <v>0</v>
      </c>
      <c r="P272" s="262" t="str">
        <f>IF('Etape 1'!J268=999,"",IF('Etape 1'!J268=9999,txt_Schritt1.Angaben.fehlen,VLOOKUP(N272,Matrix_1.2.3.Test.Punkte.ID.Beurteilung,4,1)))</f>
        <v/>
      </c>
      <c r="Q272" s="21">
        <f t="shared" ca="1" si="246"/>
        <v>0</v>
      </c>
      <c r="R272" s="136">
        <f t="shared" si="282"/>
        <v>261</v>
      </c>
      <c r="S272" s="136">
        <f t="shared" ca="1" si="279"/>
        <v>162.8671096345515</v>
      </c>
      <c r="T272" s="136">
        <f t="shared" ca="1" si="283"/>
        <v>750.86710963455153</v>
      </c>
      <c r="U272" s="136">
        <f t="shared" ca="1" si="284"/>
        <v>1224000.8671096344</v>
      </c>
      <c r="V272" s="211">
        <f t="shared" ca="1" si="285"/>
        <v>235407.05915395397</v>
      </c>
      <c r="W272" s="136">
        <f t="shared" ca="1" si="280"/>
        <v>261</v>
      </c>
      <c r="X272" s="136">
        <f t="shared" ca="1" si="247"/>
        <v>162.999000999001</v>
      </c>
      <c r="Y272" s="21">
        <f t="shared" si="248"/>
        <v>1</v>
      </c>
      <c r="Z272" s="21" t="str">
        <f t="shared" si="249"/>
        <v>&lt;IE0</v>
      </c>
      <c r="AA272" s="21">
        <f t="shared" si="250"/>
        <v>1</v>
      </c>
      <c r="AB272" s="21" t="str">
        <f t="shared" si="251"/>
        <v>a - "&lt; 1990 (Eff3)"</v>
      </c>
      <c r="AC272" s="21">
        <f t="shared" si="252"/>
        <v>999999</v>
      </c>
      <c r="AD272" s="21" t="str">
        <f t="shared" si="253"/>
        <v/>
      </c>
      <c r="AE272" s="21" t="str">
        <f t="shared" si="254"/>
        <v/>
      </c>
      <c r="AF272" s="21" t="str">
        <f t="shared" si="255"/>
        <v/>
      </c>
      <c r="AG272" s="21">
        <f t="shared" si="256"/>
        <v>0</v>
      </c>
      <c r="AH272" s="21">
        <f>IF('Etape 1'!H268=St.Wert_Hacken,1,0)</f>
        <v>0</v>
      </c>
      <c r="AI272" s="21">
        <f t="shared" si="257"/>
        <v>0</v>
      </c>
      <c r="AJ272" s="21">
        <f t="shared" si="258"/>
        <v>1000999</v>
      </c>
      <c r="AK272" s="58">
        <f t="shared" si="259"/>
        <v>1100</v>
      </c>
      <c r="AL272" s="58">
        <f t="shared" si="260"/>
        <v>440</v>
      </c>
      <c r="AM272" s="21">
        <f t="shared" si="261"/>
        <v>0</v>
      </c>
      <c r="AN272" s="58">
        <f t="shared" si="262"/>
        <v>1</v>
      </c>
      <c r="AO272" s="58" t="str">
        <f t="shared" si="263"/>
        <v>114</v>
      </c>
      <c r="AP272" s="58" t="str">
        <f t="shared" si="264"/>
        <v>164</v>
      </c>
      <c r="AQ272" s="21" t="e">
        <f t="shared" si="265"/>
        <v>#NUM!</v>
      </c>
      <c r="AR272" s="21" t="e">
        <f t="shared" si="266"/>
        <v>#NUM!</v>
      </c>
      <c r="AS272" s="136" t="e">
        <f t="shared" si="286"/>
        <v>#NUM!</v>
      </c>
      <c r="AT272" s="59" t="e">
        <f t="shared" si="267"/>
        <v>#NUM!</v>
      </c>
      <c r="AU272" s="21" t="e">
        <f t="shared" si="268"/>
        <v>#NUM!</v>
      </c>
      <c r="AV272" s="58">
        <f t="shared" si="269"/>
        <v>1500</v>
      </c>
      <c r="AW272" s="58">
        <f t="shared" si="270"/>
        <v>600</v>
      </c>
      <c r="AX272" s="60">
        <f t="shared" si="271"/>
        <v>0.11</v>
      </c>
      <c r="AY272" s="212">
        <f t="shared" si="287"/>
        <v>0</v>
      </c>
      <c r="AZ272" s="59">
        <f t="shared" si="272"/>
        <v>0</v>
      </c>
      <c r="BA272" s="21" t="e">
        <f t="shared" si="273"/>
        <v>#DIV/0!</v>
      </c>
      <c r="BB272" s="58">
        <f t="shared" si="274"/>
        <v>2900</v>
      </c>
      <c r="BC272" s="58">
        <f t="shared" si="275"/>
        <v>1160</v>
      </c>
      <c r="BD272" s="60">
        <f t="shared" si="276"/>
        <v>0.15</v>
      </c>
      <c r="BE272" s="212" t="e">
        <f t="shared" si="288"/>
        <v>#NUM!</v>
      </c>
      <c r="BF272" s="59" t="e">
        <f t="shared" si="277"/>
        <v>#NUM!</v>
      </c>
      <c r="BG272" s="21" t="e">
        <f t="shared" si="278"/>
        <v>#NUM!</v>
      </c>
      <c r="BH272" s="55">
        <f t="shared" ca="1" si="281"/>
        <v>0</v>
      </c>
    </row>
    <row r="273" spans="1:60" x14ac:dyDescent="0.2">
      <c r="A273" s="61">
        <f ca="1">RANK(W273,W$12:W$311,0)+COUNTIF(W$12:W273,W273)-1</f>
        <v>39</v>
      </c>
      <c r="B273" s="55">
        <f>'Etape 1'!A269</f>
        <v>262</v>
      </c>
      <c r="C273" s="55">
        <f>'Etape 1'!B269</f>
        <v>0</v>
      </c>
      <c r="D273" s="55">
        <f>'Etape 1'!C269</f>
        <v>0</v>
      </c>
      <c r="E273" s="55">
        <f>'Etape 1'!D269</f>
        <v>0</v>
      </c>
      <c r="F273" s="55">
        <f>'Etape 1'!E269</f>
        <v>0</v>
      </c>
      <c r="G273" s="55">
        <f>'Etape 1'!F269</f>
        <v>0</v>
      </c>
      <c r="H273" s="55">
        <f>'Etape 1'!G269</f>
        <v>0</v>
      </c>
      <c r="I273" s="209">
        <v>1</v>
      </c>
      <c r="J273" s="58">
        <f t="shared" si="289"/>
        <v>0</v>
      </c>
      <c r="K273" s="21">
        <f t="shared" si="241"/>
        <v>0</v>
      </c>
      <c r="L273" s="21">
        <f t="shared" si="242"/>
        <v>0</v>
      </c>
      <c r="M273" s="21">
        <f t="shared" ca="1" si="243"/>
        <v>3</v>
      </c>
      <c r="N273" s="21">
        <f t="shared" ca="1" si="244"/>
        <v>3</v>
      </c>
      <c r="O273" s="21">
        <f t="shared" ca="1" si="245"/>
        <v>0</v>
      </c>
      <c r="P273" s="262" t="str">
        <f>IF('Etape 1'!J269=999,"",IF('Etape 1'!J269=9999,txt_Schritt1.Angaben.fehlen,VLOOKUP(N273,Matrix_1.2.3.Test.Punkte.ID.Beurteilung,4,1)))</f>
        <v/>
      </c>
      <c r="Q273" s="21">
        <f t="shared" ca="1" si="246"/>
        <v>0</v>
      </c>
      <c r="R273" s="136">
        <f t="shared" si="282"/>
        <v>262</v>
      </c>
      <c r="S273" s="136">
        <f t="shared" ca="1" si="279"/>
        <v>162.87043189368771</v>
      </c>
      <c r="T273" s="136">
        <f t="shared" ca="1" si="283"/>
        <v>750.87043189368774</v>
      </c>
      <c r="U273" s="136">
        <f t="shared" ca="1" si="284"/>
        <v>1224000.8704318937</v>
      </c>
      <c r="V273" s="211">
        <f t="shared" ca="1" si="285"/>
        <v>235407.06247621309</v>
      </c>
      <c r="W273" s="136">
        <f t="shared" ca="1" si="280"/>
        <v>262</v>
      </c>
      <c r="X273" s="136">
        <f t="shared" ca="1" si="247"/>
        <v>162.999000999001</v>
      </c>
      <c r="Y273" s="21">
        <f t="shared" si="248"/>
        <v>1</v>
      </c>
      <c r="Z273" s="21" t="str">
        <f t="shared" si="249"/>
        <v>&lt;IE0</v>
      </c>
      <c r="AA273" s="21">
        <f t="shared" si="250"/>
        <v>1</v>
      </c>
      <c r="AB273" s="21" t="str">
        <f t="shared" si="251"/>
        <v>a - "&lt; 1990 (Eff3)"</v>
      </c>
      <c r="AC273" s="21">
        <f t="shared" si="252"/>
        <v>999999</v>
      </c>
      <c r="AD273" s="21" t="str">
        <f t="shared" si="253"/>
        <v/>
      </c>
      <c r="AE273" s="21" t="str">
        <f t="shared" si="254"/>
        <v/>
      </c>
      <c r="AF273" s="21" t="str">
        <f t="shared" si="255"/>
        <v/>
      </c>
      <c r="AG273" s="21">
        <f t="shared" si="256"/>
        <v>0</v>
      </c>
      <c r="AH273" s="21">
        <f>IF('Etape 1'!H269=St.Wert_Hacken,1,0)</f>
        <v>0</v>
      </c>
      <c r="AI273" s="21">
        <f t="shared" si="257"/>
        <v>0</v>
      </c>
      <c r="AJ273" s="21">
        <f t="shared" si="258"/>
        <v>1000999</v>
      </c>
      <c r="AK273" s="58">
        <f t="shared" si="259"/>
        <v>1100</v>
      </c>
      <c r="AL273" s="58">
        <f t="shared" si="260"/>
        <v>440</v>
      </c>
      <c r="AM273" s="21">
        <f t="shared" si="261"/>
        <v>0</v>
      </c>
      <c r="AN273" s="58">
        <f t="shared" si="262"/>
        <v>1</v>
      </c>
      <c r="AO273" s="58" t="str">
        <f t="shared" si="263"/>
        <v>114</v>
      </c>
      <c r="AP273" s="58" t="str">
        <f t="shared" si="264"/>
        <v>164</v>
      </c>
      <c r="AQ273" s="21" t="e">
        <f t="shared" si="265"/>
        <v>#NUM!</v>
      </c>
      <c r="AR273" s="21" t="e">
        <f t="shared" si="266"/>
        <v>#NUM!</v>
      </c>
      <c r="AS273" s="136" t="e">
        <f t="shared" si="286"/>
        <v>#NUM!</v>
      </c>
      <c r="AT273" s="59" t="e">
        <f t="shared" si="267"/>
        <v>#NUM!</v>
      </c>
      <c r="AU273" s="21" t="e">
        <f t="shared" si="268"/>
        <v>#NUM!</v>
      </c>
      <c r="AV273" s="58">
        <f t="shared" si="269"/>
        <v>1500</v>
      </c>
      <c r="AW273" s="58">
        <f t="shared" si="270"/>
        <v>600</v>
      </c>
      <c r="AX273" s="60">
        <f t="shared" si="271"/>
        <v>0.11</v>
      </c>
      <c r="AY273" s="212">
        <f t="shared" si="287"/>
        <v>0</v>
      </c>
      <c r="AZ273" s="59">
        <f t="shared" si="272"/>
        <v>0</v>
      </c>
      <c r="BA273" s="21" t="e">
        <f t="shared" si="273"/>
        <v>#DIV/0!</v>
      </c>
      <c r="BB273" s="58">
        <f t="shared" si="274"/>
        <v>2900</v>
      </c>
      <c r="BC273" s="58">
        <f t="shared" si="275"/>
        <v>1160</v>
      </c>
      <c r="BD273" s="60">
        <f t="shared" si="276"/>
        <v>0.15</v>
      </c>
      <c r="BE273" s="212" t="e">
        <f t="shared" si="288"/>
        <v>#NUM!</v>
      </c>
      <c r="BF273" s="59" t="e">
        <f t="shared" si="277"/>
        <v>#NUM!</v>
      </c>
      <c r="BG273" s="21" t="e">
        <f t="shared" si="278"/>
        <v>#NUM!</v>
      </c>
      <c r="BH273" s="55">
        <f t="shared" ca="1" si="281"/>
        <v>0</v>
      </c>
    </row>
    <row r="274" spans="1:60" x14ac:dyDescent="0.2">
      <c r="A274" s="61">
        <f ca="1">RANK(W274,W$12:W$311,0)+COUNTIF(W$12:W274,W274)-1</f>
        <v>38</v>
      </c>
      <c r="B274" s="55">
        <f>'Etape 1'!A270</f>
        <v>263</v>
      </c>
      <c r="C274" s="55">
        <f>'Etape 1'!B270</f>
        <v>0</v>
      </c>
      <c r="D274" s="55">
        <f>'Etape 1'!C270</f>
        <v>0</v>
      </c>
      <c r="E274" s="55">
        <f>'Etape 1'!D270</f>
        <v>0</v>
      </c>
      <c r="F274" s="55">
        <f>'Etape 1'!E270</f>
        <v>0</v>
      </c>
      <c r="G274" s="55">
        <f>'Etape 1'!F270</f>
        <v>0</v>
      </c>
      <c r="H274" s="55">
        <f>'Etape 1'!G270</f>
        <v>0</v>
      </c>
      <c r="I274" s="209">
        <v>1</v>
      </c>
      <c r="J274" s="58">
        <f t="shared" si="289"/>
        <v>0</v>
      </c>
      <c r="K274" s="21">
        <f t="shared" si="241"/>
        <v>0</v>
      </c>
      <c r="L274" s="21">
        <f t="shared" si="242"/>
        <v>0</v>
      </c>
      <c r="M274" s="21">
        <f t="shared" ca="1" si="243"/>
        <v>3</v>
      </c>
      <c r="N274" s="21">
        <f t="shared" ca="1" si="244"/>
        <v>3</v>
      </c>
      <c r="O274" s="21">
        <f t="shared" ca="1" si="245"/>
        <v>0</v>
      </c>
      <c r="P274" s="262" t="str">
        <f>IF('Etape 1'!J270=999,"",IF('Etape 1'!J270=9999,txt_Schritt1.Angaben.fehlen,VLOOKUP(N274,Matrix_1.2.3.Test.Punkte.ID.Beurteilung,4,1)))</f>
        <v/>
      </c>
      <c r="Q274" s="21">
        <f t="shared" ca="1" si="246"/>
        <v>0</v>
      </c>
      <c r="R274" s="136">
        <f t="shared" si="282"/>
        <v>263</v>
      </c>
      <c r="S274" s="136">
        <f t="shared" ca="1" si="279"/>
        <v>162.87375415282392</v>
      </c>
      <c r="T274" s="136">
        <f t="shared" ca="1" si="283"/>
        <v>750.87375415282395</v>
      </c>
      <c r="U274" s="136">
        <f t="shared" ca="1" si="284"/>
        <v>1224000.8737541528</v>
      </c>
      <c r="V274" s="211">
        <f t="shared" ca="1" si="285"/>
        <v>235407.06579847223</v>
      </c>
      <c r="W274" s="136">
        <f t="shared" ca="1" si="280"/>
        <v>263</v>
      </c>
      <c r="X274" s="136">
        <f t="shared" ca="1" si="247"/>
        <v>162.999000999001</v>
      </c>
      <c r="Y274" s="21">
        <f t="shared" si="248"/>
        <v>1</v>
      </c>
      <c r="Z274" s="21" t="str">
        <f t="shared" si="249"/>
        <v>&lt;IE0</v>
      </c>
      <c r="AA274" s="21">
        <f t="shared" si="250"/>
        <v>1</v>
      </c>
      <c r="AB274" s="21" t="str">
        <f t="shared" si="251"/>
        <v>a - "&lt; 1990 (Eff3)"</v>
      </c>
      <c r="AC274" s="21">
        <f t="shared" si="252"/>
        <v>999999</v>
      </c>
      <c r="AD274" s="21" t="str">
        <f t="shared" si="253"/>
        <v/>
      </c>
      <c r="AE274" s="21" t="str">
        <f t="shared" si="254"/>
        <v/>
      </c>
      <c r="AF274" s="21" t="str">
        <f t="shared" si="255"/>
        <v/>
      </c>
      <c r="AG274" s="21">
        <f t="shared" si="256"/>
        <v>0</v>
      </c>
      <c r="AH274" s="21">
        <f>IF('Etape 1'!H270=St.Wert_Hacken,1,0)</f>
        <v>0</v>
      </c>
      <c r="AI274" s="21">
        <f t="shared" si="257"/>
        <v>0</v>
      </c>
      <c r="AJ274" s="21">
        <f t="shared" si="258"/>
        <v>1000999</v>
      </c>
      <c r="AK274" s="58">
        <f t="shared" si="259"/>
        <v>1100</v>
      </c>
      <c r="AL274" s="58">
        <f t="shared" si="260"/>
        <v>440</v>
      </c>
      <c r="AM274" s="21">
        <f t="shared" si="261"/>
        <v>0</v>
      </c>
      <c r="AN274" s="58">
        <f t="shared" si="262"/>
        <v>1</v>
      </c>
      <c r="AO274" s="58" t="str">
        <f t="shared" si="263"/>
        <v>114</v>
      </c>
      <c r="AP274" s="58" t="str">
        <f t="shared" si="264"/>
        <v>164</v>
      </c>
      <c r="AQ274" s="21" t="e">
        <f t="shared" si="265"/>
        <v>#NUM!</v>
      </c>
      <c r="AR274" s="21" t="e">
        <f t="shared" si="266"/>
        <v>#NUM!</v>
      </c>
      <c r="AS274" s="136" t="e">
        <f t="shared" si="286"/>
        <v>#NUM!</v>
      </c>
      <c r="AT274" s="59" t="e">
        <f t="shared" si="267"/>
        <v>#NUM!</v>
      </c>
      <c r="AU274" s="21" t="e">
        <f t="shared" si="268"/>
        <v>#NUM!</v>
      </c>
      <c r="AV274" s="58">
        <f t="shared" si="269"/>
        <v>1500</v>
      </c>
      <c r="AW274" s="58">
        <f t="shared" si="270"/>
        <v>600</v>
      </c>
      <c r="AX274" s="60">
        <f t="shared" si="271"/>
        <v>0.11</v>
      </c>
      <c r="AY274" s="212">
        <f t="shared" si="287"/>
        <v>0</v>
      </c>
      <c r="AZ274" s="59">
        <f t="shared" si="272"/>
        <v>0</v>
      </c>
      <c r="BA274" s="21" t="e">
        <f t="shared" si="273"/>
        <v>#DIV/0!</v>
      </c>
      <c r="BB274" s="58">
        <f t="shared" si="274"/>
        <v>2900</v>
      </c>
      <c r="BC274" s="58">
        <f t="shared" si="275"/>
        <v>1160</v>
      </c>
      <c r="BD274" s="60">
        <f t="shared" si="276"/>
        <v>0.15</v>
      </c>
      <c r="BE274" s="212" t="e">
        <f t="shared" si="288"/>
        <v>#NUM!</v>
      </c>
      <c r="BF274" s="59" t="e">
        <f t="shared" si="277"/>
        <v>#NUM!</v>
      </c>
      <c r="BG274" s="21" t="e">
        <f t="shared" si="278"/>
        <v>#NUM!</v>
      </c>
      <c r="BH274" s="55">
        <f t="shared" ca="1" si="281"/>
        <v>0</v>
      </c>
    </row>
    <row r="275" spans="1:60" x14ac:dyDescent="0.2">
      <c r="A275" s="61">
        <f ca="1">RANK(W275,W$12:W$311,0)+COUNTIF(W$12:W275,W275)-1</f>
        <v>37</v>
      </c>
      <c r="B275" s="55">
        <f>'Etape 1'!A271</f>
        <v>264</v>
      </c>
      <c r="C275" s="55">
        <f>'Etape 1'!B271</f>
        <v>0</v>
      </c>
      <c r="D275" s="55">
        <f>'Etape 1'!C271</f>
        <v>0</v>
      </c>
      <c r="E275" s="55">
        <f>'Etape 1'!D271</f>
        <v>0</v>
      </c>
      <c r="F275" s="55">
        <f>'Etape 1'!E271</f>
        <v>0</v>
      </c>
      <c r="G275" s="55">
        <f>'Etape 1'!F271</f>
        <v>0</v>
      </c>
      <c r="H275" s="55">
        <f>'Etape 1'!G271</f>
        <v>0</v>
      </c>
      <c r="I275" s="209">
        <v>1</v>
      </c>
      <c r="J275" s="58">
        <f t="shared" si="289"/>
        <v>0</v>
      </c>
      <c r="K275" s="21">
        <f t="shared" si="241"/>
        <v>0</v>
      </c>
      <c r="L275" s="21">
        <f t="shared" si="242"/>
        <v>0</v>
      </c>
      <c r="M275" s="21">
        <f t="shared" ca="1" si="243"/>
        <v>3</v>
      </c>
      <c r="N275" s="21">
        <f t="shared" ca="1" si="244"/>
        <v>3</v>
      </c>
      <c r="O275" s="21">
        <f t="shared" ca="1" si="245"/>
        <v>0</v>
      </c>
      <c r="P275" s="262" t="str">
        <f>IF('Etape 1'!J271=999,"",IF('Etape 1'!J271=9999,txt_Schritt1.Angaben.fehlen,VLOOKUP(N275,Matrix_1.2.3.Test.Punkte.ID.Beurteilung,4,1)))</f>
        <v/>
      </c>
      <c r="Q275" s="21">
        <f t="shared" ca="1" si="246"/>
        <v>0</v>
      </c>
      <c r="R275" s="136">
        <f t="shared" si="282"/>
        <v>264</v>
      </c>
      <c r="S275" s="136">
        <f t="shared" ca="1" si="279"/>
        <v>162.87707641196013</v>
      </c>
      <c r="T275" s="136">
        <f t="shared" ca="1" si="283"/>
        <v>750.87707641196016</v>
      </c>
      <c r="U275" s="136">
        <f t="shared" ca="1" si="284"/>
        <v>1224000.8770764119</v>
      </c>
      <c r="V275" s="211">
        <f t="shared" ca="1" si="285"/>
        <v>235407.06912073138</v>
      </c>
      <c r="W275" s="136">
        <f t="shared" ca="1" si="280"/>
        <v>264</v>
      </c>
      <c r="X275" s="136">
        <f t="shared" ca="1" si="247"/>
        <v>162.999000999001</v>
      </c>
      <c r="Y275" s="21">
        <f t="shared" si="248"/>
        <v>1</v>
      </c>
      <c r="Z275" s="21" t="str">
        <f t="shared" si="249"/>
        <v>&lt;IE0</v>
      </c>
      <c r="AA275" s="21">
        <f t="shared" si="250"/>
        <v>1</v>
      </c>
      <c r="AB275" s="21" t="str">
        <f t="shared" si="251"/>
        <v>a - "&lt; 1990 (Eff3)"</v>
      </c>
      <c r="AC275" s="21">
        <f t="shared" si="252"/>
        <v>999999</v>
      </c>
      <c r="AD275" s="21" t="str">
        <f t="shared" si="253"/>
        <v/>
      </c>
      <c r="AE275" s="21" t="str">
        <f t="shared" si="254"/>
        <v/>
      </c>
      <c r="AF275" s="21" t="str">
        <f t="shared" si="255"/>
        <v/>
      </c>
      <c r="AG275" s="21">
        <f t="shared" si="256"/>
        <v>0</v>
      </c>
      <c r="AH275" s="21">
        <f>IF('Etape 1'!H271=St.Wert_Hacken,1,0)</f>
        <v>0</v>
      </c>
      <c r="AI275" s="21">
        <f t="shared" si="257"/>
        <v>0</v>
      </c>
      <c r="AJ275" s="21">
        <f t="shared" si="258"/>
        <v>1000999</v>
      </c>
      <c r="AK275" s="58">
        <f t="shared" si="259"/>
        <v>1100</v>
      </c>
      <c r="AL275" s="58">
        <f t="shared" si="260"/>
        <v>440</v>
      </c>
      <c r="AM275" s="21">
        <f t="shared" si="261"/>
        <v>0</v>
      </c>
      <c r="AN275" s="58">
        <f t="shared" si="262"/>
        <v>1</v>
      </c>
      <c r="AO275" s="58" t="str">
        <f t="shared" si="263"/>
        <v>114</v>
      </c>
      <c r="AP275" s="58" t="str">
        <f t="shared" si="264"/>
        <v>164</v>
      </c>
      <c r="AQ275" s="21" t="e">
        <f t="shared" si="265"/>
        <v>#NUM!</v>
      </c>
      <c r="AR275" s="21" t="e">
        <f t="shared" si="266"/>
        <v>#NUM!</v>
      </c>
      <c r="AS275" s="136" t="e">
        <f t="shared" si="286"/>
        <v>#NUM!</v>
      </c>
      <c r="AT275" s="59" t="e">
        <f t="shared" si="267"/>
        <v>#NUM!</v>
      </c>
      <c r="AU275" s="21" t="e">
        <f t="shared" si="268"/>
        <v>#NUM!</v>
      </c>
      <c r="AV275" s="58">
        <f t="shared" si="269"/>
        <v>1500</v>
      </c>
      <c r="AW275" s="58">
        <f t="shared" si="270"/>
        <v>600</v>
      </c>
      <c r="AX275" s="60">
        <f t="shared" si="271"/>
        <v>0.11</v>
      </c>
      <c r="AY275" s="212">
        <f t="shared" si="287"/>
        <v>0</v>
      </c>
      <c r="AZ275" s="59">
        <f t="shared" si="272"/>
        <v>0</v>
      </c>
      <c r="BA275" s="21" t="e">
        <f t="shared" si="273"/>
        <v>#DIV/0!</v>
      </c>
      <c r="BB275" s="58">
        <f t="shared" si="274"/>
        <v>2900</v>
      </c>
      <c r="BC275" s="58">
        <f t="shared" si="275"/>
        <v>1160</v>
      </c>
      <c r="BD275" s="60">
        <f t="shared" si="276"/>
        <v>0.15</v>
      </c>
      <c r="BE275" s="212" t="e">
        <f t="shared" si="288"/>
        <v>#NUM!</v>
      </c>
      <c r="BF275" s="59" t="e">
        <f t="shared" si="277"/>
        <v>#NUM!</v>
      </c>
      <c r="BG275" s="21" t="e">
        <f t="shared" si="278"/>
        <v>#NUM!</v>
      </c>
      <c r="BH275" s="55">
        <f t="shared" ca="1" si="281"/>
        <v>0</v>
      </c>
    </row>
    <row r="276" spans="1:60" x14ac:dyDescent="0.2">
      <c r="A276" s="61">
        <f ca="1">RANK(W276,W$12:W$311,0)+COUNTIF(W$12:W276,W276)-1</f>
        <v>36</v>
      </c>
      <c r="B276" s="55">
        <f>'Etape 1'!A272</f>
        <v>265</v>
      </c>
      <c r="C276" s="55">
        <f>'Etape 1'!B272</f>
        <v>0</v>
      </c>
      <c r="D276" s="55">
        <f>'Etape 1'!C272</f>
        <v>0</v>
      </c>
      <c r="E276" s="55">
        <f>'Etape 1'!D272</f>
        <v>0</v>
      </c>
      <c r="F276" s="55">
        <f>'Etape 1'!E272</f>
        <v>0</v>
      </c>
      <c r="G276" s="55">
        <f>'Etape 1'!F272</f>
        <v>0</v>
      </c>
      <c r="H276" s="55">
        <f>'Etape 1'!G272</f>
        <v>0</v>
      </c>
      <c r="I276" s="209">
        <v>1</v>
      </c>
      <c r="J276" s="58">
        <f t="shared" si="289"/>
        <v>0</v>
      </c>
      <c r="K276" s="21">
        <f t="shared" si="241"/>
        <v>0</v>
      </c>
      <c r="L276" s="21">
        <f t="shared" si="242"/>
        <v>0</v>
      </c>
      <c r="M276" s="21">
        <f t="shared" ca="1" si="243"/>
        <v>3</v>
      </c>
      <c r="N276" s="21">
        <f t="shared" ca="1" si="244"/>
        <v>3</v>
      </c>
      <c r="O276" s="21">
        <f t="shared" ca="1" si="245"/>
        <v>0</v>
      </c>
      <c r="P276" s="262" t="str">
        <f>IF('Etape 1'!J272=999,"",IF('Etape 1'!J272=9999,txt_Schritt1.Angaben.fehlen,VLOOKUP(N276,Matrix_1.2.3.Test.Punkte.ID.Beurteilung,4,1)))</f>
        <v/>
      </c>
      <c r="Q276" s="21">
        <f t="shared" ca="1" si="246"/>
        <v>0</v>
      </c>
      <c r="R276" s="136">
        <f t="shared" si="282"/>
        <v>265</v>
      </c>
      <c r="S276" s="136">
        <f t="shared" ca="1" si="279"/>
        <v>162.88039867109634</v>
      </c>
      <c r="T276" s="136">
        <f t="shared" ca="1" si="283"/>
        <v>750.88039867109637</v>
      </c>
      <c r="U276" s="136">
        <f t="shared" ca="1" si="284"/>
        <v>1224000.8803986711</v>
      </c>
      <c r="V276" s="211">
        <f t="shared" ca="1" si="285"/>
        <v>235407.07244299049</v>
      </c>
      <c r="W276" s="136">
        <f t="shared" ca="1" si="280"/>
        <v>265</v>
      </c>
      <c r="X276" s="136">
        <f t="shared" ca="1" si="247"/>
        <v>162.999000999001</v>
      </c>
      <c r="Y276" s="21">
        <f t="shared" si="248"/>
        <v>1</v>
      </c>
      <c r="Z276" s="21" t="str">
        <f t="shared" si="249"/>
        <v>&lt;IE0</v>
      </c>
      <c r="AA276" s="21">
        <f t="shared" si="250"/>
        <v>1</v>
      </c>
      <c r="AB276" s="21" t="str">
        <f t="shared" si="251"/>
        <v>a - "&lt; 1990 (Eff3)"</v>
      </c>
      <c r="AC276" s="21">
        <f t="shared" si="252"/>
        <v>999999</v>
      </c>
      <c r="AD276" s="21" t="str">
        <f t="shared" si="253"/>
        <v/>
      </c>
      <c r="AE276" s="21" t="str">
        <f t="shared" si="254"/>
        <v/>
      </c>
      <c r="AF276" s="21" t="str">
        <f t="shared" si="255"/>
        <v/>
      </c>
      <c r="AG276" s="21">
        <f t="shared" si="256"/>
        <v>0</v>
      </c>
      <c r="AH276" s="21">
        <f>IF('Etape 1'!H272=St.Wert_Hacken,1,0)</f>
        <v>0</v>
      </c>
      <c r="AI276" s="21">
        <f t="shared" si="257"/>
        <v>0</v>
      </c>
      <c r="AJ276" s="21">
        <f t="shared" si="258"/>
        <v>1000999</v>
      </c>
      <c r="AK276" s="58">
        <f t="shared" si="259"/>
        <v>1100</v>
      </c>
      <c r="AL276" s="58">
        <f t="shared" si="260"/>
        <v>440</v>
      </c>
      <c r="AM276" s="21">
        <f t="shared" si="261"/>
        <v>0</v>
      </c>
      <c r="AN276" s="58">
        <f t="shared" si="262"/>
        <v>1</v>
      </c>
      <c r="AO276" s="58" t="str">
        <f t="shared" si="263"/>
        <v>114</v>
      </c>
      <c r="AP276" s="58" t="str">
        <f t="shared" si="264"/>
        <v>164</v>
      </c>
      <c r="AQ276" s="21" t="e">
        <f t="shared" si="265"/>
        <v>#NUM!</v>
      </c>
      <c r="AR276" s="21" t="e">
        <f t="shared" si="266"/>
        <v>#NUM!</v>
      </c>
      <c r="AS276" s="136" t="e">
        <f t="shared" si="286"/>
        <v>#NUM!</v>
      </c>
      <c r="AT276" s="59" t="e">
        <f t="shared" si="267"/>
        <v>#NUM!</v>
      </c>
      <c r="AU276" s="21" t="e">
        <f t="shared" si="268"/>
        <v>#NUM!</v>
      </c>
      <c r="AV276" s="58">
        <f t="shared" si="269"/>
        <v>1500</v>
      </c>
      <c r="AW276" s="58">
        <f t="shared" si="270"/>
        <v>600</v>
      </c>
      <c r="AX276" s="60">
        <f t="shared" si="271"/>
        <v>0.11</v>
      </c>
      <c r="AY276" s="212">
        <f t="shared" si="287"/>
        <v>0</v>
      </c>
      <c r="AZ276" s="59">
        <f t="shared" si="272"/>
        <v>0</v>
      </c>
      <c r="BA276" s="21" t="e">
        <f t="shared" si="273"/>
        <v>#DIV/0!</v>
      </c>
      <c r="BB276" s="58">
        <f t="shared" si="274"/>
        <v>2900</v>
      </c>
      <c r="BC276" s="58">
        <f t="shared" si="275"/>
        <v>1160</v>
      </c>
      <c r="BD276" s="60">
        <f t="shared" si="276"/>
        <v>0.15</v>
      </c>
      <c r="BE276" s="212" t="e">
        <f t="shared" si="288"/>
        <v>#NUM!</v>
      </c>
      <c r="BF276" s="59" t="e">
        <f t="shared" si="277"/>
        <v>#NUM!</v>
      </c>
      <c r="BG276" s="21" t="e">
        <f t="shared" si="278"/>
        <v>#NUM!</v>
      </c>
      <c r="BH276" s="55">
        <f t="shared" ca="1" si="281"/>
        <v>0</v>
      </c>
    </row>
    <row r="277" spans="1:60" x14ac:dyDescent="0.2">
      <c r="A277" s="61">
        <f ca="1">RANK(W277,W$12:W$311,0)+COUNTIF(W$12:W277,W277)-1</f>
        <v>35</v>
      </c>
      <c r="B277" s="55">
        <f>'Etape 1'!A273</f>
        <v>266</v>
      </c>
      <c r="C277" s="55">
        <f>'Etape 1'!B273</f>
        <v>0</v>
      </c>
      <c r="D277" s="55">
        <f>'Etape 1'!C273</f>
        <v>0</v>
      </c>
      <c r="E277" s="55">
        <f>'Etape 1'!D273</f>
        <v>0</v>
      </c>
      <c r="F277" s="55">
        <f>'Etape 1'!E273</f>
        <v>0</v>
      </c>
      <c r="G277" s="55">
        <f>'Etape 1'!F273</f>
        <v>0</v>
      </c>
      <c r="H277" s="55">
        <f>'Etape 1'!G273</f>
        <v>0</v>
      </c>
      <c r="I277" s="209">
        <v>1</v>
      </c>
      <c r="J277" s="58">
        <f t="shared" si="289"/>
        <v>0</v>
      </c>
      <c r="K277" s="21">
        <f t="shared" si="241"/>
        <v>0</v>
      </c>
      <c r="L277" s="21">
        <f t="shared" si="242"/>
        <v>0</v>
      </c>
      <c r="M277" s="21">
        <f t="shared" ca="1" si="243"/>
        <v>3</v>
      </c>
      <c r="N277" s="21">
        <f t="shared" ca="1" si="244"/>
        <v>3</v>
      </c>
      <c r="O277" s="21">
        <f t="shared" ca="1" si="245"/>
        <v>0</v>
      </c>
      <c r="P277" s="262" t="str">
        <f>IF('Etape 1'!J273=999,"",IF('Etape 1'!J273=9999,txt_Schritt1.Angaben.fehlen,VLOOKUP(N277,Matrix_1.2.3.Test.Punkte.ID.Beurteilung,4,1)))</f>
        <v/>
      </c>
      <c r="Q277" s="21">
        <f t="shared" ca="1" si="246"/>
        <v>0</v>
      </c>
      <c r="R277" s="136">
        <f t="shared" si="282"/>
        <v>266</v>
      </c>
      <c r="S277" s="136">
        <f t="shared" ca="1" si="279"/>
        <v>162.88372093023256</v>
      </c>
      <c r="T277" s="136">
        <f t="shared" ca="1" si="283"/>
        <v>750.88372093023258</v>
      </c>
      <c r="U277" s="136">
        <f t="shared" ca="1" si="284"/>
        <v>1224000.8837209302</v>
      </c>
      <c r="V277" s="211">
        <f t="shared" ca="1" si="285"/>
        <v>235407.07576524964</v>
      </c>
      <c r="W277" s="136">
        <f t="shared" ca="1" si="280"/>
        <v>266</v>
      </c>
      <c r="X277" s="136">
        <f t="shared" ca="1" si="247"/>
        <v>162.999000999001</v>
      </c>
      <c r="Y277" s="21">
        <f t="shared" si="248"/>
        <v>1</v>
      </c>
      <c r="Z277" s="21" t="str">
        <f t="shared" si="249"/>
        <v>&lt;IE0</v>
      </c>
      <c r="AA277" s="21">
        <f t="shared" si="250"/>
        <v>1</v>
      </c>
      <c r="AB277" s="21" t="str">
        <f t="shared" si="251"/>
        <v>a - "&lt; 1990 (Eff3)"</v>
      </c>
      <c r="AC277" s="21">
        <f t="shared" si="252"/>
        <v>999999</v>
      </c>
      <c r="AD277" s="21" t="str">
        <f t="shared" si="253"/>
        <v/>
      </c>
      <c r="AE277" s="21" t="str">
        <f t="shared" si="254"/>
        <v/>
      </c>
      <c r="AF277" s="21" t="str">
        <f t="shared" si="255"/>
        <v/>
      </c>
      <c r="AG277" s="21">
        <f t="shared" si="256"/>
        <v>0</v>
      </c>
      <c r="AH277" s="21">
        <f>IF('Etape 1'!H273=St.Wert_Hacken,1,0)</f>
        <v>0</v>
      </c>
      <c r="AI277" s="21">
        <f t="shared" si="257"/>
        <v>0</v>
      </c>
      <c r="AJ277" s="21">
        <f t="shared" si="258"/>
        <v>1000999</v>
      </c>
      <c r="AK277" s="58">
        <f t="shared" si="259"/>
        <v>1100</v>
      </c>
      <c r="AL277" s="58">
        <f t="shared" si="260"/>
        <v>440</v>
      </c>
      <c r="AM277" s="21">
        <f t="shared" si="261"/>
        <v>0</v>
      </c>
      <c r="AN277" s="58">
        <f t="shared" si="262"/>
        <v>1</v>
      </c>
      <c r="AO277" s="58" t="str">
        <f t="shared" si="263"/>
        <v>114</v>
      </c>
      <c r="AP277" s="58" t="str">
        <f t="shared" si="264"/>
        <v>164</v>
      </c>
      <c r="AQ277" s="21" t="e">
        <f t="shared" si="265"/>
        <v>#NUM!</v>
      </c>
      <c r="AR277" s="21" t="e">
        <f t="shared" si="266"/>
        <v>#NUM!</v>
      </c>
      <c r="AS277" s="136" t="e">
        <f t="shared" si="286"/>
        <v>#NUM!</v>
      </c>
      <c r="AT277" s="59" t="e">
        <f t="shared" si="267"/>
        <v>#NUM!</v>
      </c>
      <c r="AU277" s="21" t="e">
        <f t="shared" si="268"/>
        <v>#NUM!</v>
      </c>
      <c r="AV277" s="58">
        <f t="shared" si="269"/>
        <v>1500</v>
      </c>
      <c r="AW277" s="58">
        <f t="shared" si="270"/>
        <v>600</v>
      </c>
      <c r="AX277" s="60">
        <f t="shared" si="271"/>
        <v>0.11</v>
      </c>
      <c r="AY277" s="212">
        <f t="shared" si="287"/>
        <v>0</v>
      </c>
      <c r="AZ277" s="59">
        <f t="shared" si="272"/>
        <v>0</v>
      </c>
      <c r="BA277" s="21" t="e">
        <f t="shared" si="273"/>
        <v>#DIV/0!</v>
      </c>
      <c r="BB277" s="58">
        <f t="shared" si="274"/>
        <v>2900</v>
      </c>
      <c r="BC277" s="58">
        <f t="shared" si="275"/>
        <v>1160</v>
      </c>
      <c r="BD277" s="60">
        <f t="shared" si="276"/>
        <v>0.15</v>
      </c>
      <c r="BE277" s="212" t="e">
        <f t="shared" si="288"/>
        <v>#NUM!</v>
      </c>
      <c r="BF277" s="59" t="e">
        <f t="shared" si="277"/>
        <v>#NUM!</v>
      </c>
      <c r="BG277" s="21" t="e">
        <f t="shared" si="278"/>
        <v>#NUM!</v>
      </c>
      <c r="BH277" s="55">
        <f t="shared" ca="1" si="281"/>
        <v>0</v>
      </c>
    </row>
    <row r="278" spans="1:60" x14ac:dyDescent="0.2">
      <c r="A278" s="61">
        <f ca="1">RANK(W278,W$12:W$311,0)+COUNTIF(W$12:W278,W278)-1</f>
        <v>34</v>
      </c>
      <c r="B278" s="55">
        <f>'Etape 1'!A274</f>
        <v>267</v>
      </c>
      <c r="C278" s="55">
        <f>'Etape 1'!B274</f>
        <v>0</v>
      </c>
      <c r="D278" s="55">
        <f>'Etape 1'!C274</f>
        <v>0</v>
      </c>
      <c r="E278" s="55">
        <f>'Etape 1'!D274</f>
        <v>0</v>
      </c>
      <c r="F278" s="55">
        <f>'Etape 1'!E274</f>
        <v>0</v>
      </c>
      <c r="G278" s="55">
        <f>'Etape 1'!F274</f>
        <v>0</v>
      </c>
      <c r="H278" s="55">
        <f>'Etape 1'!G274</f>
        <v>0</v>
      </c>
      <c r="I278" s="209">
        <v>1</v>
      </c>
      <c r="J278" s="58">
        <f t="shared" si="289"/>
        <v>0</v>
      </c>
      <c r="K278" s="21">
        <f t="shared" si="241"/>
        <v>0</v>
      </c>
      <c r="L278" s="21">
        <f t="shared" si="242"/>
        <v>0</v>
      </c>
      <c r="M278" s="21">
        <f t="shared" ca="1" si="243"/>
        <v>3</v>
      </c>
      <c r="N278" s="21">
        <f t="shared" ca="1" si="244"/>
        <v>3</v>
      </c>
      <c r="O278" s="21">
        <f t="shared" ca="1" si="245"/>
        <v>0</v>
      </c>
      <c r="P278" s="262" t="str">
        <f>IF('Etape 1'!J274=999,"",IF('Etape 1'!J274=9999,txt_Schritt1.Angaben.fehlen,VLOOKUP(N278,Matrix_1.2.3.Test.Punkte.ID.Beurteilung,4,1)))</f>
        <v/>
      </c>
      <c r="Q278" s="21">
        <f t="shared" ca="1" si="246"/>
        <v>0</v>
      </c>
      <c r="R278" s="136">
        <f t="shared" si="282"/>
        <v>267</v>
      </c>
      <c r="S278" s="136">
        <f t="shared" ca="1" si="279"/>
        <v>162.88704318936877</v>
      </c>
      <c r="T278" s="136">
        <f t="shared" ca="1" si="283"/>
        <v>750.8870431893688</v>
      </c>
      <c r="U278" s="136">
        <f t="shared" ca="1" si="284"/>
        <v>1224000.8870431893</v>
      </c>
      <c r="V278" s="211">
        <f t="shared" ca="1" si="285"/>
        <v>235407.07908750878</v>
      </c>
      <c r="W278" s="136">
        <f t="shared" ca="1" si="280"/>
        <v>267</v>
      </c>
      <c r="X278" s="136">
        <f t="shared" ca="1" si="247"/>
        <v>162.999000999001</v>
      </c>
      <c r="Y278" s="21">
        <f t="shared" si="248"/>
        <v>1</v>
      </c>
      <c r="Z278" s="21" t="str">
        <f t="shared" si="249"/>
        <v>&lt;IE0</v>
      </c>
      <c r="AA278" s="21">
        <f t="shared" si="250"/>
        <v>1</v>
      </c>
      <c r="AB278" s="21" t="str">
        <f t="shared" si="251"/>
        <v>a - "&lt; 1990 (Eff3)"</v>
      </c>
      <c r="AC278" s="21">
        <f t="shared" si="252"/>
        <v>999999</v>
      </c>
      <c r="AD278" s="21" t="str">
        <f t="shared" si="253"/>
        <v/>
      </c>
      <c r="AE278" s="21" t="str">
        <f t="shared" si="254"/>
        <v/>
      </c>
      <c r="AF278" s="21" t="str">
        <f t="shared" si="255"/>
        <v/>
      </c>
      <c r="AG278" s="21">
        <f t="shared" si="256"/>
        <v>0</v>
      </c>
      <c r="AH278" s="21">
        <f>IF('Etape 1'!H274=St.Wert_Hacken,1,0)</f>
        <v>0</v>
      </c>
      <c r="AI278" s="21">
        <f t="shared" si="257"/>
        <v>0</v>
      </c>
      <c r="AJ278" s="21">
        <f t="shared" si="258"/>
        <v>1000999</v>
      </c>
      <c r="AK278" s="58">
        <f t="shared" si="259"/>
        <v>1100</v>
      </c>
      <c r="AL278" s="58">
        <f t="shared" si="260"/>
        <v>440</v>
      </c>
      <c r="AM278" s="21">
        <f t="shared" si="261"/>
        <v>0</v>
      </c>
      <c r="AN278" s="58">
        <f t="shared" si="262"/>
        <v>1</v>
      </c>
      <c r="AO278" s="58" t="str">
        <f t="shared" si="263"/>
        <v>114</v>
      </c>
      <c r="AP278" s="58" t="str">
        <f t="shared" si="264"/>
        <v>164</v>
      </c>
      <c r="AQ278" s="21" t="e">
        <f t="shared" si="265"/>
        <v>#NUM!</v>
      </c>
      <c r="AR278" s="21" t="e">
        <f t="shared" si="266"/>
        <v>#NUM!</v>
      </c>
      <c r="AS278" s="136" t="e">
        <f t="shared" si="286"/>
        <v>#NUM!</v>
      </c>
      <c r="AT278" s="59" t="e">
        <f t="shared" si="267"/>
        <v>#NUM!</v>
      </c>
      <c r="AU278" s="21" t="e">
        <f t="shared" si="268"/>
        <v>#NUM!</v>
      </c>
      <c r="AV278" s="58">
        <f t="shared" si="269"/>
        <v>1500</v>
      </c>
      <c r="AW278" s="58">
        <f t="shared" si="270"/>
        <v>600</v>
      </c>
      <c r="AX278" s="60">
        <f t="shared" si="271"/>
        <v>0.11</v>
      </c>
      <c r="AY278" s="212">
        <f t="shared" si="287"/>
        <v>0</v>
      </c>
      <c r="AZ278" s="59">
        <f t="shared" si="272"/>
        <v>0</v>
      </c>
      <c r="BA278" s="21" t="e">
        <f t="shared" si="273"/>
        <v>#DIV/0!</v>
      </c>
      <c r="BB278" s="58">
        <f t="shared" si="274"/>
        <v>2900</v>
      </c>
      <c r="BC278" s="58">
        <f t="shared" si="275"/>
        <v>1160</v>
      </c>
      <c r="BD278" s="60">
        <f t="shared" si="276"/>
        <v>0.15</v>
      </c>
      <c r="BE278" s="212" t="e">
        <f t="shared" si="288"/>
        <v>#NUM!</v>
      </c>
      <c r="BF278" s="59" t="e">
        <f t="shared" si="277"/>
        <v>#NUM!</v>
      </c>
      <c r="BG278" s="21" t="e">
        <f t="shared" si="278"/>
        <v>#NUM!</v>
      </c>
      <c r="BH278" s="55">
        <f t="shared" ca="1" si="281"/>
        <v>0</v>
      </c>
    </row>
    <row r="279" spans="1:60" x14ac:dyDescent="0.2">
      <c r="A279" s="61">
        <f ca="1">RANK(W279,W$12:W$311,0)+COUNTIF(W$12:W279,W279)-1</f>
        <v>33</v>
      </c>
      <c r="B279" s="55">
        <f>'Etape 1'!A275</f>
        <v>268</v>
      </c>
      <c r="C279" s="55">
        <f>'Etape 1'!B275</f>
        <v>0</v>
      </c>
      <c r="D279" s="55">
        <f>'Etape 1'!C275</f>
        <v>0</v>
      </c>
      <c r="E279" s="55">
        <f>'Etape 1'!D275</f>
        <v>0</v>
      </c>
      <c r="F279" s="55">
        <f>'Etape 1'!E275</f>
        <v>0</v>
      </c>
      <c r="G279" s="55">
        <f>'Etape 1'!F275</f>
        <v>0</v>
      </c>
      <c r="H279" s="55">
        <f>'Etape 1'!G275</f>
        <v>0</v>
      </c>
      <c r="I279" s="209">
        <v>1</v>
      </c>
      <c r="J279" s="58">
        <f t="shared" si="289"/>
        <v>0</v>
      </c>
      <c r="K279" s="21">
        <f t="shared" si="241"/>
        <v>0</v>
      </c>
      <c r="L279" s="21">
        <f t="shared" si="242"/>
        <v>0</v>
      </c>
      <c r="M279" s="21">
        <f t="shared" ca="1" si="243"/>
        <v>3</v>
      </c>
      <c r="N279" s="21">
        <f t="shared" ca="1" si="244"/>
        <v>3</v>
      </c>
      <c r="O279" s="21">
        <f t="shared" ca="1" si="245"/>
        <v>0</v>
      </c>
      <c r="P279" s="262" t="str">
        <f>IF('Etape 1'!J275=999,"",IF('Etape 1'!J275=9999,txt_Schritt1.Angaben.fehlen,VLOOKUP(N279,Matrix_1.2.3.Test.Punkte.ID.Beurteilung,4,1)))</f>
        <v/>
      </c>
      <c r="Q279" s="21">
        <f t="shared" ca="1" si="246"/>
        <v>0</v>
      </c>
      <c r="R279" s="136">
        <f t="shared" si="282"/>
        <v>268</v>
      </c>
      <c r="S279" s="136">
        <f t="shared" ca="1" si="279"/>
        <v>162.89036544850498</v>
      </c>
      <c r="T279" s="136">
        <f t="shared" ca="1" si="283"/>
        <v>750.89036544850501</v>
      </c>
      <c r="U279" s="136">
        <f t="shared" ca="1" si="284"/>
        <v>1224000.8903654485</v>
      </c>
      <c r="V279" s="211">
        <f t="shared" ca="1" si="285"/>
        <v>235407.08240976793</v>
      </c>
      <c r="W279" s="136">
        <f t="shared" ca="1" si="280"/>
        <v>268</v>
      </c>
      <c r="X279" s="136">
        <f t="shared" ca="1" si="247"/>
        <v>162.999000999001</v>
      </c>
      <c r="Y279" s="21">
        <f t="shared" si="248"/>
        <v>1</v>
      </c>
      <c r="Z279" s="21" t="str">
        <f t="shared" si="249"/>
        <v>&lt;IE0</v>
      </c>
      <c r="AA279" s="21">
        <f t="shared" si="250"/>
        <v>1</v>
      </c>
      <c r="AB279" s="21" t="str">
        <f t="shared" si="251"/>
        <v>a - "&lt; 1990 (Eff3)"</v>
      </c>
      <c r="AC279" s="21">
        <f t="shared" si="252"/>
        <v>999999</v>
      </c>
      <c r="AD279" s="21" t="str">
        <f t="shared" si="253"/>
        <v/>
      </c>
      <c r="AE279" s="21" t="str">
        <f t="shared" si="254"/>
        <v/>
      </c>
      <c r="AF279" s="21" t="str">
        <f t="shared" si="255"/>
        <v/>
      </c>
      <c r="AG279" s="21">
        <f t="shared" si="256"/>
        <v>0</v>
      </c>
      <c r="AH279" s="21">
        <f>IF('Etape 1'!H275=St.Wert_Hacken,1,0)</f>
        <v>0</v>
      </c>
      <c r="AI279" s="21">
        <f t="shared" si="257"/>
        <v>0</v>
      </c>
      <c r="AJ279" s="21">
        <f t="shared" si="258"/>
        <v>1000999</v>
      </c>
      <c r="AK279" s="58">
        <f t="shared" si="259"/>
        <v>1100</v>
      </c>
      <c r="AL279" s="58">
        <f t="shared" si="260"/>
        <v>440</v>
      </c>
      <c r="AM279" s="21">
        <f t="shared" si="261"/>
        <v>0</v>
      </c>
      <c r="AN279" s="58">
        <f t="shared" si="262"/>
        <v>1</v>
      </c>
      <c r="AO279" s="58" t="str">
        <f t="shared" si="263"/>
        <v>114</v>
      </c>
      <c r="AP279" s="58" t="str">
        <f t="shared" si="264"/>
        <v>164</v>
      </c>
      <c r="AQ279" s="21" t="e">
        <f t="shared" si="265"/>
        <v>#NUM!</v>
      </c>
      <c r="AR279" s="21" t="e">
        <f t="shared" si="266"/>
        <v>#NUM!</v>
      </c>
      <c r="AS279" s="136" t="e">
        <f t="shared" si="286"/>
        <v>#NUM!</v>
      </c>
      <c r="AT279" s="59" t="e">
        <f t="shared" si="267"/>
        <v>#NUM!</v>
      </c>
      <c r="AU279" s="21" t="e">
        <f t="shared" si="268"/>
        <v>#NUM!</v>
      </c>
      <c r="AV279" s="58">
        <f t="shared" si="269"/>
        <v>1500</v>
      </c>
      <c r="AW279" s="58">
        <f t="shared" si="270"/>
        <v>600</v>
      </c>
      <c r="AX279" s="60">
        <f t="shared" si="271"/>
        <v>0.11</v>
      </c>
      <c r="AY279" s="212">
        <f t="shared" si="287"/>
        <v>0</v>
      </c>
      <c r="AZ279" s="59">
        <f t="shared" si="272"/>
        <v>0</v>
      </c>
      <c r="BA279" s="21" t="e">
        <f t="shared" si="273"/>
        <v>#DIV/0!</v>
      </c>
      <c r="BB279" s="58">
        <f t="shared" si="274"/>
        <v>2900</v>
      </c>
      <c r="BC279" s="58">
        <f t="shared" si="275"/>
        <v>1160</v>
      </c>
      <c r="BD279" s="60">
        <f t="shared" si="276"/>
        <v>0.15</v>
      </c>
      <c r="BE279" s="212" t="e">
        <f t="shared" si="288"/>
        <v>#NUM!</v>
      </c>
      <c r="BF279" s="59" t="e">
        <f t="shared" si="277"/>
        <v>#NUM!</v>
      </c>
      <c r="BG279" s="21" t="e">
        <f t="shared" si="278"/>
        <v>#NUM!</v>
      </c>
      <c r="BH279" s="55">
        <f t="shared" ca="1" si="281"/>
        <v>0</v>
      </c>
    </row>
    <row r="280" spans="1:60" x14ac:dyDescent="0.2">
      <c r="A280" s="61">
        <f ca="1">RANK(W280,W$12:W$311,0)+COUNTIF(W$12:W280,W280)-1</f>
        <v>32</v>
      </c>
      <c r="B280" s="55">
        <f>'Etape 1'!A276</f>
        <v>269</v>
      </c>
      <c r="C280" s="55">
        <f>'Etape 1'!B276</f>
        <v>0</v>
      </c>
      <c r="D280" s="55">
        <f>'Etape 1'!C276</f>
        <v>0</v>
      </c>
      <c r="E280" s="55">
        <f>'Etape 1'!D276</f>
        <v>0</v>
      </c>
      <c r="F280" s="55">
        <f>'Etape 1'!E276</f>
        <v>0</v>
      </c>
      <c r="G280" s="55">
        <f>'Etape 1'!F276</f>
        <v>0</v>
      </c>
      <c r="H280" s="55">
        <f>'Etape 1'!G276</f>
        <v>0</v>
      </c>
      <c r="I280" s="209">
        <v>1</v>
      </c>
      <c r="J280" s="58">
        <f t="shared" si="289"/>
        <v>0</v>
      </c>
      <c r="K280" s="21">
        <f t="shared" si="241"/>
        <v>0</v>
      </c>
      <c r="L280" s="21">
        <f t="shared" si="242"/>
        <v>0</v>
      </c>
      <c r="M280" s="21">
        <f t="shared" ca="1" si="243"/>
        <v>3</v>
      </c>
      <c r="N280" s="21">
        <f t="shared" ca="1" si="244"/>
        <v>3</v>
      </c>
      <c r="O280" s="21">
        <f t="shared" ca="1" si="245"/>
        <v>0</v>
      </c>
      <c r="P280" s="262" t="str">
        <f>IF('Etape 1'!J276=999,"",IF('Etape 1'!J276=9999,txt_Schritt1.Angaben.fehlen,VLOOKUP(N280,Matrix_1.2.3.Test.Punkte.ID.Beurteilung,4,1)))</f>
        <v/>
      </c>
      <c r="Q280" s="21">
        <f t="shared" ca="1" si="246"/>
        <v>0</v>
      </c>
      <c r="R280" s="136">
        <f t="shared" si="282"/>
        <v>269</v>
      </c>
      <c r="S280" s="136">
        <f t="shared" ca="1" si="279"/>
        <v>162.89368770764119</v>
      </c>
      <c r="T280" s="136">
        <f t="shared" ca="1" si="283"/>
        <v>750.89368770764122</v>
      </c>
      <c r="U280" s="136">
        <f t="shared" ca="1" si="284"/>
        <v>1224000.8936877076</v>
      </c>
      <c r="V280" s="211">
        <f t="shared" ca="1" si="285"/>
        <v>235407.08573202704</v>
      </c>
      <c r="W280" s="136">
        <f t="shared" ca="1" si="280"/>
        <v>269</v>
      </c>
      <c r="X280" s="136">
        <f t="shared" ca="1" si="247"/>
        <v>162.999000999001</v>
      </c>
      <c r="Y280" s="21">
        <f t="shared" si="248"/>
        <v>1</v>
      </c>
      <c r="Z280" s="21" t="str">
        <f t="shared" si="249"/>
        <v>&lt;IE0</v>
      </c>
      <c r="AA280" s="21">
        <f t="shared" si="250"/>
        <v>1</v>
      </c>
      <c r="AB280" s="21" t="str">
        <f t="shared" si="251"/>
        <v>a - "&lt; 1990 (Eff3)"</v>
      </c>
      <c r="AC280" s="21">
        <f t="shared" si="252"/>
        <v>999999</v>
      </c>
      <c r="AD280" s="21" t="str">
        <f t="shared" si="253"/>
        <v/>
      </c>
      <c r="AE280" s="21" t="str">
        <f t="shared" si="254"/>
        <v/>
      </c>
      <c r="AF280" s="21" t="str">
        <f t="shared" si="255"/>
        <v/>
      </c>
      <c r="AG280" s="21">
        <f t="shared" si="256"/>
        <v>0</v>
      </c>
      <c r="AH280" s="21">
        <f>IF('Etape 1'!H276=St.Wert_Hacken,1,0)</f>
        <v>0</v>
      </c>
      <c r="AI280" s="21">
        <f t="shared" si="257"/>
        <v>0</v>
      </c>
      <c r="AJ280" s="21">
        <f t="shared" si="258"/>
        <v>1000999</v>
      </c>
      <c r="AK280" s="58">
        <f t="shared" si="259"/>
        <v>1100</v>
      </c>
      <c r="AL280" s="58">
        <f t="shared" si="260"/>
        <v>440</v>
      </c>
      <c r="AM280" s="21">
        <f t="shared" si="261"/>
        <v>0</v>
      </c>
      <c r="AN280" s="58">
        <f t="shared" si="262"/>
        <v>1</v>
      </c>
      <c r="AO280" s="58" t="str">
        <f t="shared" si="263"/>
        <v>114</v>
      </c>
      <c r="AP280" s="58" t="str">
        <f t="shared" si="264"/>
        <v>164</v>
      </c>
      <c r="AQ280" s="21" t="e">
        <f t="shared" si="265"/>
        <v>#NUM!</v>
      </c>
      <c r="AR280" s="21" t="e">
        <f t="shared" si="266"/>
        <v>#NUM!</v>
      </c>
      <c r="AS280" s="136" t="e">
        <f t="shared" si="286"/>
        <v>#NUM!</v>
      </c>
      <c r="AT280" s="59" t="e">
        <f t="shared" si="267"/>
        <v>#NUM!</v>
      </c>
      <c r="AU280" s="21" t="e">
        <f t="shared" si="268"/>
        <v>#NUM!</v>
      </c>
      <c r="AV280" s="58">
        <f t="shared" si="269"/>
        <v>1500</v>
      </c>
      <c r="AW280" s="58">
        <f t="shared" si="270"/>
        <v>600</v>
      </c>
      <c r="AX280" s="60">
        <f t="shared" si="271"/>
        <v>0.11</v>
      </c>
      <c r="AY280" s="212">
        <f t="shared" si="287"/>
        <v>0</v>
      </c>
      <c r="AZ280" s="59">
        <f t="shared" si="272"/>
        <v>0</v>
      </c>
      <c r="BA280" s="21" t="e">
        <f t="shared" si="273"/>
        <v>#DIV/0!</v>
      </c>
      <c r="BB280" s="58">
        <f t="shared" si="274"/>
        <v>2900</v>
      </c>
      <c r="BC280" s="58">
        <f t="shared" si="275"/>
        <v>1160</v>
      </c>
      <c r="BD280" s="60">
        <f t="shared" si="276"/>
        <v>0.15</v>
      </c>
      <c r="BE280" s="212" t="e">
        <f t="shared" si="288"/>
        <v>#NUM!</v>
      </c>
      <c r="BF280" s="59" t="e">
        <f t="shared" si="277"/>
        <v>#NUM!</v>
      </c>
      <c r="BG280" s="21" t="e">
        <f t="shared" si="278"/>
        <v>#NUM!</v>
      </c>
      <c r="BH280" s="55">
        <f t="shared" ca="1" si="281"/>
        <v>0</v>
      </c>
    </row>
    <row r="281" spans="1:60" x14ac:dyDescent="0.2">
      <c r="A281" s="61">
        <f ca="1">RANK(W281,W$12:W$311,0)+COUNTIF(W$12:W281,W281)-1</f>
        <v>31</v>
      </c>
      <c r="B281" s="55">
        <f>'Etape 1'!A277</f>
        <v>270</v>
      </c>
      <c r="C281" s="55">
        <f>'Etape 1'!B277</f>
        <v>0</v>
      </c>
      <c r="D281" s="55">
        <f>'Etape 1'!C277</f>
        <v>0</v>
      </c>
      <c r="E281" s="55">
        <f>'Etape 1'!D277</f>
        <v>0</v>
      </c>
      <c r="F281" s="55">
        <f>'Etape 1'!E277</f>
        <v>0</v>
      </c>
      <c r="G281" s="55">
        <f>'Etape 1'!F277</f>
        <v>0</v>
      </c>
      <c r="H281" s="55">
        <f>'Etape 1'!G277</f>
        <v>0</v>
      </c>
      <c r="I281" s="209">
        <v>1</v>
      </c>
      <c r="J281" s="58">
        <f t="shared" si="289"/>
        <v>0</v>
      </c>
      <c r="K281" s="21">
        <f t="shared" si="241"/>
        <v>0</v>
      </c>
      <c r="L281" s="21">
        <f t="shared" si="242"/>
        <v>0</v>
      </c>
      <c r="M281" s="21">
        <f t="shared" ca="1" si="243"/>
        <v>3</v>
      </c>
      <c r="N281" s="21">
        <f t="shared" ca="1" si="244"/>
        <v>3</v>
      </c>
      <c r="O281" s="21">
        <f t="shared" ca="1" si="245"/>
        <v>0</v>
      </c>
      <c r="P281" s="262" t="str">
        <f>IF('Etape 1'!J277=999,"",IF('Etape 1'!J277=9999,txt_Schritt1.Angaben.fehlen,VLOOKUP(N281,Matrix_1.2.3.Test.Punkte.ID.Beurteilung,4,1)))</f>
        <v/>
      </c>
      <c r="Q281" s="21">
        <f t="shared" ca="1" si="246"/>
        <v>0</v>
      </c>
      <c r="R281" s="136">
        <f t="shared" si="282"/>
        <v>270</v>
      </c>
      <c r="S281" s="136">
        <f t="shared" ca="1" si="279"/>
        <v>162.8970099667774</v>
      </c>
      <c r="T281" s="136">
        <f t="shared" ca="1" si="283"/>
        <v>750.89700996677743</v>
      </c>
      <c r="U281" s="136">
        <f t="shared" ca="1" si="284"/>
        <v>1224000.8970099667</v>
      </c>
      <c r="V281" s="211">
        <f t="shared" ca="1" si="285"/>
        <v>235407.08905428619</v>
      </c>
      <c r="W281" s="136">
        <f t="shared" ca="1" si="280"/>
        <v>270</v>
      </c>
      <c r="X281" s="136">
        <f t="shared" ca="1" si="247"/>
        <v>162.999000999001</v>
      </c>
      <c r="Y281" s="21">
        <f t="shared" si="248"/>
        <v>1</v>
      </c>
      <c r="Z281" s="21" t="str">
        <f t="shared" si="249"/>
        <v>&lt;IE0</v>
      </c>
      <c r="AA281" s="21">
        <f t="shared" si="250"/>
        <v>1</v>
      </c>
      <c r="AB281" s="21" t="str">
        <f t="shared" si="251"/>
        <v>a - "&lt; 1990 (Eff3)"</v>
      </c>
      <c r="AC281" s="21">
        <f t="shared" si="252"/>
        <v>999999</v>
      </c>
      <c r="AD281" s="21" t="str">
        <f t="shared" si="253"/>
        <v/>
      </c>
      <c r="AE281" s="21" t="str">
        <f t="shared" si="254"/>
        <v/>
      </c>
      <c r="AF281" s="21" t="str">
        <f t="shared" si="255"/>
        <v/>
      </c>
      <c r="AG281" s="21">
        <f t="shared" si="256"/>
        <v>0</v>
      </c>
      <c r="AH281" s="21">
        <f>IF('Etape 1'!H277=St.Wert_Hacken,1,0)</f>
        <v>0</v>
      </c>
      <c r="AI281" s="21">
        <f t="shared" si="257"/>
        <v>0</v>
      </c>
      <c r="AJ281" s="21">
        <f t="shared" si="258"/>
        <v>1000999</v>
      </c>
      <c r="AK281" s="58">
        <f t="shared" si="259"/>
        <v>1100</v>
      </c>
      <c r="AL281" s="58">
        <f t="shared" si="260"/>
        <v>440</v>
      </c>
      <c r="AM281" s="21">
        <f t="shared" si="261"/>
        <v>0</v>
      </c>
      <c r="AN281" s="58">
        <f t="shared" si="262"/>
        <v>1</v>
      </c>
      <c r="AO281" s="58" t="str">
        <f t="shared" si="263"/>
        <v>114</v>
      </c>
      <c r="AP281" s="58" t="str">
        <f t="shared" si="264"/>
        <v>164</v>
      </c>
      <c r="AQ281" s="21" t="e">
        <f t="shared" si="265"/>
        <v>#NUM!</v>
      </c>
      <c r="AR281" s="21" t="e">
        <f t="shared" si="266"/>
        <v>#NUM!</v>
      </c>
      <c r="AS281" s="136" t="e">
        <f t="shared" si="286"/>
        <v>#NUM!</v>
      </c>
      <c r="AT281" s="59" t="e">
        <f t="shared" si="267"/>
        <v>#NUM!</v>
      </c>
      <c r="AU281" s="21" t="e">
        <f t="shared" si="268"/>
        <v>#NUM!</v>
      </c>
      <c r="AV281" s="58">
        <f t="shared" si="269"/>
        <v>1500</v>
      </c>
      <c r="AW281" s="58">
        <f t="shared" si="270"/>
        <v>600</v>
      </c>
      <c r="AX281" s="60">
        <f t="shared" si="271"/>
        <v>0.11</v>
      </c>
      <c r="AY281" s="212">
        <f t="shared" si="287"/>
        <v>0</v>
      </c>
      <c r="AZ281" s="59">
        <f t="shared" si="272"/>
        <v>0</v>
      </c>
      <c r="BA281" s="21" t="e">
        <f t="shared" si="273"/>
        <v>#DIV/0!</v>
      </c>
      <c r="BB281" s="58">
        <f t="shared" si="274"/>
        <v>2900</v>
      </c>
      <c r="BC281" s="58">
        <f t="shared" si="275"/>
        <v>1160</v>
      </c>
      <c r="BD281" s="60">
        <f t="shared" si="276"/>
        <v>0.15</v>
      </c>
      <c r="BE281" s="212" t="e">
        <f t="shared" si="288"/>
        <v>#NUM!</v>
      </c>
      <c r="BF281" s="59" t="e">
        <f t="shared" si="277"/>
        <v>#NUM!</v>
      </c>
      <c r="BG281" s="21" t="e">
        <f t="shared" si="278"/>
        <v>#NUM!</v>
      </c>
      <c r="BH281" s="55">
        <f t="shared" ca="1" si="281"/>
        <v>0</v>
      </c>
    </row>
    <row r="282" spans="1:60" x14ac:dyDescent="0.2">
      <c r="A282" s="61">
        <f ca="1">RANK(W282,W$12:W$311,0)+COUNTIF(W$12:W282,W282)-1</f>
        <v>30</v>
      </c>
      <c r="B282" s="55">
        <f>'Etape 1'!A278</f>
        <v>271</v>
      </c>
      <c r="C282" s="55">
        <f>'Etape 1'!B278</f>
        <v>0</v>
      </c>
      <c r="D282" s="55">
        <f>'Etape 1'!C278</f>
        <v>0</v>
      </c>
      <c r="E282" s="55">
        <f>'Etape 1'!D278</f>
        <v>0</v>
      </c>
      <c r="F282" s="55">
        <f>'Etape 1'!E278</f>
        <v>0</v>
      </c>
      <c r="G282" s="55">
        <f>'Etape 1'!F278</f>
        <v>0</v>
      </c>
      <c r="H282" s="55">
        <f>'Etape 1'!G278</f>
        <v>0</v>
      </c>
      <c r="I282" s="209">
        <v>1</v>
      </c>
      <c r="J282" s="58">
        <f t="shared" si="289"/>
        <v>0</v>
      </c>
      <c r="K282" s="21">
        <f t="shared" si="241"/>
        <v>0</v>
      </c>
      <c r="L282" s="21">
        <f t="shared" si="242"/>
        <v>0</v>
      </c>
      <c r="M282" s="21">
        <f t="shared" ca="1" si="243"/>
        <v>3</v>
      </c>
      <c r="N282" s="21">
        <f t="shared" ca="1" si="244"/>
        <v>3</v>
      </c>
      <c r="O282" s="21">
        <f t="shared" ca="1" si="245"/>
        <v>0</v>
      </c>
      <c r="P282" s="262" t="str">
        <f>IF('Etape 1'!J278=999,"",IF('Etape 1'!J278=9999,txt_Schritt1.Angaben.fehlen,VLOOKUP(N282,Matrix_1.2.3.Test.Punkte.ID.Beurteilung,4,1)))</f>
        <v/>
      </c>
      <c r="Q282" s="21">
        <f t="shared" ca="1" si="246"/>
        <v>0</v>
      </c>
      <c r="R282" s="136">
        <f t="shared" si="282"/>
        <v>271</v>
      </c>
      <c r="S282" s="136">
        <f t="shared" ca="1" si="279"/>
        <v>162.90033222591362</v>
      </c>
      <c r="T282" s="136">
        <f t="shared" ca="1" si="283"/>
        <v>750.90033222591364</v>
      </c>
      <c r="U282" s="136">
        <f t="shared" ca="1" si="284"/>
        <v>1224000.900332226</v>
      </c>
      <c r="V282" s="211">
        <f t="shared" ca="1" si="285"/>
        <v>235407.09237654533</v>
      </c>
      <c r="W282" s="136">
        <f t="shared" ca="1" si="280"/>
        <v>271</v>
      </c>
      <c r="X282" s="136">
        <f t="shared" ca="1" si="247"/>
        <v>162.999000999001</v>
      </c>
      <c r="Y282" s="21">
        <f t="shared" si="248"/>
        <v>1</v>
      </c>
      <c r="Z282" s="21" t="str">
        <f t="shared" si="249"/>
        <v>&lt;IE0</v>
      </c>
      <c r="AA282" s="21">
        <f t="shared" si="250"/>
        <v>1</v>
      </c>
      <c r="AB282" s="21" t="str">
        <f t="shared" si="251"/>
        <v>a - "&lt; 1990 (Eff3)"</v>
      </c>
      <c r="AC282" s="21">
        <f t="shared" si="252"/>
        <v>999999</v>
      </c>
      <c r="AD282" s="21" t="str">
        <f t="shared" si="253"/>
        <v/>
      </c>
      <c r="AE282" s="21" t="str">
        <f t="shared" si="254"/>
        <v/>
      </c>
      <c r="AF282" s="21" t="str">
        <f t="shared" si="255"/>
        <v/>
      </c>
      <c r="AG282" s="21">
        <f t="shared" si="256"/>
        <v>0</v>
      </c>
      <c r="AH282" s="21">
        <f>IF('Etape 1'!H278=St.Wert_Hacken,1,0)</f>
        <v>0</v>
      </c>
      <c r="AI282" s="21">
        <f t="shared" si="257"/>
        <v>0</v>
      </c>
      <c r="AJ282" s="21">
        <f t="shared" si="258"/>
        <v>1000999</v>
      </c>
      <c r="AK282" s="58">
        <f t="shared" si="259"/>
        <v>1100</v>
      </c>
      <c r="AL282" s="58">
        <f t="shared" si="260"/>
        <v>440</v>
      </c>
      <c r="AM282" s="21">
        <f t="shared" si="261"/>
        <v>0</v>
      </c>
      <c r="AN282" s="58">
        <f t="shared" si="262"/>
        <v>1</v>
      </c>
      <c r="AO282" s="58" t="str">
        <f t="shared" si="263"/>
        <v>114</v>
      </c>
      <c r="AP282" s="58" t="str">
        <f t="shared" si="264"/>
        <v>164</v>
      </c>
      <c r="AQ282" s="21" t="e">
        <f t="shared" si="265"/>
        <v>#NUM!</v>
      </c>
      <c r="AR282" s="21" t="e">
        <f t="shared" si="266"/>
        <v>#NUM!</v>
      </c>
      <c r="AS282" s="136" t="e">
        <f t="shared" si="286"/>
        <v>#NUM!</v>
      </c>
      <c r="AT282" s="59" t="e">
        <f t="shared" si="267"/>
        <v>#NUM!</v>
      </c>
      <c r="AU282" s="21" t="e">
        <f t="shared" si="268"/>
        <v>#NUM!</v>
      </c>
      <c r="AV282" s="58">
        <f t="shared" si="269"/>
        <v>1500</v>
      </c>
      <c r="AW282" s="58">
        <f t="shared" si="270"/>
        <v>600</v>
      </c>
      <c r="AX282" s="60">
        <f t="shared" si="271"/>
        <v>0.11</v>
      </c>
      <c r="AY282" s="212">
        <f t="shared" si="287"/>
        <v>0</v>
      </c>
      <c r="AZ282" s="59">
        <f t="shared" si="272"/>
        <v>0</v>
      </c>
      <c r="BA282" s="21" t="e">
        <f t="shared" si="273"/>
        <v>#DIV/0!</v>
      </c>
      <c r="BB282" s="58">
        <f t="shared" si="274"/>
        <v>2900</v>
      </c>
      <c r="BC282" s="58">
        <f t="shared" si="275"/>
        <v>1160</v>
      </c>
      <c r="BD282" s="60">
        <f t="shared" si="276"/>
        <v>0.15</v>
      </c>
      <c r="BE282" s="212" t="e">
        <f t="shared" si="288"/>
        <v>#NUM!</v>
      </c>
      <c r="BF282" s="59" t="e">
        <f t="shared" si="277"/>
        <v>#NUM!</v>
      </c>
      <c r="BG282" s="21" t="e">
        <f t="shared" si="278"/>
        <v>#NUM!</v>
      </c>
      <c r="BH282" s="55">
        <f t="shared" ca="1" si="281"/>
        <v>0</v>
      </c>
    </row>
    <row r="283" spans="1:60" x14ac:dyDescent="0.2">
      <c r="A283" s="61">
        <f ca="1">RANK(W283,W$12:W$311,0)+COUNTIF(W$12:W283,W283)-1</f>
        <v>29</v>
      </c>
      <c r="B283" s="55">
        <f>'Etape 1'!A279</f>
        <v>272</v>
      </c>
      <c r="C283" s="55">
        <f>'Etape 1'!B279</f>
        <v>0</v>
      </c>
      <c r="D283" s="55">
        <f>'Etape 1'!C279</f>
        <v>0</v>
      </c>
      <c r="E283" s="55">
        <f>'Etape 1'!D279</f>
        <v>0</v>
      </c>
      <c r="F283" s="55">
        <f>'Etape 1'!E279</f>
        <v>0</v>
      </c>
      <c r="G283" s="55">
        <f>'Etape 1'!F279</f>
        <v>0</v>
      </c>
      <c r="H283" s="55">
        <f>'Etape 1'!G279</f>
        <v>0</v>
      </c>
      <c r="I283" s="209">
        <v>1</v>
      </c>
      <c r="J283" s="58">
        <f t="shared" si="289"/>
        <v>0</v>
      </c>
      <c r="K283" s="21">
        <f t="shared" si="241"/>
        <v>0</v>
      </c>
      <c r="L283" s="21">
        <f t="shared" si="242"/>
        <v>0</v>
      </c>
      <c r="M283" s="21">
        <f t="shared" ca="1" si="243"/>
        <v>3</v>
      </c>
      <c r="N283" s="21">
        <f t="shared" ca="1" si="244"/>
        <v>3</v>
      </c>
      <c r="O283" s="21">
        <f t="shared" ca="1" si="245"/>
        <v>0</v>
      </c>
      <c r="P283" s="262" t="str">
        <f>IF('Etape 1'!J279=999,"",IF('Etape 1'!J279=9999,txt_Schritt1.Angaben.fehlen,VLOOKUP(N283,Matrix_1.2.3.Test.Punkte.ID.Beurteilung,4,1)))</f>
        <v/>
      </c>
      <c r="Q283" s="21">
        <f t="shared" ca="1" si="246"/>
        <v>0</v>
      </c>
      <c r="R283" s="136">
        <f t="shared" si="282"/>
        <v>272</v>
      </c>
      <c r="S283" s="136">
        <f t="shared" ca="1" si="279"/>
        <v>162.90365448504983</v>
      </c>
      <c r="T283" s="136">
        <f t="shared" ca="1" si="283"/>
        <v>750.90365448504986</v>
      </c>
      <c r="U283" s="136">
        <f t="shared" ca="1" si="284"/>
        <v>1224000.903654485</v>
      </c>
      <c r="V283" s="211">
        <f t="shared" ca="1" si="285"/>
        <v>235407.09569880445</v>
      </c>
      <c r="W283" s="136">
        <f t="shared" ca="1" si="280"/>
        <v>272</v>
      </c>
      <c r="X283" s="136">
        <f t="shared" ca="1" si="247"/>
        <v>162.999000999001</v>
      </c>
      <c r="Y283" s="21">
        <f t="shared" si="248"/>
        <v>1</v>
      </c>
      <c r="Z283" s="21" t="str">
        <f t="shared" si="249"/>
        <v>&lt;IE0</v>
      </c>
      <c r="AA283" s="21">
        <f t="shared" si="250"/>
        <v>1</v>
      </c>
      <c r="AB283" s="21" t="str">
        <f t="shared" si="251"/>
        <v>a - "&lt; 1990 (Eff3)"</v>
      </c>
      <c r="AC283" s="21">
        <f t="shared" si="252"/>
        <v>999999</v>
      </c>
      <c r="AD283" s="21" t="str">
        <f t="shared" si="253"/>
        <v/>
      </c>
      <c r="AE283" s="21" t="str">
        <f t="shared" si="254"/>
        <v/>
      </c>
      <c r="AF283" s="21" t="str">
        <f t="shared" si="255"/>
        <v/>
      </c>
      <c r="AG283" s="21">
        <f t="shared" si="256"/>
        <v>0</v>
      </c>
      <c r="AH283" s="21">
        <f>IF('Etape 1'!H279=St.Wert_Hacken,1,0)</f>
        <v>0</v>
      </c>
      <c r="AI283" s="21">
        <f t="shared" si="257"/>
        <v>0</v>
      </c>
      <c r="AJ283" s="21">
        <f t="shared" si="258"/>
        <v>1000999</v>
      </c>
      <c r="AK283" s="58">
        <f t="shared" si="259"/>
        <v>1100</v>
      </c>
      <c r="AL283" s="58">
        <f t="shared" si="260"/>
        <v>440</v>
      </c>
      <c r="AM283" s="21">
        <f t="shared" si="261"/>
        <v>0</v>
      </c>
      <c r="AN283" s="58">
        <f t="shared" si="262"/>
        <v>1</v>
      </c>
      <c r="AO283" s="58" t="str">
        <f t="shared" si="263"/>
        <v>114</v>
      </c>
      <c r="AP283" s="58" t="str">
        <f t="shared" si="264"/>
        <v>164</v>
      </c>
      <c r="AQ283" s="21" t="e">
        <f t="shared" si="265"/>
        <v>#NUM!</v>
      </c>
      <c r="AR283" s="21" t="e">
        <f t="shared" si="266"/>
        <v>#NUM!</v>
      </c>
      <c r="AS283" s="136" t="e">
        <f t="shared" si="286"/>
        <v>#NUM!</v>
      </c>
      <c r="AT283" s="59" t="e">
        <f t="shared" si="267"/>
        <v>#NUM!</v>
      </c>
      <c r="AU283" s="21" t="e">
        <f t="shared" si="268"/>
        <v>#NUM!</v>
      </c>
      <c r="AV283" s="58">
        <f t="shared" si="269"/>
        <v>1500</v>
      </c>
      <c r="AW283" s="58">
        <f t="shared" si="270"/>
        <v>600</v>
      </c>
      <c r="AX283" s="60">
        <f t="shared" si="271"/>
        <v>0.11</v>
      </c>
      <c r="AY283" s="212">
        <f t="shared" si="287"/>
        <v>0</v>
      </c>
      <c r="AZ283" s="59">
        <f t="shared" si="272"/>
        <v>0</v>
      </c>
      <c r="BA283" s="21" t="e">
        <f t="shared" si="273"/>
        <v>#DIV/0!</v>
      </c>
      <c r="BB283" s="58">
        <f t="shared" si="274"/>
        <v>2900</v>
      </c>
      <c r="BC283" s="58">
        <f t="shared" si="275"/>
        <v>1160</v>
      </c>
      <c r="BD283" s="60">
        <f t="shared" si="276"/>
        <v>0.15</v>
      </c>
      <c r="BE283" s="212" t="e">
        <f t="shared" si="288"/>
        <v>#NUM!</v>
      </c>
      <c r="BF283" s="59" t="e">
        <f t="shared" si="277"/>
        <v>#NUM!</v>
      </c>
      <c r="BG283" s="21" t="e">
        <f t="shared" si="278"/>
        <v>#NUM!</v>
      </c>
      <c r="BH283" s="55">
        <f t="shared" ca="1" si="281"/>
        <v>0</v>
      </c>
    </row>
    <row r="284" spans="1:60" x14ac:dyDescent="0.2">
      <c r="A284" s="61">
        <f ca="1">RANK(W284,W$12:W$311,0)+COUNTIF(W$12:W284,W284)-1</f>
        <v>28</v>
      </c>
      <c r="B284" s="55">
        <f>'Etape 1'!A280</f>
        <v>273</v>
      </c>
      <c r="C284" s="55">
        <f>'Etape 1'!B280</f>
        <v>0</v>
      </c>
      <c r="D284" s="55">
        <f>'Etape 1'!C280</f>
        <v>0</v>
      </c>
      <c r="E284" s="55">
        <f>'Etape 1'!D280</f>
        <v>0</v>
      </c>
      <c r="F284" s="55">
        <f>'Etape 1'!E280</f>
        <v>0</v>
      </c>
      <c r="G284" s="55">
        <f>'Etape 1'!F280</f>
        <v>0</v>
      </c>
      <c r="H284" s="55">
        <f>'Etape 1'!G280</f>
        <v>0</v>
      </c>
      <c r="I284" s="209">
        <v>1</v>
      </c>
      <c r="J284" s="58">
        <f t="shared" si="289"/>
        <v>0</v>
      </c>
      <c r="K284" s="21">
        <f t="shared" si="241"/>
        <v>0</v>
      </c>
      <c r="L284" s="21">
        <f t="shared" si="242"/>
        <v>0</v>
      </c>
      <c r="M284" s="21">
        <f t="shared" ca="1" si="243"/>
        <v>3</v>
      </c>
      <c r="N284" s="21">
        <f t="shared" ca="1" si="244"/>
        <v>3</v>
      </c>
      <c r="O284" s="21">
        <f t="shared" ca="1" si="245"/>
        <v>0</v>
      </c>
      <c r="P284" s="262" t="str">
        <f>IF('Etape 1'!J280=999,"",IF('Etape 1'!J280=9999,txt_Schritt1.Angaben.fehlen,VLOOKUP(N284,Matrix_1.2.3.Test.Punkte.ID.Beurteilung,4,1)))</f>
        <v/>
      </c>
      <c r="Q284" s="21">
        <f t="shared" ca="1" si="246"/>
        <v>0</v>
      </c>
      <c r="R284" s="136">
        <f t="shared" si="282"/>
        <v>273</v>
      </c>
      <c r="S284" s="136">
        <f t="shared" ca="1" si="279"/>
        <v>162.90697674418604</v>
      </c>
      <c r="T284" s="136">
        <f t="shared" ca="1" si="283"/>
        <v>750.90697674418607</v>
      </c>
      <c r="U284" s="136">
        <f t="shared" ca="1" si="284"/>
        <v>1224000.9069767443</v>
      </c>
      <c r="V284" s="211">
        <f t="shared" ca="1" si="285"/>
        <v>235407.09902106359</v>
      </c>
      <c r="W284" s="136">
        <f t="shared" ca="1" si="280"/>
        <v>273</v>
      </c>
      <c r="X284" s="136">
        <f t="shared" ca="1" si="247"/>
        <v>162.999000999001</v>
      </c>
      <c r="Y284" s="21">
        <f t="shared" si="248"/>
        <v>1</v>
      </c>
      <c r="Z284" s="21" t="str">
        <f t="shared" si="249"/>
        <v>&lt;IE0</v>
      </c>
      <c r="AA284" s="21">
        <f t="shared" si="250"/>
        <v>1</v>
      </c>
      <c r="AB284" s="21" t="str">
        <f t="shared" si="251"/>
        <v>a - "&lt; 1990 (Eff3)"</v>
      </c>
      <c r="AC284" s="21">
        <f t="shared" si="252"/>
        <v>999999</v>
      </c>
      <c r="AD284" s="21" t="str">
        <f t="shared" si="253"/>
        <v/>
      </c>
      <c r="AE284" s="21" t="str">
        <f t="shared" si="254"/>
        <v/>
      </c>
      <c r="AF284" s="21" t="str">
        <f t="shared" si="255"/>
        <v/>
      </c>
      <c r="AG284" s="21">
        <f t="shared" si="256"/>
        <v>0</v>
      </c>
      <c r="AH284" s="21">
        <f>IF('Etape 1'!H280=St.Wert_Hacken,1,0)</f>
        <v>0</v>
      </c>
      <c r="AI284" s="21">
        <f t="shared" si="257"/>
        <v>0</v>
      </c>
      <c r="AJ284" s="21">
        <f t="shared" si="258"/>
        <v>1000999</v>
      </c>
      <c r="AK284" s="58">
        <f t="shared" si="259"/>
        <v>1100</v>
      </c>
      <c r="AL284" s="58">
        <f t="shared" si="260"/>
        <v>440</v>
      </c>
      <c r="AM284" s="21">
        <f t="shared" si="261"/>
        <v>0</v>
      </c>
      <c r="AN284" s="58">
        <f t="shared" si="262"/>
        <v>1</v>
      </c>
      <c r="AO284" s="58" t="str">
        <f t="shared" si="263"/>
        <v>114</v>
      </c>
      <c r="AP284" s="58" t="str">
        <f t="shared" si="264"/>
        <v>164</v>
      </c>
      <c r="AQ284" s="21" t="e">
        <f t="shared" si="265"/>
        <v>#NUM!</v>
      </c>
      <c r="AR284" s="21" t="e">
        <f t="shared" si="266"/>
        <v>#NUM!</v>
      </c>
      <c r="AS284" s="136" t="e">
        <f t="shared" si="286"/>
        <v>#NUM!</v>
      </c>
      <c r="AT284" s="59" t="e">
        <f t="shared" si="267"/>
        <v>#NUM!</v>
      </c>
      <c r="AU284" s="21" t="e">
        <f t="shared" si="268"/>
        <v>#NUM!</v>
      </c>
      <c r="AV284" s="58">
        <f t="shared" si="269"/>
        <v>1500</v>
      </c>
      <c r="AW284" s="58">
        <f t="shared" si="270"/>
        <v>600</v>
      </c>
      <c r="AX284" s="60">
        <f t="shared" si="271"/>
        <v>0.11</v>
      </c>
      <c r="AY284" s="212">
        <f t="shared" si="287"/>
        <v>0</v>
      </c>
      <c r="AZ284" s="59">
        <f t="shared" si="272"/>
        <v>0</v>
      </c>
      <c r="BA284" s="21" t="e">
        <f t="shared" si="273"/>
        <v>#DIV/0!</v>
      </c>
      <c r="BB284" s="58">
        <f t="shared" si="274"/>
        <v>2900</v>
      </c>
      <c r="BC284" s="58">
        <f t="shared" si="275"/>
        <v>1160</v>
      </c>
      <c r="BD284" s="60">
        <f t="shared" si="276"/>
        <v>0.15</v>
      </c>
      <c r="BE284" s="212" t="e">
        <f t="shared" si="288"/>
        <v>#NUM!</v>
      </c>
      <c r="BF284" s="59" t="e">
        <f t="shared" si="277"/>
        <v>#NUM!</v>
      </c>
      <c r="BG284" s="21" t="e">
        <f t="shared" si="278"/>
        <v>#NUM!</v>
      </c>
      <c r="BH284" s="55">
        <f t="shared" ca="1" si="281"/>
        <v>0</v>
      </c>
    </row>
    <row r="285" spans="1:60" x14ac:dyDescent="0.2">
      <c r="A285" s="61">
        <f ca="1">RANK(W285,W$12:W$311,0)+COUNTIF(W$12:W285,W285)-1</f>
        <v>27</v>
      </c>
      <c r="B285" s="55">
        <f>'Etape 1'!A281</f>
        <v>274</v>
      </c>
      <c r="C285" s="55">
        <f>'Etape 1'!B281</f>
        <v>0</v>
      </c>
      <c r="D285" s="55">
        <f>'Etape 1'!C281</f>
        <v>0</v>
      </c>
      <c r="E285" s="55">
        <f>'Etape 1'!D281</f>
        <v>0</v>
      </c>
      <c r="F285" s="55">
        <f>'Etape 1'!E281</f>
        <v>0</v>
      </c>
      <c r="G285" s="55">
        <f>'Etape 1'!F281</f>
        <v>0</v>
      </c>
      <c r="H285" s="55">
        <f>'Etape 1'!G281</f>
        <v>0</v>
      </c>
      <c r="I285" s="209">
        <v>1</v>
      </c>
      <c r="J285" s="58">
        <f t="shared" si="289"/>
        <v>0</v>
      </c>
      <c r="K285" s="21">
        <f t="shared" si="241"/>
        <v>0</v>
      </c>
      <c r="L285" s="21">
        <f t="shared" si="242"/>
        <v>0</v>
      </c>
      <c r="M285" s="21">
        <f t="shared" ca="1" si="243"/>
        <v>3</v>
      </c>
      <c r="N285" s="21">
        <f t="shared" ca="1" si="244"/>
        <v>3</v>
      </c>
      <c r="O285" s="21">
        <f t="shared" ca="1" si="245"/>
        <v>0</v>
      </c>
      <c r="P285" s="262" t="str">
        <f>IF('Etape 1'!J281=999,"",IF('Etape 1'!J281=9999,txt_Schritt1.Angaben.fehlen,VLOOKUP(N285,Matrix_1.2.3.Test.Punkte.ID.Beurteilung,4,1)))</f>
        <v/>
      </c>
      <c r="Q285" s="21">
        <f t="shared" ca="1" si="246"/>
        <v>0</v>
      </c>
      <c r="R285" s="136">
        <f t="shared" si="282"/>
        <v>274</v>
      </c>
      <c r="S285" s="136">
        <f t="shared" ca="1" si="279"/>
        <v>162.91029900332225</v>
      </c>
      <c r="T285" s="136">
        <f t="shared" ca="1" si="283"/>
        <v>750.91029900332228</v>
      </c>
      <c r="U285" s="136">
        <f t="shared" ca="1" si="284"/>
        <v>1224000.9102990034</v>
      </c>
      <c r="V285" s="211">
        <f t="shared" ca="1" si="285"/>
        <v>235407.10234332274</v>
      </c>
      <c r="W285" s="136">
        <f t="shared" ca="1" si="280"/>
        <v>274</v>
      </c>
      <c r="X285" s="136">
        <f t="shared" ca="1" si="247"/>
        <v>162.999000999001</v>
      </c>
      <c r="Y285" s="21">
        <f t="shared" si="248"/>
        <v>1</v>
      </c>
      <c r="Z285" s="21" t="str">
        <f t="shared" si="249"/>
        <v>&lt;IE0</v>
      </c>
      <c r="AA285" s="21">
        <f t="shared" si="250"/>
        <v>1</v>
      </c>
      <c r="AB285" s="21" t="str">
        <f t="shared" si="251"/>
        <v>a - "&lt; 1990 (Eff3)"</v>
      </c>
      <c r="AC285" s="21">
        <f t="shared" si="252"/>
        <v>999999</v>
      </c>
      <c r="AD285" s="21" t="str">
        <f t="shared" si="253"/>
        <v/>
      </c>
      <c r="AE285" s="21" t="str">
        <f t="shared" si="254"/>
        <v/>
      </c>
      <c r="AF285" s="21" t="str">
        <f t="shared" si="255"/>
        <v/>
      </c>
      <c r="AG285" s="21">
        <f t="shared" si="256"/>
        <v>0</v>
      </c>
      <c r="AH285" s="21">
        <f>IF('Etape 1'!H281=St.Wert_Hacken,1,0)</f>
        <v>0</v>
      </c>
      <c r="AI285" s="21">
        <f t="shared" si="257"/>
        <v>0</v>
      </c>
      <c r="AJ285" s="21">
        <f t="shared" si="258"/>
        <v>1000999</v>
      </c>
      <c r="AK285" s="58">
        <f t="shared" si="259"/>
        <v>1100</v>
      </c>
      <c r="AL285" s="58">
        <f t="shared" si="260"/>
        <v>440</v>
      </c>
      <c r="AM285" s="21">
        <f t="shared" si="261"/>
        <v>0</v>
      </c>
      <c r="AN285" s="58">
        <f t="shared" si="262"/>
        <v>1</v>
      </c>
      <c r="AO285" s="58" t="str">
        <f t="shared" si="263"/>
        <v>114</v>
      </c>
      <c r="AP285" s="58" t="str">
        <f t="shared" si="264"/>
        <v>164</v>
      </c>
      <c r="AQ285" s="21" t="e">
        <f t="shared" si="265"/>
        <v>#NUM!</v>
      </c>
      <c r="AR285" s="21" t="e">
        <f t="shared" si="266"/>
        <v>#NUM!</v>
      </c>
      <c r="AS285" s="136" t="e">
        <f t="shared" si="286"/>
        <v>#NUM!</v>
      </c>
      <c r="AT285" s="59" t="e">
        <f t="shared" si="267"/>
        <v>#NUM!</v>
      </c>
      <c r="AU285" s="21" t="e">
        <f t="shared" si="268"/>
        <v>#NUM!</v>
      </c>
      <c r="AV285" s="58">
        <f t="shared" si="269"/>
        <v>1500</v>
      </c>
      <c r="AW285" s="58">
        <f t="shared" si="270"/>
        <v>600</v>
      </c>
      <c r="AX285" s="60">
        <f t="shared" si="271"/>
        <v>0.11</v>
      </c>
      <c r="AY285" s="212">
        <f t="shared" si="287"/>
        <v>0</v>
      </c>
      <c r="AZ285" s="59">
        <f t="shared" si="272"/>
        <v>0</v>
      </c>
      <c r="BA285" s="21" t="e">
        <f t="shared" si="273"/>
        <v>#DIV/0!</v>
      </c>
      <c r="BB285" s="58">
        <f t="shared" si="274"/>
        <v>2900</v>
      </c>
      <c r="BC285" s="58">
        <f t="shared" si="275"/>
        <v>1160</v>
      </c>
      <c r="BD285" s="60">
        <f t="shared" si="276"/>
        <v>0.15</v>
      </c>
      <c r="BE285" s="212" t="e">
        <f t="shared" si="288"/>
        <v>#NUM!</v>
      </c>
      <c r="BF285" s="59" t="e">
        <f t="shared" si="277"/>
        <v>#NUM!</v>
      </c>
      <c r="BG285" s="21" t="e">
        <f t="shared" si="278"/>
        <v>#NUM!</v>
      </c>
      <c r="BH285" s="55">
        <f t="shared" ca="1" si="281"/>
        <v>0</v>
      </c>
    </row>
    <row r="286" spans="1:60" x14ac:dyDescent="0.2">
      <c r="A286" s="61">
        <f ca="1">RANK(W286,W$12:W$311,0)+COUNTIF(W$12:W286,W286)-1</f>
        <v>26</v>
      </c>
      <c r="B286" s="55">
        <f>'Etape 1'!A282</f>
        <v>275</v>
      </c>
      <c r="C286" s="55">
        <f>'Etape 1'!B282</f>
        <v>0</v>
      </c>
      <c r="D286" s="55">
        <f>'Etape 1'!C282</f>
        <v>0</v>
      </c>
      <c r="E286" s="55">
        <f>'Etape 1'!D282</f>
        <v>0</v>
      </c>
      <c r="F286" s="55">
        <f>'Etape 1'!E282</f>
        <v>0</v>
      </c>
      <c r="G286" s="55">
        <f>'Etape 1'!F282</f>
        <v>0</v>
      </c>
      <c r="H286" s="55">
        <f>'Etape 1'!G282</f>
        <v>0</v>
      </c>
      <c r="I286" s="209">
        <v>1</v>
      </c>
      <c r="J286" s="58">
        <f t="shared" si="289"/>
        <v>0</v>
      </c>
      <c r="K286" s="21">
        <f t="shared" si="241"/>
        <v>0</v>
      </c>
      <c r="L286" s="21">
        <f t="shared" si="242"/>
        <v>0</v>
      </c>
      <c r="M286" s="21">
        <f t="shared" ca="1" si="243"/>
        <v>3</v>
      </c>
      <c r="N286" s="21">
        <f t="shared" ca="1" si="244"/>
        <v>3</v>
      </c>
      <c r="O286" s="21">
        <f t="shared" ca="1" si="245"/>
        <v>0</v>
      </c>
      <c r="P286" s="262" t="str">
        <f>IF('Etape 1'!J282=999,"",IF('Etape 1'!J282=9999,txt_Schritt1.Angaben.fehlen,VLOOKUP(N286,Matrix_1.2.3.Test.Punkte.ID.Beurteilung,4,1)))</f>
        <v/>
      </c>
      <c r="Q286" s="21">
        <f t="shared" ca="1" si="246"/>
        <v>0</v>
      </c>
      <c r="R286" s="136">
        <f t="shared" si="282"/>
        <v>275</v>
      </c>
      <c r="S286" s="136">
        <f t="shared" ca="1" si="279"/>
        <v>162.91362126245846</v>
      </c>
      <c r="T286" s="136">
        <f t="shared" ca="1" si="283"/>
        <v>750.91362126245849</v>
      </c>
      <c r="U286" s="136">
        <f t="shared" ca="1" si="284"/>
        <v>1224000.9136212624</v>
      </c>
      <c r="V286" s="211">
        <f t="shared" ca="1" si="285"/>
        <v>235407.10566558188</v>
      </c>
      <c r="W286" s="136">
        <f t="shared" ca="1" si="280"/>
        <v>275</v>
      </c>
      <c r="X286" s="136">
        <f t="shared" ca="1" si="247"/>
        <v>162.999000999001</v>
      </c>
      <c r="Y286" s="21">
        <f t="shared" si="248"/>
        <v>1</v>
      </c>
      <c r="Z286" s="21" t="str">
        <f t="shared" si="249"/>
        <v>&lt;IE0</v>
      </c>
      <c r="AA286" s="21">
        <f t="shared" si="250"/>
        <v>1</v>
      </c>
      <c r="AB286" s="21" t="str">
        <f t="shared" si="251"/>
        <v>a - "&lt; 1990 (Eff3)"</v>
      </c>
      <c r="AC286" s="21">
        <f t="shared" si="252"/>
        <v>999999</v>
      </c>
      <c r="AD286" s="21" t="str">
        <f t="shared" si="253"/>
        <v/>
      </c>
      <c r="AE286" s="21" t="str">
        <f t="shared" si="254"/>
        <v/>
      </c>
      <c r="AF286" s="21" t="str">
        <f t="shared" si="255"/>
        <v/>
      </c>
      <c r="AG286" s="21">
        <f t="shared" si="256"/>
        <v>0</v>
      </c>
      <c r="AH286" s="21">
        <f>IF('Etape 1'!H282=St.Wert_Hacken,1,0)</f>
        <v>0</v>
      </c>
      <c r="AI286" s="21">
        <f t="shared" si="257"/>
        <v>0</v>
      </c>
      <c r="AJ286" s="21">
        <f t="shared" si="258"/>
        <v>1000999</v>
      </c>
      <c r="AK286" s="58">
        <f t="shared" si="259"/>
        <v>1100</v>
      </c>
      <c r="AL286" s="58">
        <f t="shared" si="260"/>
        <v>440</v>
      </c>
      <c r="AM286" s="21">
        <f t="shared" si="261"/>
        <v>0</v>
      </c>
      <c r="AN286" s="58">
        <f t="shared" si="262"/>
        <v>1</v>
      </c>
      <c r="AO286" s="58" t="str">
        <f t="shared" si="263"/>
        <v>114</v>
      </c>
      <c r="AP286" s="58" t="str">
        <f t="shared" si="264"/>
        <v>164</v>
      </c>
      <c r="AQ286" s="21" t="e">
        <f t="shared" si="265"/>
        <v>#NUM!</v>
      </c>
      <c r="AR286" s="21" t="e">
        <f t="shared" si="266"/>
        <v>#NUM!</v>
      </c>
      <c r="AS286" s="136" t="e">
        <f t="shared" si="286"/>
        <v>#NUM!</v>
      </c>
      <c r="AT286" s="59" t="e">
        <f t="shared" si="267"/>
        <v>#NUM!</v>
      </c>
      <c r="AU286" s="21" t="e">
        <f t="shared" si="268"/>
        <v>#NUM!</v>
      </c>
      <c r="AV286" s="58">
        <f t="shared" si="269"/>
        <v>1500</v>
      </c>
      <c r="AW286" s="58">
        <f t="shared" si="270"/>
        <v>600</v>
      </c>
      <c r="AX286" s="60">
        <f t="shared" si="271"/>
        <v>0.11</v>
      </c>
      <c r="AY286" s="212">
        <f t="shared" si="287"/>
        <v>0</v>
      </c>
      <c r="AZ286" s="59">
        <f t="shared" si="272"/>
        <v>0</v>
      </c>
      <c r="BA286" s="21" t="e">
        <f t="shared" si="273"/>
        <v>#DIV/0!</v>
      </c>
      <c r="BB286" s="58">
        <f t="shared" si="274"/>
        <v>2900</v>
      </c>
      <c r="BC286" s="58">
        <f t="shared" si="275"/>
        <v>1160</v>
      </c>
      <c r="BD286" s="60">
        <f t="shared" si="276"/>
        <v>0.15</v>
      </c>
      <c r="BE286" s="212" t="e">
        <f t="shared" si="288"/>
        <v>#NUM!</v>
      </c>
      <c r="BF286" s="59" t="e">
        <f t="shared" si="277"/>
        <v>#NUM!</v>
      </c>
      <c r="BG286" s="21" t="e">
        <f t="shared" si="278"/>
        <v>#NUM!</v>
      </c>
      <c r="BH286" s="55">
        <f t="shared" ca="1" si="281"/>
        <v>0</v>
      </c>
    </row>
    <row r="287" spans="1:60" x14ac:dyDescent="0.2">
      <c r="A287" s="61">
        <f ca="1">RANK(W287,W$12:W$311,0)+COUNTIF(W$12:W287,W287)-1</f>
        <v>25</v>
      </c>
      <c r="B287" s="55">
        <f>'Etape 1'!A283</f>
        <v>276</v>
      </c>
      <c r="C287" s="55">
        <f>'Etape 1'!B283</f>
        <v>0</v>
      </c>
      <c r="D287" s="55">
        <f>'Etape 1'!C283</f>
        <v>0</v>
      </c>
      <c r="E287" s="55">
        <f>'Etape 1'!D283</f>
        <v>0</v>
      </c>
      <c r="F287" s="55">
        <f>'Etape 1'!E283</f>
        <v>0</v>
      </c>
      <c r="G287" s="55">
        <f>'Etape 1'!F283</f>
        <v>0</v>
      </c>
      <c r="H287" s="55">
        <f>'Etape 1'!G283</f>
        <v>0</v>
      </c>
      <c r="I287" s="209">
        <v>1</v>
      </c>
      <c r="J287" s="58">
        <f t="shared" si="289"/>
        <v>0</v>
      </c>
      <c r="K287" s="21">
        <f t="shared" si="241"/>
        <v>0</v>
      </c>
      <c r="L287" s="21">
        <f t="shared" si="242"/>
        <v>0</v>
      </c>
      <c r="M287" s="21">
        <f t="shared" ca="1" si="243"/>
        <v>3</v>
      </c>
      <c r="N287" s="21">
        <f t="shared" ca="1" si="244"/>
        <v>3</v>
      </c>
      <c r="O287" s="21">
        <f t="shared" ca="1" si="245"/>
        <v>0</v>
      </c>
      <c r="P287" s="262" t="str">
        <f>IF('Etape 1'!J283=999,"",IF('Etape 1'!J283=9999,txt_Schritt1.Angaben.fehlen,VLOOKUP(N287,Matrix_1.2.3.Test.Punkte.ID.Beurteilung,4,1)))</f>
        <v/>
      </c>
      <c r="Q287" s="21">
        <f t="shared" ca="1" si="246"/>
        <v>0</v>
      </c>
      <c r="R287" s="136">
        <f t="shared" si="282"/>
        <v>276</v>
      </c>
      <c r="S287" s="136">
        <f t="shared" ca="1" si="279"/>
        <v>162.91694352159467</v>
      </c>
      <c r="T287" s="136">
        <f t="shared" ca="1" si="283"/>
        <v>750.9169435215947</v>
      </c>
      <c r="U287" s="136">
        <f t="shared" ca="1" si="284"/>
        <v>1224000.9169435217</v>
      </c>
      <c r="V287" s="211">
        <f t="shared" ca="1" si="285"/>
        <v>235407.108987841</v>
      </c>
      <c r="W287" s="136">
        <f t="shared" ca="1" si="280"/>
        <v>276</v>
      </c>
      <c r="X287" s="136">
        <f t="shared" ca="1" si="247"/>
        <v>162.999000999001</v>
      </c>
      <c r="Y287" s="21">
        <f t="shared" si="248"/>
        <v>1</v>
      </c>
      <c r="Z287" s="21" t="str">
        <f t="shared" si="249"/>
        <v>&lt;IE0</v>
      </c>
      <c r="AA287" s="21">
        <f t="shared" si="250"/>
        <v>1</v>
      </c>
      <c r="AB287" s="21" t="str">
        <f t="shared" si="251"/>
        <v>a - "&lt; 1990 (Eff3)"</v>
      </c>
      <c r="AC287" s="21">
        <f t="shared" si="252"/>
        <v>999999</v>
      </c>
      <c r="AD287" s="21" t="str">
        <f t="shared" si="253"/>
        <v/>
      </c>
      <c r="AE287" s="21" t="str">
        <f t="shared" si="254"/>
        <v/>
      </c>
      <c r="AF287" s="21" t="str">
        <f t="shared" si="255"/>
        <v/>
      </c>
      <c r="AG287" s="21">
        <f t="shared" si="256"/>
        <v>0</v>
      </c>
      <c r="AH287" s="21">
        <f>IF('Etape 1'!H283=St.Wert_Hacken,1,0)</f>
        <v>0</v>
      </c>
      <c r="AI287" s="21">
        <f t="shared" si="257"/>
        <v>0</v>
      </c>
      <c r="AJ287" s="21">
        <f t="shared" si="258"/>
        <v>1000999</v>
      </c>
      <c r="AK287" s="58">
        <f t="shared" si="259"/>
        <v>1100</v>
      </c>
      <c r="AL287" s="58">
        <f t="shared" si="260"/>
        <v>440</v>
      </c>
      <c r="AM287" s="21">
        <f t="shared" si="261"/>
        <v>0</v>
      </c>
      <c r="AN287" s="58">
        <f t="shared" si="262"/>
        <v>1</v>
      </c>
      <c r="AO287" s="58" t="str">
        <f t="shared" si="263"/>
        <v>114</v>
      </c>
      <c r="AP287" s="58" t="str">
        <f t="shared" si="264"/>
        <v>164</v>
      </c>
      <c r="AQ287" s="21" t="e">
        <f t="shared" si="265"/>
        <v>#NUM!</v>
      </c>
      <c r="AR287" s="21" t="e">
        <f t="shared" si="266"/>
        <v>#NUM!</v>
      </c>
      <c r="AS287" s="136" t="e">
        <f t="shared" si="286"/>
        <v>#NUM!</v>
      </c>
      <c r="AT287" s="59" t="e">
        <f t="shared" si="267"/>
        <v>#NUM!</v>
      </c>
      <c r="AU287" s="21" t="e">
        <f t="shared" si="268"/>
        <v>#NUM!</v>
      </c>
      <c r="AV287" s="58">
        <f t="shared" si="269"/>
        <v>1500</v>
      </c>
      <c r="AW287" s="58">
        <f t="shared" si="270"/>
        <v>600</v>
      </c>
      <c r="AX287" s="60">
        <f t="shared" si="271"/>
        <v>0.11</v>
      </c>
      <c r="AY287" s="212">
        <f t="shared" si="287"/>
        <v>0</v>
      </c>
      <c r="AZ287" s="59">
        <f t="shared" si="272"/>
        <v>0</v>
      </c>
      <c r="BA287" s="21" t="e">
        <f t="shared" si="273"/>
        <v>#DIV/0!</v>
      </c>
      <c r="BB287" s="58">
        <f t="shared" si="274"/>
        <v>2900</v>
      </c>
      <c r="BC287" s="58">
        <f t="shared" si="275"/>
        <v>1160</v>
      </c>
      <c r="BD287" s="60">
        <f t="shared" si="276"/>
        <v>0.15</v>
      </c>
      <c r="BE287" s="212" t="e">
        <f t="shared" si="288"/>
        <v>#NUM!</v>
      </c>
      <c r="BF287" s="59" t="e">
        <f t="shared" si="277"/>
        <v>#NUM!</v>
      </c>
      <c r="BG287" s="21" t="e">
        <f t="shared" si="278"/>
        <v>#NUM!</v>
      </c>
      <c r="BH287" s="55">
        <f t="shared" ca="1" si="281"/>
        <v>0</v>
      </c>
    </row>
    <row r="288" spans="1:60" x14ac:dyDescent="0.2">
      <c r="A288" s="61">
        <f ca="1">RANK(W288,W$12:W$311,0)+COUNTIF(W$12:W288,W288)-1</f>
        <v>24</v>
      </c>
      <c r="B288" s="55">
        <f>'Etape 1'!A284</f>
        <v>277</v>
      </c>
      <c r="C288" s="55">
        <f>'Etape 1'!B284</f>
        <v>0</v>
      </c>
      <c r="D288" s="55">
        <f>'Etape 1'!C284</f>
        <v>0</v>
      </c>
      <c r="E288" s="55">
        <f>'Etape 1'!D284</f>
        <v>0</v>
      </c>
      <c r="F288" s="55">
        <f>'Etape 1'!E284</f>
        <v>0</v>
      </c>
      <c r="G288" s="55">
        <f>'Etape 1'!F284</f>
        <v>0</v>
      </c>
      <c r="H288" s="55">
        <f>'Etape 1'!G284</f>
        <v>0</v>
      </c>
      <c r="I288" s="209">
        <v>1</v>
      </c>
      <c r="J288" s="58">
        <f t="shared" si="289"/>
        <v>0</v>
      </c>
      <c r="K288" s="21">
        <f t="shared" si="241"/>
        <v>0</v>
      </c>
      <c r="L288" s="21">
        <f t="shared" si="242"/>
        <v>0</v>
      </c>
      <c r="M288" s="21">
        <f t="shared" ca="1" si="243"/>
        <v>3</v>
      </c>
      <c r="N288" s="21">
        <f t="shared" ca="1" si="244"/>
        <v>3</v>
      </c>
      <c r="O288" s="21">
        <f t="shared" ca="1" si="245"/>
        <v>0</v>
      </c>
      <c r="P288" s="262" t="str">
        <f>IF('Etape 1'!J284=999,"",IF('Etape 1'!J284=9999,txt_Schritt1.Angaben.fehlen,VLOOKUP(N288,Matrix_1.2.3.Test.Punkte.ID.Beurteilung,4,1)))</f>
        <v/>
      </c>
      <c r="Q288" s="21">
        <f t="shared" ca="1" si="246"/>
        <v>0</v>
      </c>
      <c r="R288" s="136">
        <f t="shared" si="282"/>
        <v>277</v>
      </c>
      <c r="S288" s="136">
        <f t="shared" ca="1" si="279"/>
        <v>162.92026578073089</v>
      </c>
      <c r="T288" s="136">
        <f t="shared" ca="1" si="283"/>
        <v>750.92026578073092</v>
      </c>
      <c r="U288" s="136">
        <f t="shared" ca="1" si="284"/>
        <v>1224000.9202657808</v>
      </c>
      <c r="V288" s="211">
        <f t="shared" ca="1" si="285"/>
        <v>235407.11231010014</v>
      </c>
      <c r="W288" s="136">
        <f t="shared" ca="1" si="280"/>
        <v>277</v>
      </c>
      <c r="X288" s="136">
        <f t="shared" ca="1" si="247"/>
        <v>162.999000999001</v>
      </c>
      <c r="Y288" s="21">
        <f t="shared" si="248"/>
        <v>1</v>
      </c>
      <c r="Z288" s="21" t="str">
        <f t="shared" si="249"/>
        <v>&lt;IE0</v>
      </c>
      <c r="AA288" s="21">
        <f t="shared" si="250"/>
        <v>1</v>
      </c>
      <c r="AB288" s="21" t="str">
        <f t="shared" si="251"/>
        <v>a - "&lt; 1990 (Eff3)"</v>
      </c>
      <c r="AC288" s="21">
        <f t="shared" si="252"/>
        <v>999999</v>
      </c>
      <c r="AD288" s="21" t="str">
        <f t="shared" si="253"/>
        <v/>
      </c>
      <c r="AE288" s="21" t="str">
        <f t="shared" si="254"/>
        <v/>
      </c>
      <c r="AF288" s="21" t="str">
        <f t="shared" si="255"/>
        <v/>
      </c>
      <c r="AG288" s="21">
        <f t="shared" si="256"/>
        <v>0</v>
      </c>
      <c r="AH288" s="21">
        <f>IF('Etape 1'!H284=St.Wert_Hacken,1,0)</f>
        <v>0</v>
      </c>
      <c r="AI288" s="21">
        <f t="shared" si="257"/>
        <v>0</v>
      </c>
      <c r="AJ288" s="21">
        <f t="shared" si="258"/>
        <v>1000999</v>
      </c>
      <c r="AK288" s="58">
        <f t="shared" si="259"/>
        <v>1100</v>
      </c>
      <c r="AL288" s="58">
        <f t="shared" si="260"/>
        <v>440</v>
      </c>
      <c r="AM288" s="21">
        <f t="shared" si="261"/>
        <v>0</v>
      </c>
      <c r="AN288" s="58">
        <f t="shared" si="262"/>
        <v>1</v>
      </c>
      <c r="AO288" s="58" t="str">
        <f t="shared" si="263"/>
        <v>114</v>
      </c>
      <c r="AP288" s="58" t="str">
        <f t="shared" si="264"/>
        <v>164</v>
      </c>
      <c r="AQ288" s="21" t="e">
        <f t="shared" si="265"/>
        <v>#NUM!</v>
      </c>
      <c r="AR288" s="21" t="e">
        <f t="shared" si="266"/>
        <v>#NUM!</v>
      </c>
      <c r="AS288" s="136" t="e">
        <f t="shared" si="286"/>
        <v>#NUM!</v>
      </c>
      <c r="AT288" s="59" t="e">
        <f t="shared" si="267"/>
        <v>#NUM!</v>
      </c>
      <c r="AU288" s="21" t="e">
        <f t="shared" si="268"/>
        <v>#NUM!</v>
      </c>
      <c r="AV288" s="58">
        <f t="shared" si="269"/>
        <v>1500</v>
      </c>
      <c r="AW288" s="58">
        <f t="shared" si="270"/>
        <v>600</v>
      </c>
      <c r="AX288" s="60">
        <f t="shared" si="271"/>
        <v>0.11</v>
      </c>
      <c r="AY288" s="212">
        <f t="shared" si="287"/>
        <v>0</v>
      </c>
      <c r="AZ288" s="59">
        <f t="shared" si="272"/>
        <v>0</v>
      </c>
      <c r="BA288" s="21" t="e">
        <f t="shared" si="273"/>
        <v>#DIV/0!</v>
      </c>
      <c r="BB288" s="58">
        <f t="shared" si="274"/>
        <v>2900</v>
      </c>
      <c r="BC288" s="58">
        <f t="shared" si="275"/>
        <v>1160</v>
      </c>
      <c r="BD288" s="60">
        <f t="shared" si="276"/>
        <v>0.15</v>
      </c>
      <c r="BE288" s="212" t="e">
        <f t="shared" si="288"/>
        <v>#NUM!</v>
      </c>
      <c r="BF288" s="59" t="e">
        <f t="shared" si="277"/>
        <v>#NUM!</v>
      </c>
      <c r="BG288" s="21" t="e">
        <f t="shared" si="278"/>
        <v>#NUM!</v>
      </c>
      <c r="BH288" s="55">
        <f t="shared" ca="1" si="281"/>
        <v>0</v>
      </c>
    </row>
    <row r="289" spans="1:60" x14ac:dyDescent="0.2">
      <c r="A289" s="61">
        <f ca="1">RANK(W289,W$12:W$311,0)+COUNTIF(W$12:W289,W289)-1</f>
        <v>23</v>
      </c>
      <c r="B289" s="55">
        <f>'Etape 1'!A285</f>
        <v>278</v>
      </c>
      <c r="C289" s="55">
        <f>'Etape 1'!B285</f>
        <v>0</v>
      </c>
      <c r="D289" s="55">
        <f>'Etape 1'!C285</f>
        <v>0</v>
      </c>
      <c r="E289" s="55">
        <f>'Etape 1'!D285</f>
        <v>0</v>
      </c>
      <c r="F289" s="55">
        <f>'Etape 1'!E285</f>
        <v>0</v>
      </c>
      <c r="G289" s="55">
        <f>'Etape 1'!F285</f>
        <v>0</v>
      </c>
      <c r="H289" s="55">
        <f>'Etape 1'!G285</f>
        <v>0</v>
      </c>
      <c r="I289" s="209">
        <v>1</v>
      </c>
      <c r="J289" s="58">
        <f t="shared" si="289"/>
        <v>0</v>
      </c>
      <c r="K289" s="21">
        <f t="shared" si="241"/>
        <v>0</v>
      </c>
      <c r="L289" s="21">
        <f t="shared" si="242"/>
        <v>0</v>
      </c>
      <c r="M289" s="21">
        <f t="shared" ca="1" si="243"/>
        <v>3</v>
      </c>
      <c r="N289" s="21">
        <f t="shared" ca="1" si="244"/>
        <v>3</v>
      </c>
      <c r="O289" s="21">
        <f t="shared" ca="1" si="245"/>
        <v>0</v>
      </c>
      <c r="P289" s="262" t="str">
        <f>IF('Etape 1'!J285=999,"",IF('Etape 1'!J285=9999,txt_Schritt1.Angaben.fehlen,VLOOKUP(N289,Matrix_1.2.3.Test.Punkte.ID.Beurteilung,4,1)))</f>
        <v/>
      </c>
      <c r="Q289" s="21">
        <f t="shared" ca="1" si="246"/>
        <v>0</v>
      </c>
      <c r="R289" s="136">
        <f t="shared" si="282"/>
        <v>278</v>
      </c>
      <c r="S289" s="136">
        <f t="shared" ca="1" si="279"/>
        <v>162.9235880398671</v>
      </c>
      <c r="T289" s="136">
        <f t="shared" ca="1" si="283"/>
        <v>750.92358803986713</v>
      </c>
      <c r="U289" s="136">
        <f t="shared" ca="1" si="284"/>
        <v>1224000.9235880398</v>
      </c>
      <c r="V289" s="211">
        <f t="shared" ca="1" si="285"/>
        <v>235407.11563235929</v>
      </c>
      <c r="W289" s="136">
        <f t="shared" ca="1" si="280"/>
        <v>278</v>
      </c>
      <c r="X289" s="136">
        <f t="shared" ca="1" si="247"/>
        <v>162.999000999001</v>
      </c>
      <c r="Y289" s="21">
        <f t="shared" si="248"/>
        <v>1</v>
      </c>
      <c r="Z289" s="21" t="str">
        <f t="shared" si="249"/>
        <v>&lt;IE0</v>
      </c>
      <c r="AA289" s="21">
        <f t="shared" si="250"/>
        <v>1</v>
      </c>
      <c r="AB289" s="21" t="str">
        <f t="shared" si="251"/>
        <v>a - "&lt; 1990 (Eff3)"</v>
      </c>
      <c r="AC289" s="21">
        <f t="shared" si="252"/>
        <v>999999</v>
      </c>
      <c r="AD289" s="21" t="str">
        <f t="shared" si="253"/>
        <v/>
      </c>
      <c r="AE289" s="21" t="str">
        <f t="shared" si="254"/>
        <v/>
      </c>
      <c r="AF289" s="21" t="str">
        <f t="shared" si="255"/>
        <v/>
      </c>
      <c r="AG289" s="21">
        <f t="shared" si="256"/>
        <v>0</v>
      </c>
      <c r="AH289" s="21">
        <f>IF('Etape 1'!H285=St.Wert_Hacken,1,0)</f>
        <v>0</v>
      </c>
      <c r="AI289" s="21">
        <f t="shared" si="257"/>
        <v>0</v>
      </c>
      <c r="AJ289" s="21">
        <f t="shared" si="258"/>
        <v>1000999</v>
      </c>
      <c r="AK289" s="58">
        <f t="shared" si="259"/>
        <v>1100</v>
      </c>
      <c r="AL289" s="58">
        <f t="shared" si="260"/>
        <v>440</v>
      </c>
      <c r="AM289" s="21">
        <f t="shared" si="261"/>
        <v>0</v>
      </c>
      <c r="AN289" s="58">
        <f t="shared" si="262"/>
        <v>1</v>
      </c>
      <c r="AO289" s="58" t="str">
        <f t="shared" si="263"/>
        <v>114</v>
      </c>
      <c r="AP289" s="58" t="str">
        <f t="shared" si="264"/>
        <v>164</v>
      </c>
      <c r="AQ289" s="21" t="e">
        <f t="shared" si="265"/>
        <v>#NUM!</v>
      </c>
      <c r="AR289" s="21" t="e">
        <f t="shared" si="266"/>
        <v>#NUM!</v>
      </c>
      <c r="AS289" s="136" t="e">
        <f t="shared" si="286"/>
        <v>#NUM!</v>
      </c>
      <c r="AT289" s="59" t="e">
        <f t="shared" si="267"/>
        <v>#NUM!</v>
      </c>
      <c r="AU289" s="21" t="e">
        <f t="shared" si="268"/>
        <v>#NUM!</v>
      </c>
      <c r="AV289" s="58">
        <f t="shared" si="269"/>
        <v>1500</v>
      </c>
      <c r="AW289" s="58">
        <f t="shared" si="270"/>
        <v>600</v>
      </c>
      <c r="AX289" s="60">
        <f t="shared" si="271"/>
        <v>0.11</v>
      </c>
      <c r="AY289" s="212">
        <f t="shared" si="287"/>
        <v>0</v>
      </c>
      <c r="AZ289" s="59">
        <f t="shared" si="272"/>
        <v>0</v>
      </c>
      <c r="BA289" s="21" t="e">
        <f t="shared" si="273"/>
        <v>#DIV/0!</v>
      </c>
      <c r="BB289" s="58">
        <f t="shared" si="274"/>
        <v>2900</v>
      </c>
      <c r="BC289" s="58">
        <f t="shared" si="275"/>
        <v>1160</v>
      </c>
      <c r="BD289" s="60">
        <f t="shared" si="276"/>
        <v>0.15</v>
      </c>
      <c r="BE289" s="212" t="e">
        <f t="shared" si="288"/>
        <v>#NUM!</v>
      </c>
      <c r="BF289" s="59" t="e">
        <f t="shared" si="277"/>
        <v>#NUM!</v>
      </c>
      <c r="BG289" s="21" t="e">
        <f t="shared" si="278"/>
        <v>#NUM!</v>
      </c>
      <c r="BH289" s="55">
        <f t="shared" ca="1" si="281"/>
        <v>0</v>
      </c>
    </row>
    <row r="290" spans="1:60" x14ac:dyDescent="0.2">
      <c r="A290" s="61">
        <f ca="1">RANK(W290,W$12:W$311,0)+COUNTIF(W$12:W290,W290)-1</f>
        <v>22</v>
      </c>
      <c r="B290" s="55">
        <f>'Etape 1'!A286</f>
        <v>279</v>
      </c>
      <c r="C290" s="55">
        <f>'Etape 1'!B286</f>
        <v>0</v>
      </c>
      <c r="D290" s="55">
        <f>'Etape 1'!C286</f>
        <v>0</v>
      </c>
      <c r="E290" s="55">
        <f>'Etape 1'!D286</f>
        <v>0</v>
      </c>
      <c r="F290" s="55">
        <f>'Etape 1'!E286</f>
        <v>0</v>
      </c>
      <c r="G290" s="55">
        <f>'Etape 1'!F286</f>
        <v>0</v>
      </c>
      <c r="H290" s="55">
        <f>'Etape 1'!G286</f>
        <v>0</v>
      </c>
      <c r="I290" s="209">
        <v>1</v>
      </c>
      <c r="J290" s="58">
        <f t="shared" si="289"/>
        <v>0</v>
      </c>
      <c r="K290" s="21">
        <f t="shared" si="241"/>
        <v>0</v>
      </c>
      <c r="L290" s="21">
        <f t="shared" si="242"/>
        <v>0</v>
      </c>
      <c r="M290" s="21">
        <f t="shared" ca="1" si="243"/>
        <v>3</v>
      </c>
      <c r="N290" s="21">
        <f t="shared" ca="1" si="244"/>
        <v>3</v>
      </c>
      <c r="O290" s="21">
        <f t="shared" ca="1" si="245"/>
        <v>0</v>
      </c>
      <c r="P290" s="262" t="str">
        <f>IF('Etape 1'!J286=999,"",IF('Etape 1'!J286=9999,txt_Schritt1.Angaben.fehlen,VLOOKUP(N290,Matrix_1.2.3.Test.Punkte.ID.Beurteilung,4,1)))</f>
        <v/>
      </c>
      <c r="Q290" s="21">
        <f t="shared" ca="1" si="246"/>
        <v>0</v>
      </c>
      <c r="R290" s="136">
        <f t="shared" si="282"/>
        <v>279</v>
      </c>
      <c r="S290" s="136">
        <f t="shared" ca="1" si="279"/>
        <v>162.92691029900331</v>
      </c>
      <c r="T290" s="136">
        <f t="shared" ca="1" si="283"/>
        <v>750.92691029900334</v>
      </c>
      <c r="U290" s="136">
        <f t="shared" ca="1" si="284"/>
        <v>1224000.9269102991</v>
      </c>
      <c r="V290" s="211">
        <f t="shared" ca="1" si="285"/>
        <v>235407.1189546184</v>
      </c>
      <c r="W290" s="136">
        <f t="shared" ca="1" si="280"/>
        <v>279</v>
      </c>
      <c r="X290" s="136">
        <f t="shared" ca="1" si="247"/>
        <v>162.999000999001</v>
      </c>
      <c r="Y290" s="21">
        <f t="shared" si="248"/>
        <v>1</v>
      </c>
      <c r="Z290" s="21" t="str">
        <f t="shared" si="249"/>
        <v>&lt;IE0</v>
      </c>
      <c r="AA290" s="21">
        <f t="shared" si="250"/>
        <v>1</v>
      </c>
      <c r="AB290" s="21" t="str">
        <f t="shared" si="251"/>
        <v>a - "&lt; 1990 (Eff3)"</v>
      </c>
      <c r="AC290" s="21">
        <f t="shared" si="252"/>
        <v>999999</v>
      </c>
      <c r="AD290" s="21" t="str">
        <f t="shared" si="253"/>
        <v/>
      </c>
      <c r="AE290" s="21" t="str">
        <f t="shared" si="254"/>
        <v/>
      </c>
      <c r="AF290" s="21" t="str">
        <f t="shared" si="255"/>
        <v/>
      </c>
      <c r="AG290" s="21">
        <f t="shared" si="256"/>
        <v>0</v>
      </c>
      <c r="AH290" s="21">
        <f>IF('Etape 1'!H286=St.Wert_Hacken,1,0)</f>
        <v>0</v>
      </c>
      <c r="AI290" s="21">
        <f t="shared" si="257"/>
        <v>0</v>
      </c>
      <c r="AJ290" s="21">
        <f t="shared" si="258"/>
        <v>1000999</v>
      </c>
      <c r="AK290" s="58">
        <f t="shared" si="259"/>
        <v>1100</v>
      </c>
      <c r="AL290" s="58">
        <f t="shared" si="260"/>
        <v>440</v>
      </c>
      <c r="AM290" s="21">
        <f t="shared" si="261"/>
        <v>0</v>
      </c>
      <c r="AN290" s="58">
        <f t="shared" si="262"/>
        <v>1</v>
      </c>
      <c r="AO290" s="58" t="str">
        <f t="shared" si="263"/>
        <v>114</v>
      </c>
      <c r="AP290" s="58" t="str">
        <f t="shared" si="264"/>
        <v>164</v>
      </c>
      <c r="AQ290" s="21" t="e">
        <f t="shared" si="265"/>
        <v>#NUM!</v>
      </c>
      <c r="AR290" s="21" t="e">
        <f t="shared" si="266"/>
        <v>#NUM!</v>
      </c>
      <c r="AS290" s="136" t="e">
        <f t="shared" si="286"/>
        <v>#NUM!</v>
      </c>
      <c r="AT290" s="59" t="e">
        <f t="shared" si="267"/>
        <v>#NUM!</v>
      </c>
      <c r="AU290" s="21" t="e">
        <f t="shared" si="268"/>
        <v>#NUM!</v>
      </c>
      <c r="AV290" s="58">
        <f t="shared" si="269"/>
        <v>1500</v>
      </c>
      <c r="AW290" s="58">
        <f t="shared" si="270"/>
        <v>600</v>
      </c>
      <c r="AX290" s="60">
        <f t="shared" si="271"/>
        <v>0.11</v>
      </c>
      <c r="AY290" s="212">
        <f t="shared" si="287"/>
        <v>0</v>
      </c>
      <c r="AZ290" s="59">
        <f t="shared" si="272"/>
        <v>0</v>
      </c>
      <c r="BA290" s="21" t="e">
        <f t="shared" si="273"/>
        <v>#DIV/0!</v>
      </c>
      <c r="BB290" s="58">
        <f t="shared" si="274"/>
        <v>2900</v>
      </c>
      <c r="BC290" s="58">
        <f t="shared" si="275"/>
        <v>1160</v>
      </c>
      <c r="BD290" s="60">
        <f t="shared" si="276"/>
        <v>0.15</v>
      </c>
      <c r="BE290" s="212" t="e">
        <f t="shared" si="288"/>
        <v>#NUM!</v>
      </c>
      <c r="BF290" s="59" t="e">
        <f t="shared" si="277"/>
        <v>#NUM!</v>
      </c>
      <c r="BG290" s="21" t="e">
        <f t="shared" si="278"/>
        <v>#NUM!</v>
      </c>
      <c r="BH290" s="55">
        <f t="shared" ca="1" si="281"/>
        <v>0</v>
      </c>
    </row>
    <row r="291" spans="1:60" x14ac:dyDescent="0.2">
      <c r="A291" s="61">
        <f ca="1">RANK(W291,W$12:W$311,0)+COUNTIF(W$12:W291,W291)-1</f>
        <v>21</v>
      </c>
      <c r="B291" s="55">
        <f>'Etape 1'!A287</f>
        <v>280</v>
      </c>
      <c r="C291" s="55">
        <f>'Etape 1'!B287</f>
        <v>0</v>
      </c>
      <c r="D291" s="55">
        <f>'Etape 1'!C287</f>
        <v>0</v>
      </c>
      <c r="E291" s="55">
        <f>'Etape 1'!D287</f>
        <v>0</v>
      </c>
      <c r="F291" s="55">
        <f>'Etape 1'!E287</f>
        <v>0</v>
      </c>
      <c r="G291" s="55">
        <f>'Etape 1'!F287</f>
        <v>0</v>
      </c>
      <c r="H291" s="55">
        <f>'Etape 1'!G287</f>
        <v>0</v>
      </c>
      <c r="I291" s="209">
        <v>1</v>
      </c>
      <c r="J291" s="58">
        <f t="shared" si="289"/>
        <v>0</v>
      </c>
      <c r="K291" s="21">
        <f t="shared" si="241"/>
        <v>0</v>
      </c>
      <c r="L291" s="21">
        <f t="shared" si="242"/>
        <v>0</v>
      </c>
      <c r="M291" s="21">
        <f t="shared" ca="1" si="243"/>
        <v>3</v>
      </c>
      <c r="N291" s="21">
        <f t="shared" ca="1" si="244"/>
        <v>3</v>
      </c>
      <c r="O291" s="21">
        <f t="shared" ca="1" si="245"/>
        <v>0</v>
      </c>
      <c r="P291" s="262" t="str">
        <f>IF('Etape 1'!J287=999,"",IF('Etape 1'!J287=9999,txt_Schritt1.Angaben.fehlen,VLOOKUP(N291,Matrix_1.2.3.Test.Punkte.ID.Beurteilung,4,1)))</f>
        <v/>
      </c>
      <c r="Q291" s="21">
        <f t="shared" ca="1" si="246"/>
        <v>0</v>
      </c>
      <c r="R291" s="136">
        <f t="shared" si="282"/>
        <v>280</v>
      </c>
      <c r="S291" s="136">
        <f t="shared" ca="1" si="279"/>
        <v>162.93023255813952</v>
      </c>
      <c r="T291" s="136">
        <f t="shared" ca="1" si="283"/>
        <v>750.93023255813955</v>
      </c>
      <c r="U291" s="136">
        <f t="shared" ca="1" si="284"/>
        <v>1224000.9302325582</v>
      </c>
      <c r="V291" s="211">
        <f t="shared" ca="1" si="285"/>
        <v>235407.12227687755</v>
      </c>
      <c r="W291" s="136">
        <f t="shared" ca="1" si="280"/>
        <v>280</v>
      </c>
      <c r="X291" s="136">
        <f t="shared" ca="1" si="247"/>
        <v>162.999000999001</v>
      </c>
      <c r="Y291" s="21">
        <f t="shared" si="248"/>
        <v>1</v>
      </c>
      <c r="Z291" s="21" t="str">
        <f t="shared" si="249"/>
        <v>&lt;IE0</v>
      </c>
      <c r="AA291" s="21">
        <f t="shared" si="250"/>
        <v>1</v>
      </c>
      <c r="AB291" s="21" t="str">
        <f t="shared" si="251"/>
        <v>a - "&lt; 1990 (Eff3)"</v>
      </c>
      <c r="AC291" s="21">
        <f t="shared" si="252"/>
        <v>999999</v>
      </c>
      <c r="AD291" s="21" t="str">
        <f t="shared" si="253"/>
        <v/>
      </c>
      <c r="AE291" s="21" t="str">
        <f t="shared" si="254"/>
        <v/>
      </c>
      <c r="AF291" s="21" t="str">
        <f t="shared" si="255"/>
        <v/>
      </c>
      <c r="AG291" s="21">
        <f t="shared" si="256"/>
        <v>0</v>
      </c>
      <c r="AH291" s="21">
        <f>IF('Etape 1'!H287=St.Wert_Hacken,1,0)</f>
        <v>0</v>
      </c>
      <c r="AI291" s="21">
        <f t="shared" si="257"/>
        <v>0</v>
      </c>
      <c r="AJ291" s="21">
        <f t="shared" si="258"/>
        <v>1000999</v>
      </c>
      <c r="AK291" s="58">
        <f t="shared" si="259"/>
        <v>1100</v>
      </c>
      <c r="AL291" s="58">
        <f t="shared" si="260"/>
        <v>440</v>
      </c>
      <c r="AM291" s="21">
        <f t="shared" si="261"/>
        <v>0</v>
      </c>
      <c r="AN291" s="58">
        <f t="shared" si="262"/>
        <v>1</v>
      </c>
      <c r="AO291" s="58" t="str">
        <f t="shared" si="263"/>
        <v>114</v>
      </c>
      <c r="AP291" s="58" t="str">
        <f t="shared" si="264"/>
        <v>164</v>
      </c>
      <c r="AQ291" s="21" t="e">
        <f t="shared" si="265"/>
        <v>#NUM!</v>
      </c>
      <c r="AR291" s="21" t="e">
        <f t="shared" si="266"/>
        <v>#NUM!</v>
      </c>
      <c r="AS291" s="136" t="e">
        <f t="shared" si="286"/>
        <v>#NUM!</v>
      </c>
      <c r="AT291" s="59" t="e">
        <f t="shared" si="267"/>
        <v>#NUM!</v>
      </c>
      <c r="AU291" s="21" t="e">
        <f t="shared" si="268"/>
        <v>#NUM!</v>
      </c>
      <c r="AV291" s="58">
        <f t="shared" si="269"/>
        <v>1500</v>
      </c>
      <c r="AW291" s="58">
        <f t="shared" si="270"/>
        <v>600</v>
      </c>
      <c r="AX291" s="60">
        <f t="shared" si="271"/>
        <v>0.11</v>
      </c>
      <c r="AY291" s="212">
        <f t="shared" si="287"/>
        <v>0</v>
      </c>
      <c r="AZ291" s="59">
        <f t="shared" si="272"/>
        <v>0</v>
      </c>
      <c r="BA291" s="21" t="e">
        <f t="shared" si="273"/>
        <v>#DIV/0!</v>
      </c>
      <c r="BB291" s="58">
        <f t="shared" si="274"/>
        <v>2900</v>
      </c>
      <c r="BC291" s="58">
        <f t="shared" si="275"/>
        <v>1160</v>
      </c>
      <c r="BD291" s="60">
        <f t="shared" si="276"/>
        <v>0.15</v>
      </c>
      <c r="BE291" s="212" t="e">
        <f t="shared" si="288"/>
        <v>#NUM!</v>
      </c>
      <c r="BF291" s="59" t="e">
        <f t="shared" si="277"/>
        <v>#NUM!</v>
      </c>
      <c r="BG291" s="21" t="e">
        <f t="shared" si="278"/>
        <v>#NUM!</v>
      </c>
      <c r="BH291" s="55">
        <f t="shared" ca="1" si="281"/>
        <v>0</v>
      </c>
    </row>
    <row r="292" spans="1:60" x14ac:dyDescent="0.2">
      <c r="A292" s="61">
        <f ca="1">RANK(W292,W$12:W$311,0)+COUNTIF(W$12:W292,W292)-1</f>
        <v>20</v>
      </c>
      <c r="B292" s="55">
        <f>'Etape 1'!A288</f>
        <v>281</v>
      </c>
      <c r="C292" s="55">
        <f>'Etape 1'!B288</f>
        <v>0</v>
      </c>
      <c r="D292" s="55">
        <f>'Etape 1'!C288</f>
        <v>0</v>
      </c>
      <c r="E292" s="55">
        <f>'Etape 1'!D288</f>
        <v>0</v>
      </c>
      <c r="F292" s="55">
        <f>'Etape 1'!E288</f>
        <v>0</v>
      </c>
      <c r="G292" s="55">
        <f>'Etape 1'!F288</f>
        <v>0</v>
      </c>
      <c r="H292" s="55">
        <f>'Etape 1'!G288</f>
        <v>0</v>
      </c>
      <c r="I292" s="209">
        <v>1</v>
      </c>
      <c r="J292" s="58">
        <f t="shared" si="289"/>
        <v>0</v>
      </c>
      <c r="K292" s="21">
        <f t="shared" si="241"/>
        <v>0</v>
      </c>
      <c r="L292" s="21">
        <f t="shared" si="242"/>
        <v>0</v>
      </c>
      <c r="M292" s="21">
        <f t="shared" ca="1" si="243"/>
        <v>3</v>
      </c>
      <c r="N292" s="21">
        <f t="shared" ca="1" si="244"/>
        <v>3</v>
      </c>
      <c r="O292" s="21">
        <f t="shared" ca="1" si="245"/>
        <v>0</v>
      </c>
      <c r="P292" s="262" t="str">
        <f>IF('Etape 1'!J288=999,"",IF('Etape 1'!J288=9999,txt_Schritt1.Angaben.fehlen,VLOOKUP(N292,Matrix_1.2.3.Test.Punkte.ID.Beurteilung,4,1)))</f>
        <v/>
      </c>
      <c r="Q292" s="21">
        <f t="shared" ca="1" si="246"/>
        <v>0</v>
      </c>
      <c r="R292" s="136">
        <f t="shared" si="282"/>
        <v>281</v>
      </c>
      <c r="S292" s="136">
        <f t="shared" ca="1" si="279"/>
        <v>162.93355481727573</v>
      </c>
      <c r="T292" s="136">
        <f t="shared" ca="1" si="283"/>
        <v>750.93355481727576</v>
      </c>
      <c r="U292" s="136">
        <f t="shared" ca="1" si="284"/>
        <v>1224000.9335548172</v>
      </c>
      <c r="V292" s="211">
        <f t="shared" ca="1" si="285"/>
        <v>235407.12559913669</v>
      </c>
      <c r="W292" s="136">
        <f t="shared" ca="1" si="280"/>
        <v>281</v>
      </c>
      <c r="X292" s="136">
        <f t="shared" ca="1" si="247"/>
        <v>162.999000999001</v>
      </c>
      <c r="Y292" s="21">
        <f t="shared" si="248"/>
        <v>1</v>
      </c>
      <c r="Z292" s="21" t="str">
        <f t="shared" si="249"/>
        <v>&lt;IE0</v>
      </c>
      <c r="AA292" s="21">
        <f t="shared" si="250"/>
        <v>1</v>
      </c>
      <c r="AB292" s="21" t="str">
        <f t="shared" si="251"/>
        <v>a - "&lt; 1990 (Eff3)"</v>
      </c>
      <c r="AC292" s="21">
        <f t="shared" si="252"/>
        <v>999999</v>
      </c>
      <c r="AD292" s="21" t="str">
        <f t="shared" si="253"/>
        <v/>
      </c>
      <c r="AE292" s="21" t="str">
        <f t="shared" si="254"/>
        <v/>
      </c>
      <c r="AF292" s="21" t="str">
        <f t="shared" si="255"/>
        <v/>
      </c>
      <c r="AG292" s="21">
        <f t="shared" si="256"/>
        <v>0</v>
      </c>
      <c r="AH292" s="21">
        <f>IF('Etape 1'!H288=St.Wert_Hacken,1,0)</f>
        <v>0</v>
      </c>
      <c r="AI292" s="21">
        <f t="shared" si="257"/>
        <v>0</v>
      </c>
      <c r="AJ292" s="21">
        <f t="shared" si="258"/>
        <v>1000999</v>
      </c>
      <c r="AK292" s="58">
        <f t="shared" si="259"/>
        <v>1100</v>
      </c>
      <c r="AL292" s="58">
        <f t="shared" si="260"/>
        <v>440</v>
      </c>
      <c r="AM292" s="21">
        <f t="shared" si="261"/>
        <v>0</v>
      </c>
      <c r="AN292" s="58">
        <f t="shared" si="262"/>
        <v>1</v>
      </c>
      <c r="AO292" s="58" t="str">
        <f t="shared" si="263"/>
        <v>114</v>
      </c>
      <c r="AP292" s="58" t="str">
        <f t="shared" si="264"/>
        <v>164</v>
      </c>
      <c r="AQ292" s="21" t="e">
        <f t="shared" si="265"/>
        <v>#NUM!</v>
      </c>
      <c r="AR292" s="21" t="e">
        <f t="shared" si="266"/>
        <v>#NUM!</v>
      </c>
      <c r="AS292" s="136" t="e">
        <f t="shared" si="286"/>
        <v>#NUM!</v>
      </c>
      <c r="AT292" s="59" t="e">
        <f t="shared" si="267"/>
        <v>#NUM!</v>
      </c>
      <c r="AU292" s="21" t="e">
        <f t="shared" si="268"/>
        <v>#NUM!</v>
      </c>
      <c r="AV292" s="58">
        <f t="shared" si="269"/>
        <v>1500</v>
      </c>
      <c r="AW292" s="58">
        <f t="shared" si="270"/>
        <v>600</v>
      </c>
      <c r="AX292" s="60">
        <f t="shared" si="271"/>
        <v>0.11</v>
      </c>
      <c r="AY292" s="212">
        <f t="shared" si="287"/>
        <v>0</v>
      </c>
      <c r="AZ292" s="59">
        <f t="shared" si="272"/>
        <v>0</v>
      </c>
      <c r="BA292" s="21" t="e">
        <f t="shared" si="273"/>
        <v>#DIV/0!</v>
      </c>
      <c r="BB292" s="58">
        <f t="shared" si="274"/>
        <v>2900</v>
      </c>
      <c r="BC292" s="58">
        <f t="shared" si="275"/>
        <v>1160</v>
      </c>
      <c r="BD292" s="60">
        <f t="shared" si="276"/>
        <v>0.15</v>
      </c>
      <c r="BE292" s="212" t="e">
        <f t="shared" si="288"/>
        <v>#NUM!</v>
      </c>
      <c r="BF292" s="59" t="e">
        <f t="shared" si="277"/>
        <v>#NUM!</v>
      </c>
      <c r="BG292" s="21" t="e">
        <f t="shared" si="278"/>
        <v>#NUM!</v>
      </c>
      <c r="BH292" s="55">
        <f t="shared" ca="1" si="281"/>
        <v>0</v>
      </c>
    </row>
    <row r="293" spans="1:60" x14ac:dyDescent="0.2">
      <c r="A293" s="61">
        <f ca="1">RANK(W293,W$12:W$311,0)+COUNTIF(W$12:W293,W293)-1</f>
        <v>19</v>
      </c>
      <c r="B293" s="55">
        <f>'Etape 1'!A289</f>
        <v>282</v>
      </c>
      <c r="C293" s="55">
        <f>'Etape 1'!B289</f>
        <v>0</v>
      </c>
      <c r="D293" s="55">
        <f>'Etape 1'!C289</f>
        <v>0</v>
      </c>
      <c r="E293" s="55">
        <f>'Etape 1'!D289</f>
        <v>0</v>
      </c>
      <c r="F293" s="55">
        <f>'Etape 1'!E289</f>
        <v>0</v>
      </c>
      <c r="G293" s="55">
        <f>'Etape 1'!F289</f>
        <v>0</v>
      </c>
      <c r="H293" s="55">
        <f>'Etape 1'!G289</f>
        <v>0</v>
      </c>
      <c r="I293" s="209">
        <v>1</v>
      </c>
      <c r="J293" s="58">
        <f t="shared" si="289"/>
        <v>0</v>
      </c>
      <c r="K293" s="21">
        <f t="shared" si="241"/>
        <v>0</v>
      </c>
      <c r="L293" s="21">
        <f t="shared" si="242"/>
        <v>0</v>
      </c>
      <c r="M293" s="21">
        <f t="shared" ca="1" si="243"/>
        <v>3</v>
      </c>
      <c r="N293" s="21">
        <f t="shared" ca="1" si="244"/>
        <v>3</v>
      </c>
      <c r="O293" s="21">
        <f t="shared" ca="1" si="245"/>
        <v>0</v>
      </c>
      <c r="P293" s="262" t="str">
        <f>IF('Etape 1'!J289=999,"",IF('Etape 1'!J289=9999,txt_Schritt1.Angaben.fehlen,VLOOKUP(N293,Matrix_1.2.3.Test.Punkte.ID.Beurteilung,4,1)))</f>
        <v/>
      </c>
      <c r="Q293" s="21">
        <f t="shared" ca="1" si="246"/>
        <v>0</v>
      </c>
      <c r="R293" s="136">
        <f t="shared" si="282"/>
        <v>282</v>
      </c>
      <c r="S293" s="136">
        <f t="shared" ca="1" si="279"/>
        <v>162.93687707641195</v>
      </c>
      <c r="T293" s="136">
        <f t="shared" ca="1" si="283"/>
        <v>750.93687707641197</v>
      </c>
      <c r="U293" s="136">
        <f t="shared" ca="1" si="284"/>
        <v>1224000.9368770765</v>
      </c>
      <c r="V293" s="211">
        <f t="shared" ca="1" si="285"/>
        <v>235407.12892139581</v>
      </c>
      <c r="W293" s="136">
        <f t="shared" ca="1" si="280"/>
        <v>282</v>
      </c>
      <c r="X293" s="136">
        <f t="shared" ca="1" si="247"/>
        <v>162.999000999001</v>
      </c>
      <c r="Y293" s="21">
        <f t="shared" si="248"/>
        <v>1</v>
      </c>
      <c r="Z293" s="21" t="str">
        <f t="shared" si="249"/>
        <v>&lt;IE0</v>
      </c>
      <c r="AA293" s="21">
        <f t="shared" si="250"/>
        <v>1</v>
      </c>
      <c r="AB293" s="21" t="str">
        <f t="shared" si="251"/>
        <v>a - "&lt; 1990 (Eff3)"</v>
      </c>
      <c r="AC293" s="21">
        <f t="shared" si="252"/>
        <v>999999</v>
      </c>
      <c r="AD293" s="21" t="str">
        <f t="shared" si="253"/>
        <v/>
      </c>
      <c r="AE293" s="21" t="str">
        <f t="shared" si="254"/>
        <v/>
      </c>
      <c r="AF293" s="21" t="str">
        <f t="shared" si="255"/>
        <v/>
      </c>
      <c r="AG293" s="21">
        <f t="shared" si="256"/>
        <v>0</v>
      </c>
      <c r="AH293" s="21">
        <f>IF('Etape 1'!H289=St.Wert_Hacken,1,0)</f>
        <v>0</v>
      </c>
      <c r="AI293" s="21">
        <f t="shared" si="257"/>
        <v>0</v>
      </c>
      <c r="AJ293" s="21">
        <f t="shared" si="258"/>
        <v>1000999</v>
      </c>
      <c r="AK293" s="58">
        <f t="shared" si="259"/>
        <v>1100</v>
      </c>
      <c r="AL293" s="58">
        <f t="shared" si="260"/>
        <v>440</v>
      </c>
      <c r="AM293" s="21">
        <f t="shared" si="261"/>
        <v>0</v>
      </c>
      <c r="AN293" s="58">
        <f t="shared" si="262"/>
        <v>1</v>
      </c>
      <c r="AO293" s="58" t="str">
        <f t="shared" si="263"/>
        <v>114</v>
      </c>
      <c r="AP293" s="58" t="str">
        <f t="shared" si="264"/>
        <v>164</v>
      </c>
      <c r="AQ293" s="21" t="e">
        <f t="shared" si="265"/>
        <v>#NUM!</v>
      </c>
      <c r="AR293" s="21" t="e">
        <f t="shared" si="266"/>
        <v>#NUM!</v>
      </c>
      <c r="AS293" s="136" t="e">
        <f t="shared" si="286"/>
        <v>#NUM!</v>
      </c>
      <c r="AT293" s="59" t="e">
        <f t="shared" si="267"/>
        <v>#NUM!</v>
      </c>
      <c r="AU293" s="21" t="e">
        <f t="shared" si="268"/>
        <v>#NUM!</v>
      </c>
      <c r="AV293" s="58">
        <f t="shared" si="269"/>
        <v>1500</v>
      </c>
      <c r="AW293" s="58">
        <f t="shared" si="270"/>
        <v>600</v>
      </c>
      <c r="AX293" s="60">
        <f t="shared" si="271"/>
        <v>0.11</v>
      </c>
      <c r="AY293" s="212">
        <f t="shared" si="287"/>
        <v>0</v>
      </c>
      <c r="AZ293" s="59">
        <f t="shared" si="272"/>
        <v>0</v>
      </c>
      <c r="BA293" s="21" t="e">
        <f t="shared" si="273"/>
        <v>#DIV/0!</v>
      </c>
      <c r="BB293" s="58">
        <f t="shared" si="274"/>
        <v>2900</v>
      </c>
      <c r="BC293" s="58">
        <f t="shared" si="275"/>
        <v>1160</v>
      </c>
      <c r="BD293" s="60">
        <f t="shared" si="276"/>
        <v>0.15</v>
      </c>
      <c r="BE293" s="212" t="e">
        <f t="shared" si="288"/>
        <v>#NUM!</v>
      </c>
      <c r="BF293" s="59" t="e">
        <f t="shared" si="277"/>
        <v>#NUM!</v>
      </c>
      <c r="BG293" s="21" t="e">
        <f t="shared" si="278"/>
        <v>#NUM!</v>
      </c>
      <c r="BH293" s="55">
        <f t="shared" ca="1" si="281"/>
        <v>0</v>
      </c>
    </row>
    <row r="294" spans="1:60" x14ac:dyDescent="0.2">
      <c r="A294" s="61">
        <f ca="1">RANK(W294,W$12:W$311,0)+COUNTIF(W$12:W294,W294)-1</f>
        <v>18</v>
      </c>
      <c r="B294" s="55">
        <f>'Etape 1'!A290</f>
        <v>283</v>
      </c>
      <c r="C294" s="55">
        <f>'Etape 1'!B290</f>
        <v>0</v>
      </c>
      <c r="D294" s="55">
        <f>'Etape 1'!C290</f>
        <v>0</v>
      </c>
      <c r="E294" s="55">
        <f>'Etape 1'!D290</f>
        <v>0</v>
      </c>
      <c r="F294" s="55">
        <f>'Etape 1'!E290</f>
        <v>0</v>
      </c>
      <c r="G294" s="55">
        <f>'Etape 1'!F290</f>
        <v>0</v>
      </c>
      <c r="H294" s="55">
        <f>'Etape 1'!G290</f>
        <v>0</v>
      </c>
      <c r="I294" s="209">
        <v>1</v>
      </c>
      <c r="J294" s="58">
        <f t="shared" si="289"/>
        <v>0</v>
      </c>
      <c r="K294" s="21">
        <f t="shared" si="241"/>
        <v>0</v>
      </c>
      <c r="L294" s="21">
        <f t="shared" si="242"/>
        <v>0</v>
      </c>
      <c r="M294" s="21">
        <f t="shared" ca="1" si="243"/>
        <v>3</v>
      </c>
      <c r="N294" s="21">
        <f t="shared" ca="1" si="244"/>
        <v>3</v>
      </c>
      <c r="O294" s="21">
        <f t="shared" ca="1" si="245"/>
        <v>0</v>
      </c>
      <c r="P294" s="262" t="str">
        <f>IF('Etape 1'!J290=999,"",IF('Etape 1'!J290=9999,txt_Schritt1.Angaben.fehlen,VLOOKUP(N294,Matrix_1.2.3.Test.Punkte.ID.Beurteilung,4,1)))</f>
        <v/>
      </c>
      <c r="Q294" s="21">
        <f t="shared" ca="1" si="246"/>
        <v>0</v>
      </c>
      <c r="R294" s="136">
        <f t="shared" si="282"/>
        <v>283</v>
      </c>
      <c r="S294" s="136">
        <f t="shared" ca="1" si="279"/>
        <v>162.94019933554819</v>
      </c>
      <c r="T294" s="136">
        <f t="shared" ca="1" si="283"/>
        <v>750.94019933554819</v>
      </c>
      <c r="U294" s="136">
        <f t="shared" ca="1" si="284"/>
        <v>1224000.9401993356</v>
      </c>
      <c r="V294" s="211">
        <f t="shared" ca="1" si="285"/>
        <v>235407.13224365495</v>
      </c>
      <c r="W294" s="136">
        <f t="shared" ca="1" si="280"/>
        <v>283</v>
      </c>
      <c r="X294" s="136">
        <f t="shared" ca="1" si="247"/>
        <v>162.999000999001</v>
      </c>
      <c r="Y294" s="21">
        <f t="shared" si="248"/>
        <v>1</v>
      </c>
      <c r="Z294" s="21" t="str">
        <f t="shared" si="249"/>
        <v>&lt;IE0</v>
      </c>
      <c r="AA294" s="21">
        <f t="shared" si="250"/>
        <v>1</v>
      </c>
      <c r="AB294" s="21" t="str">
        <f t="shared" si="251"/>
        <v>a - "&lt; 1990 (Eff3)"</v>
      </c>
      <c r="AC294" s="21">
        <f t="shared" si="252"/>
        <v>999999</v>
      </c>
      <c r="AD294" s="21" t="str">
        <f t="shared" si="253"/>
        <v/>
      </c>
      <c r="AE294" s="21" t="str">
        <f t="shared" si="254"/>
        <v/>
      </c>
      <c r="AF294" s="21" t="str">
        <f t="shared" si="255"/>
        <v/>
      </c>
      <c r="AG294" s="21">
        <f t="shared" si="256"/>
        <v>0</v>
      </c>
      <c r="AH294" s="21">
        <f>IF('Etape 1'!H290=St.Wert_Hacken,1,0)</f>
        <v>0</v>
      </c>
      <c r="AI294" s="21">
        <f t="shared" si="257"/>
        <v>0</v>
      </c>
      <c r="AJ294" s="21">
        <f t="shared" si="258"/>
        <v>1000999</v>
      </c>
      <c r="AK294" s="58">
        <f t="shared" si="259"/>
        <v>1100</v>
      </c>
      <c r="AL294" s="58">
        <f t="shared" si="260"/>
        <v>440</v>
      </c>
      <c r="AM294" s="21">
        <f t="shared" si="261"/>
        <v>0</v>
      </c>
      <c r="AN294" s="58">
        <f t="shared" si="262"/>
        <v>1</v>
      </c>
      <c r="AO294" s="58" t="str">
        <f t="shared" si="263"/>
        <v>114</v>
      </c>
      <c r="AP294" s="58" t="str">
        <f t="shared" si="264"/>
        <v>164</v>
      </c>
      <c r="AQ294" s="21" t="e">
        <f t="shared" si="265"/>
        <v>#NUM!</v>
      </c>
      <c r="AR294" s="21" t="e">
        <f t="shared" si="266"/>
        <v>#NUM!</v>
      </c>
      <c r="AS294" s="136" t="e">
        <f t="shared" si="286"/>
        <v>#NUM!</v>
      </c>
      <c r="AT294" s="59" t="e">
        <f t="shared" si="267"/>
        <v>#NUM!</v>
      </c>
      <c r="AU294" s="21" t="e">
        <f t="shared" si="268"/>
        <v>#NUM!</v>
      </c>
      <c r="AV294" s="58">
        <f t="shared" si="269"/>
        <v>1500</v>
      </c>
      <c r="AW294" s="58">
        <f t="shared" si="270"/>
        <v>600</v>
      </c>
      <c r="AX294" s="60">
        <f t="shared" si="271"/>
        <v>0.11</v>
      </c>
      <c r="AY294" s="212">
        <f t="shared" si="287"/>
        <v>0</v>
      </c>
      <c r="AZ294" s="59">
        <f t="shared" si="272"/>
        <v>0</v>
      </c>
      <c r="BA294" s="21" t="e">
        <f t="shared" si="273"/>
        <v>#DIV/0!</v>
      </c>
      <c r="BB294" s="58">
        <f t="shared" si="274"/>
        <v>2900</v>
      </c>
      <c r="BC294" s="58">
        <f t="shared" si="275"/>
        <v>1160</v>
      </c>
      <c r="BD294" s="60">
        <f t="shared" si="276"/>
        <v>0.15</v>
      </c>
      <c r="BE294" s="212" t="e">
        <f t="shared" si="288"/>
        <v>#NUM!</v>
      </c>
      <c r="BF294" s="59" t="e">
        <f t="shared" si="277"/>
        <v>#NUM!</v>
      </c>
      <c r="BG294" s="21" t="e">
        <f t="shared" si="278"/>
        <v>#NUM!</v>
      </c>
      <c r="BH294" s="55">
        <f t="shared" ca="1" si="281"/>
        <v>0</v>
      </c>
    </row>
    <row r="295" spans="1:60" x14ac:dyDescent="0.2">
      <c r="A295" s="61">
        <f ca="1">RANK(W295,W$12:W$311,0)+COUNTIF(W$12:W295,W295)-1</f>
        <v>17</v>
      </c>
      <c r="B295" s="55">
        <f>'Etape 1'!A291</f>
        <v>284</v>
      </c>
      <c r="C295" s="55">
        <f>'Etape 1'!B291</f>
        <v>0</v>
      </c>
      <c r="D295" s="55">
        <f>'Etape 1'!C291</f>
        <v>0</v>
      </c>
      <c r="E295" s="55">
        <f>'Etape 1'!D291</f>
        <v>0</v>
      </c>
      <c r="F295" s="55">
        <f>'Etape 1'!E291</f>
        <v>0</v>
      </c>
      <c r="G295" s="55">
        <f>'Etape 1'!F291</f>
        <v>0</v>
      </c>
      <c r="H295" s="55">
        <f>'Etape 1'!G291</f>
        <v>0</v>
      </c>
      <c r="I295" s="209">
        <v>1</v>
      </c>
      <c r="J295" s="58">
        <f t="shared" si="289"/>
        <v>0</v>
      </c>
      <c r="K295" s="21">
        <f t="shared" si="241"/>
        <v>0</v>
      </c>
      <c r="L295" s="21">
        <f t="shared" si="242"/>
        <v>0</v>
      </c>
      <c r="M295" s="21">
        <f t="shared" ca="1" si="243"/>
        <v>3</v>
      </c>
      <c r="N295" s="21">
        <f t="shared" ca="1" si="244"/>
        <v>3</v>
      </c>
      <c r="O295" s="21">
        <f t="shared" ca="1" si="245"/>
        <v>0</v>
      </c>
      <c r="P295" s="262" t="str">
        <f>IF('Etape 1'!J291=999,"",IF('Etape 1'!J291=9999,txt_Schritt1.Angaben.fehlen,VLOOKUP(N295,Matrix_1.2.3.Test.Punkte.ID.Beurteilung,4,1)))</f>
        <v/>
      </c>
      <c r="Q295" s="21">
        <f t="shared" ca="1" si="246"/>
        <v>0</v>
      </c>
      <c r="R295" s="136">
        <f t="shared" si="282"/>
        <v>284</v>
      </c>
      <c r="S295" s="136">
        <f t="shared" ca="1" si="279"/>
        <v>162.9435215946844</v>
      </c>
      <c r="T295" s="136">
        <f t="shared" ca="1" si="283"/>
        <v>750.9435215946844</v>
      </c>
      <c r="U295" s="136">
        <f t="shared" ca="1" si="284"/>
        <v>1224000.9435215946</v>
      </c>
      <c r="V295" s="211">
        <f t="shared" ca="1" si="285"/>
        <v>235407.1355659141</v>
      </c>
      <c r="W295" s="136">
        <f t="shared" ca="1" si="280"/>
        <v>284</v>
      </c>
      <c r="X295" s="136">
        <f t="shared" ca="1" si="247"/>
        <v>162.999000999001</v>
      </c>
      <c r="Y295" s="21">
        <f t="shared" si="248"/>
        <v>1</v>
      </c>
      <c r="Z295" s="21" t="str">
        <f t="shared" si="249"/>
        <v>&lt;IE0</v>
      </c>
      <c r="AA295" s="21">
        <f t="shared" si="250"/>
        <v>1</v>
      </c>
      <c r="AB295" s="21" t="str">
        <f t="shared" si="251"/>
        <v>a - "&lt; 1990 (Eff3)"</v>
      </c>
      <c r="AC295" s="21">
        <f t="shared" si="252"/>
        <v>999999</v>
      </c>
      <c r="AD295" s="21" t="str">
        <f t="shared" si="253"/>
        <v/>
      </c>
      <c r="AE295" s="21" t="str">
        <f t="shared" si="254"/>
        <v/>
      </c>
      <c r="AF295" s="21" t="str">
        <f t="shared" si="255"/>
        <v/>
      </c>
      <c r="AG295" s="21">
        <f t="shared" si="256"/>
        <v>0</v>
      </c>
      <c r="AH295" s="21">
        <f>IF('Etape 1'!H291=St.Wert_Hacken,1,0)</f>
        <v>0</v>
      </c>
      <c r="AI295" s="21">
        <f t="shared" si="257"/>
        <v>0</v>
      </c>
      <c r="AJ295" s="21">
        <f t="shared" si="258"/>
        <v>1000999</v>
      </c>
      <c r="AK295" s="58">
        <f t="shared" si="259"/>
        <v>1100</v>
      </c>
      <c r="AL295" s="58">
        <f t="shared" si="260"/>
        <v>440</v>
      </c>
      <c r="AM295" s="21">
        <f t="shared" si="261"/>
        <v>0</v>
      </c>
      <c r="AN295" s="58">
        <f t="shared" si="262"/>
        <v>1</v>
      </c>
      <c r="AO295" s="58" t="str">
        <f t="shared" si="263"/>
        <v>114</v>
      </c>
      <c r="AP295" s="58" t="str">
        <f t="shared" si="264"/>
        <v>164</v>
      </c>
      <c r="AQ295" s="21" t="e">
        <f t="shared" si="265"/>
        <v>#NUM!</v>
      </c>
      <c r="AR295" s="21" t="e">
        <f t="shared" si="266"/>
        <v>#NUM!</v>
      </c>
      <c r="AS295" s="136" t="e">
        <f t="shared" si="286"/>
        <v>#NUM!</v>
      </c>
      <c r="AT295" s="59" t="e">
        <f t="shared" si="267"/>
        <v>#NUM!</v>
      </c>
      <c r="AU295" s="21" t="e">
        <f t="shared" si="268"/>
        <v>#NUM!</v>
      </c>
      <c r="AV295" s="58">
        <f t="shared" si="269"/>
        <v>1500</v>
      </c>
      <c r="AW295" s="58">
        <f t="shared" si="270"/>
        <v>600</v>
      </c>
      <c r="AX295" s="60">
        <f t="shared" si="271"/>
        <v>0.11</v>
      </c>
      <c r="AY295" s="212">
        <f t="shared" si="287"/>
        <v>0</v>
      </c>
      <c r="AZ295" s="59">
        <f t="shared" si="272"/>
        <v>0</v>
      </c>
      <c r="BA295" s="21" t="e">
        <f t="shared" si="273"/>
        <v>#DIV/0!</v>
      </c>
      <c r="BB295" s="58">
        <f t="shared" si="274"/>
        <v>2900</v>
      </c>
      <c r="BC295" s="58">
        <f t="shared" si="275"/>
        <v>1160</v>
      </c>
      <c r="BD295" s="60">
        <f t="shared" si="276"/>
        <v>0.15</v>
      </c>
      <c r="BE295" s="212" t="e">
        <f t="shared" si="288"/>
        <v>#NUM!</v>
      </c>
      <c r="BF295" s="59" t="e">
        <f t="shared" si="277"/>
        <v>#NUM!</v>
      </c>
      <c r="BG295" s="21" t="e">
        <f t="shared" si="278"/>
        <v>#NUM!</v>
      </c>
      <c r="BH295" s="55">
        <f t="shared" ca="1" si="281"/>
        <v>0</v>
      </c>
    </row>
    <row r="296" spans="1:60" x14ac:dyDescent="0.2">
      <c r="A296" s="61">
        <f ca="1">RANK(W296,W$12:W$311,0)+COUNTIF(W$12:W296,W296)-1</f>
        <v>16</v>
      </c>
      <c r="B296" s="55">
        <f>'Etape 1'!A292</f>
        <v>285</v>
      </c>
      <c r="C296" s="55">
        <f>'Etape 1'!B292</f>
        <v>0</v>
      </c>
      <c r="D296" s="55">
        <f>'Etape 1'!C292</f>
        <v>0</v>
      </c>
      <c r="E296" s="55">
        <f>'Etape 1'!D292</f>
        <v>0</v>
      </c>
      <c r="F296" s="55">
        <f>'Etape 1'!E292</f>
        <v>0</v>
      </c>
      <c r="G296" s="55">
        <f>'Etape 1'!F292</f>
        <v>0</v>
      </c>
      <c r="H296" s="55">
        <f>'Etape 1'!G292</f>
        <v>0</v>
      </c>
      <c r="I296" s="209">
        <v>1</v>
      </c>
      <c r="J296" s="58">
        <f t="shared" si="289"/>
        <v>0</v>
      </c>
      <c r="K296" s="21">
        <f t="shared" si="241"/>
        <v>0</v>
      </c>
      <c r="L296" s="21">
        <f t="shared" si="242"/>
        <v>0</v>
      </c>
      <c r="M296" s="21">
        <f t="shared" ca="1" si="243"/>
        <v>3</v>
      </c>
      <c r="N296" s="21">
        <f t="shared" ca="1" si="244"/>
        <v>3</v>
      </c>
      <c r="O296" s="21">
        <f t="shared" ca="1" si="245"/>
        <v>0</v>
      </c>
      <c r="P296" s="262" t="str">
        <f>IF('Etape 1'!J292=999,"",IF('Etape 1'!J292=9999,txt_Schritt1.Angaben.fehlen,VLOOKUP(N296,Matrix_1.2.3.Test.Punkte.ID.Beurteilung,4,1)))</f>
        <v/>
      </c>
      <c r="Q296" s="21">
        <f t="shared" ca="1" si="246"/>
        <v>0</v>
      </c>
      <c r="R296" s="136">
        <f t="shared" si="282"/>
        <v>285</v>
      </c>
      <c r="S296" s="136">
        <f t="shared" ca="1" si="279"/>
        <v>162.94684385382061</v>
      </c>
      <c r="T296" s="136">
        <f t="shared" ca="1" si="283"/>
        <v>750.94684385382061</v>
      </c>
      <c r="U296" s="136">
        <f t="shared" ca="1" si="284"/>
        <v>1224000.9468438539</v>
      </c>
      <c r="V296" s="211">
        <f t="shared" ca="1" si="285"/>
        <v>235407.13888817324</v>
      </c>
      <c r="W296" s="136">
        <f t="shared" ca="1" si="280"/>
        <v>285</v>
      </c>
      <c r="X296" s="136">
        <f t="shared" ca="1" si="247"/>
        <v>162.999000999001</v>
      </c>
      <c r="Y296" s="21">
        <f t="shared" si="248"/>
        <v>1</v>
      </c>
      <c r="Z296" s="21" t="str">
        <f t="shared" si="249"/>
        <v>&lt;IE0</v>
      </c>
      <c r="AA296" s="21">
        <f t="shared" si="250"/>
        <v>1</v>
      </c>
      <c r="AB296" s="21" t="str">
        <f t="shared" si="251"/>
        <v>a - "&lt; 1990 (Eff3)"</v>
      </c>
      <c r="AC296" s="21">
        <f t="shared" si="252"/>
        <v>999999</v>
      </c>
      <c r="AD296" s="21" t="str">
        <f t="shared" si="253"/>
        <v/>
      </c>
      <c r="AE296" s="21" t="str">
        <f t="shared" si="254"/>
        <v/>
      </c>
      <c r="AF296" s="21" t="str">
        <f t="shared" si="255"/>
        <v/>
      </c>
      <c r="AG296" s="21">
        <f t="shared" si="256"/>
        <v>0</v>
      </c>
      <c r="AH296" s="21">
        <f>IF('Etape 1'!H292=St.Wert_Hacken,1,0)</f>
        <v>0</v>
      </c>
      <c r="AI296" s="21">
        <f t="shared" si="257"/>
        <v>0</v>
      </c>
      <c r="AJ296" s="21">
        <f t="shared" si="258"/>
        <v>1000999</v>
      </c>
      <c r="AK296" s="58">
        <f t="shared" si="259"/>
        <v>1100</v>
      </c>
      <c r="AL296" s="58">
        <f t="shared" si="260"/>
        <v>440</v>
      </c>
      <c r="AM296" s="21">
        <f t="shared" si="261"/>
        <v>0</v>
      </c>
      <c r="AN296" s="58">
        <f t="shared" si="262"/>
        <v>1</v>
      </c>
      <c r="AO296" s="58" t="str">
        <f t="shared" si="263"/>
        <v>114</v>
      </c>
      <c r="AP296" s="58" t="str">
        <f t="shared" si="264"/>
        <v>164</v>
      </c>
      <c r="AQ296" s="21" t="e">
        <f t="shared" si="265"/>
        <v>#NUM!</v>
      </c>
      <c r="AR296" s="21" t="e">
        <f t="shared" si="266"/>
        <v>#NUM!</v>
      </c>
      <c r="AS296" s="136" t="e">
        <f t="shared" si="286"/>
        <v>#NUM!</v>
      </c>
      <c r="AT296" s="59" t="e">
        <f t="shared" si="267"/>
        <v>#NUM!</v>
      </c>
      <c r="AU296" s="21" t="e">
        <f t="shared" si="268"/>
        <v>#NUM!</v>
      </c>
      <c r="AV296" s="58">
        <f t="shared" si="269"/>
        <v>1500</v>
      </c>
      <c r="AW296" s="58">
        <f t="shared" si="270"/>
        <v>600</v>
      </c>
      <c r="AX296" s="60">
        <f t="shared" si="271"/>
        <v>0.11</v>
      </c>
      <c r="AY296" s="212">
        <f t="shared" si="287"/>
        <v>0</v>
      </c>
      <c r="AZ296" s="59">
        <f t="shared" si="272"/>
        <v>0</v>
      </c>
      <c r="BA296" s="21" t="e">
        <f t="shared" si="273"/>
        <v>#DIV/0!</v>
      </c>
      <c r="BB296" s="58">
        <f t="shared" si="274"/>
        <v>2900</v>
      </c>
      <c r="BC296" s="58">
        <f t="shared" si="275"/>
        <v>1160</v>
      </c>
      <c r="BD296" s="60">
        <f t="shared" si="276"/>
        <v>0.15</v>
      </c>
      <c r="BE296" s="212" t="e">
        <f t="shared" si="288"/>
        <v>#NUM!</v>
      </c>
      <c r="BF296" s="59" t="e">
        <f t="shared" si="277"/>
        <v>#NUM!</v>
      </c>
      <c r="BG296" s="21" t="e">
        <f t="shared" si="278"/>
        <v>#NUM!</v>
      </c>
      <c r="BH296" s="55">
        <f t="shared" ca="1" si="281"/>
        <v>0</v>
      </c>
    </row>
    <row r="297" spans="1:60" x14ac:dyDescent="0.2">
      <c r="A297" s="61">
        <f ca="1">RANK(W297,W$12:W$311,0)+COUNTIF(W$12:W297,W297)-1</f>
        <v>15</v>
      </c>
      <c r="B297" s="55">
        <f>'Etape 1'!A293</f>
        <v>286</v>
      </c>
      <c r="C297" s="55">
        <f>'Etape 1'!B293</f>
        <v>0</v>
      </c>
      <c r="D297" s="55">
        <f>'Etape 1'!C293</f>
        <v>0</v>
      </c>
      <c r="E297" s="55">
        <f>'Etape 1'!D293</f>
        <v>0</v>
      </c>
      <c r="F297" s="55">
        <f>'Etape 1'!E293</f>
        <v>0</v>
      </c>
      <c r="G297" s="55">
        <f>'Etape 1'!F293</f>
        <v>0</v>
      </c>
      <c r="H297" s="55">
        <f>'Etape 1'!G293</f>
        <v>0</v>
      </c>
      <c r="I297" s="209">
        <v>1</v>
      </c>
      <c r="J297" s="58">
        <f t="shared" si="289"/>
        <v>0</v>
      </c>
      <c r="K297" s="21">
        <f t="shared" si="241"/>
        <v>0</v>
      </c>
      <c r="L297" s="21">
        <f t="shared" si="242"/>
        <v>0</v>
      </c>
      <c r="M297" s="21">
        <f t="shared" ca="1" si="243"/>
        <v>3</v>
      </c>
      <c r="N297" s="21">
        <f t="shared" ca="1" si="244"/>
        <v>3</v>
      </c>
      <c r="O297" s="21">
        <f t="shared" ca="1" si="245"/>
        <v>0</v>
      </c>
      <c r="P297" s="262" t="str">
        <f>IF('Etape 1'!J293=999,"",IF('Etape 1'!J293=9999,txt_Schritt1.Angaben.fehlen,VLOOKUP(N297,Matrix_1.2.3.Test.Punkte.ID.Beurteilung,4,1)))</f>
        <v/>
      </c>
      <c r="Q297" s="21">
        <f t="shared" ca="1" si="246"/>
        <v>0</v>
      </c>
      <c r="R297" s="136">
        <f t="shared" si="282"/>
        <v>286</v>
      </c>
      <c r="S297" s="136">
        <f t="shared" ca="1" si="279"/>
        <v>162.95016611295682</v>
      </c>
      <c r="T297" s="136">
        <f t="shared" ca="1" si="283"/>
        <v>750.95016611295682</v>
      </c>
      <c r="U297" s="136">
        <f t="shared" ca="1" si="284"/>
        <v>1224000.950166113</v>
      </c>
      <c r="V297" s="211">
        <f t="shared" ca="1" si="285"/>
        <v>235407.14221043236</v>
      </c>
      <c r="W297" s="136">
        <f t="shared" ca="1" si="280"/>
        <v>286</v>
      </c>
      <c r="X297" s="136">
        <f t="shared" ca="1" si="247"/>
        <v>162.999000999001</v>
      </c>
      <c r="Y297" s="21">
        <f t="shared" si="248"/>
        <v>1</v>
      </c>
      <c r="Z297" s="21" t="str">
        <f t="shared" si="249"/>
        <v>&lt;IE0</v>
      </c>
      <c r="AA297" s="21">
        <f t="shared" si="250"/>
        <v>1</v>
      </c>
      <c r="AB297" s="21" t="str">
        <f t="shared" si="251"/>
        <v>a - "&lt; 1990 (Eff3)"</v>
      </c>
      <c r="AC297" s="21">
        <f t="shared" si="252"/>
        <v>999999</v>
      </c>
      <c r="AD297" s="21" t="str">
        <f t="shared" si="253"/>
        <v/>
      </c>
      <c r="AE297" s="21" t="str">
        <f t="shared" si="254"/>
        <v/>
      </c>
      <c r="AF297" s="21" t="str">
        <f t="shared" si="255"/>
        <v/>
      </c>
      <c r="AG297" s="21">
        <f t="shared" si="256"/>
        <v>0</v>
      </c>
      <c r="AH297" s="21">
        <f>IF('Etape 1'!H293=St.Wert_Hacken,1,0)</f>
        <v>0</v>
      </c>
      <c r="AI297" s="21">
        <f t="shared" si="257"/>
        <v>0</v>
      </c>
      <c r="AJ297" s="21">
        <f t="shared" si="258"/>
        <v>1000999</v>
      </c>
      <c r="AK297" s="58">
        <f t="shared" si="259"/>
        <v>1100</v>
      </c>
      <c r="AL297" s="58">
        <f t="shared" si="260"/>
        <v>440</v>
      </c>
      <c r="AM297" s="21">
        <f t="shared" si="261"/>
        <v>0</v>
      </c>
      <c r="AN297" s="58">
        <f t="shared" si="262"/>
        <v>1</v>
      </c>
      <c r="AO297" s="58" t="str">
        <f t="shared" si="263"/>
        <v>114</v>
      </c>
      <c r="AP297" s="58" t="str">
        <f t="shared" si="264"/>
        <v>164</v>
      </c>
      <c r="AQ297" s="21" t="e">
        <f t="shared" si="265"/>
        <v>#NUM!</v>
      </c>
      <c r="AR297" s="21" t="e">
        <f t="shared" si="266"/>
        <v>#NUM!</v>
      </c>
      <c r="AS297" s="136" t="e">
        <f t="shared" si="286"/>
        <v>#NUM!</v>
      </c>
      <c r="AT297" s="59" t="e">
        <f t="shared" si="267"/>
        <v>#NUM!</v>
      </c>
      <c r="AU297" s="21" t="e">
        <f t="shared" si="268"/>
        <v>#NUM!</v>
      </c>
      <c r="AV297" s="58">
        <f t="shared" si="269"/>
        <v>1500</v>
      </c>
      <c r="AW297" s="58">
        <f t="shared" si="270"/>
        <v>600</v>
      </c>
      <c r="AX297" s="60">
        <f t="shared" si="271"/>
        <v>0.11</v>
      </c>
      <c r="AY297" s="212">
        <f t="shared" si="287"/>
        <v>0</v>
      </c>
      <c r="AZ297" s="59">
        <f t="shared" si="272"/>
        <v>0</v>
      </c>
      <c r="BA297" s="21" t="e">
        <f t="shared" si="273"/>
        <v>#DIV/0!</v>
      </c>
      <c r="BB297" s="58">
        <f t="shared" si="274"/>
        <v>2900</v>
      </c>
      <c r="BC297" s="58">
        <f t="shared" si="275"/>
        <v>1160</v>
      </c>
      <c r="BD297" s="60">
        <f t="shared" si="276"/>
        <v>0.15</v>
      </c>
      <c r="BE297" s="212" t="e">
        <f t="shared" si="288"/>
        <v>#NUM!</v>
      </c>
      <c r="BF297" s="59" t="e">
        <f t="shared" si="277"/>
        <v>#NUM!</v>
      </c>
      <c r="BG297" s="21" t="e">
        <f t="shared" si="278"/>
        <v>#NUM!</v>
      </c>
      <c r="BH297" s="55">
        <f t="shared" ca="1" si="281"/>
        <v>0</v>
      </c>
    </row>
    <row r="298" spans="1:60" x14ac:dyDescent="0.2">
      <c r="A298" s="61">
        <f ca="1">RANK(W298,W$12:W$311,0)+COUNTIF(W$12:W298,W298)-1</f>
        <v>14</v>
      </c>
      <c r="B298" s="55">
        <f>'Etape 1'!A294</f>
        <v>287</v>
      </c>
      <c r="C298" s="55">
        <f>'Etape 1'!B294</f>
        <v>0</v>
      </c>
      <c r="D298" s="55">
        <f>'Etape 1'!C294</f>
        <v>0</v>
      </c>
      <c r="E298" s="55">
        <f>'Etape 1'!D294</f>
        <v>0</v>
      </c>
      <c r="F298" s="55">
        <f>'Etape 1'!E294</f>
        <v>0</v>
      </c>
      <c r="G298" s="55">
        <f>'Etape 1'!F294</f>
        <v>0</v>
      </c>
      <c r="H298" s="55">
        <f>'Etape 1'!G294</f>
        <v>0</v>
      </c>
      <c r="I298" s="209">
        <v>1</v>
      </c>
      <c r="J298" s="58">
        <f t="shared" si="289"/>
        <v>0</v>
      </c>
      <c r="K298" s="21">
        <f t="shared" si="241"/>
        <v>0</v>
      </c>
      <c r="L298" s="21">
        <f t="shared" si="242"/>
        <v>0</v>
      </c>
      <c r="M298" s="21">
        <f t="shared" ca="1" si="243"/>
        <v>3</v>
      </c>
      <c r="N298" s="21">
        <f t="shared" ca="1" si="244"/>
        <v>3</v>
      </c>
      <c r="O298" s="21">
        <f t="shared" ca="1" si="245"/>
        <v>0</v>
      </c>
      <c r="P298" s="262" t="str">
        <f>IF('Etape 1'!J294=999,"",IF('Etape 1'!J294=9999,txt_Schritt1.Angaben.fehlen,VLOOKUP(N298,Matrix_1.2.3.Test.Punkte.ID.Beurteilung,4,1)))</f>
        <v/>
      </c>
      <c r="Q298" s="21">
        <f t="shared" ca="1" si="246"/>
        <v>0</v>
      </c>
      <c r="R298" s="136">
        <f t="shared" si="282"/>
        <v>287</v>
      </c>
      <c r="S298" s="136">
        <f t="shared" ca="1" si="279"/>
        <v>162.95348837209303</v>
      </c>
      <c r="T298" s="136">
        <f t="shared" ca="1" si="283"/>
        <v>750.95348837209303</v>
      </c>
      <c r="U298" s="136">
        <f t="shared" ca="1" si="284"/>
        <v>1224000.953488372</v>
      </c>
      <c r="V298" s="211">
        <f t="shared" ca="1" si="285"/>
        <v>235407.1455326915</v>
      </c>
      <c r="W298" s="136">
        <f t="shared" ca="1" si="280"/>
        <v>287</v>
      </c>
      <c r="X298" s="136">
        <f t="shared" ca="1" si="247"/>
        <v>162.999000999001</v>
      </c>
      <c r="Y298" s="21">
        <f t="shared" si="248"/>
        <v>1</v>
      </c>
      <c r="Z298" s="21" t="str">
        <f t="shared" si="249"/>
        <v>&lt;IE0</v>
      </c>
      <c r="AA298" s="21">
        <f t="shared" si="250"/>
        <v>1</v>
      </c>
      <c r="AB298" s="21" t="str">
        <f t="shared" si="251"/>
        <v>a - "&lt; 1990 (Eff3)"</v>
      </c>
      <c r="AC298" s="21">
        <f t="shared" si="252"/>
        <v>999999</v>
      </c>
      <c r="AD298" s="21" t="str">
        <f t="shared" si="253"/>
        <v/>
      </c>
      <c r="AE298" s="21" t="str">
        <f t="shared" si="254"/>
        <v/>
      </c>
      <c r="AF298" s="21" t="str">
        <f t="shared" si="255"/>
        <v/>
      </c>
      <c r="AG298" s="21">
        <f t="shared" si="256"/>
        <v>0</v>
      </c>
      <c r="AH298" s="21">
        <f>IF('Etape 1'!H294=St.Wert_Hacken,1,0)</f>
        <v>0</v>
      </c>
      <c r="AI298" s="21">
        <f t="shared" si="257"/>
        <v>0</v>
      </c>
      <c r="AJ298" s="21">
        <f t="shared" si="258"/>
        <v>1000999</v>
      </c>
      <c r="AK298" s="58">
        <f t="shared" si="259"/>
        <v>1100</v>
      </c>
      <c r="AL298" s="58">
        <f t="shared" si="260"/>
        <v>440</v>
      </c>
      <c r="AM298" s="21">
        <f t="shared" si="261"/>
        <v>0</v>
      </c>
      <c r="AN298" s="58">
        <f t="shared" si="262"/>
        <v>1</v>
      </c>
      <c r="AO298" s="58" t="str">
        <f t="shared" si="263"/>
        <v>114</v>
      </c>
      <c r="AP298" s="58" t="str">
        <f t="shared" si="264"/>
        <v>164</v>
      </c>
      <c r="AQ298" s="21" t="e">
        <f t="shared" si="265"/>
        <v>#NUM!</v>
      </c>
      <c r="AR298" s="21" t="e">
        <f t="shared" si="266"/>
        <v>#NUM!</v>
      </c>
      <c r="AS298" s="136" t="e">
        <f t="shared" si="286"/>
        <v>#NUM!</v>
      </c>
      <c r="AT298" s="59" t="e">
        <f t="shared" si="267"/>
        <v>#NUM!</v>
      </c>
      <c r="AU298" s="21" t="e">
        <f t="shared" si="268"/>
        <v>#NUM!</v>
      </c>
      <c r="AV298" s="58">
        <f t="shared" si="269"/>
        <v>1500</v>
      </c>
      <c r="AW298" s="58">
        <f t="shared" si="270"/>
        <v>600</v>
      </c>
      <c r="AX298" s="60">
        <f t="shared" si="271"/>
        <v>0.11</v>
      </c>
      <c r="AY298" s="212">
        <f t="shared" si="287"/>
        <v>0</v>
      </c>
      <c r="AZ298" s="59">
        <f t="shared" si="272"/>
        <v>0</v>
      </c>
      <c r="BA298" s="21" t="e">
        <f t="shared" si="273"/>
        <v>#DIV/0!</v>
      </c>
      <c r="BB298" s="58">
        <f t="shared" si="274"/>
        <v>2900</v>
      </c>
      <c r="BC298" s="58">
        <f t="shared" si="275"/>
        <v>1160</v>
      </c>
      <c r="BD298" s="60">
        <f t="shared" si="276"/>
        <v>0.15</v>
      </c>
      <c r="BE298" s="212" t="e">
        <f t="shared" si="288"/>
        <v>#NUM!</v>
      </c>
      <c r="BF298" s="59" t="e">
        <f t="shared" si="277"/>
        <v>#NUM!</v>
      </c>
      <c r="BG298" s="21" t="e">
        <f t="shared" si="278"/>
        <v>#NUM!</v>
      </c>
      <c r="BH298" s="55">
        <f t="shared" ca="1" si="281"/>
        <v>0</v>
      </c>
    </row>
    <row r="299" spans="1:60" x14ac:dyDescent="0.2">
      <c r="A299" s="61">
        <f ca="1">RANK(W299,W$12:W$311,0)+COUNTIF(W$12:W299,W299)-1</f>
        <v>13</v>
      </c>
      <c r="B299" s="55">
        <f>'Etape 1'!A295</f>
        <v>288</v>
      </c>
      <c r="C299" s="55">
        <f>'Etape 1'!B295</f>
        <v>0</v>
      </c>
      <c r="D299" s="55">
        <f>'Etape 1'!C295</f>
        <v>0</v>
      </c>
      <c r="E299" s="55">
        <f>'Etape 1'!D295</f>
        <v>0</v>
      </c>
      <c r="F299" s="55">
        <f>'Etape 1'!E295</f>
        <v>0</v>
      </c>
      <c r="G299" s="55">
        <f>'Etape 1'!F295</f>
        <v>0</v>
      </c>
      <c r="H299" s="55">
        <f>'Etape 1'!G295</f>
        <v>0</v>
      </c>
      <c r="I299" s="209">
        <v>1</v>
      </c>
      <c r="J299" s="58">
        <f t="shared" si="289"/>
        <v>0</v>
      </c>
      <c r="K299" s="21">
        <f t="shared" si="241"/>
        <v>0</v>
      </c>
      <c r="L299" s="21">
        <f t="shared" si="242"/>
        <v>0</v>
      </c>
      <c r="M299" s="21">
        <f t="shared" ca="1" si="243"/>
        <v>3</v>
      </c>
      <c r="N299" s="21">
        <f t="shared" ca="1" si="244"/>
        <v>3</v>
      </c>
      <c r="O299" s="21">
        <f t="shared" ca="1" si="245"/>
        <v>0</v>
      </c>
      <c r="P299" s="262" t="str">
        <f>IF('Etape 1'!J295=999,"",IF('Etape 1'!J295=9999,txt_Schritt1.Angaben.fehlen,VLOOKUP(N299,Matrix_1.2.3.Test.Punkte.ID.Beurteilung,4,1)))</f>
        <v/>
      </c>
      <c r="Q299" s="21">
        <f t="shared" ca="1" si="246"/>
        <v>0</v>
      </c>
      <c r="R299" s="136">
        <f t="shared" si="282"/>
        <v>288</v>
      </c>
      <c r="S299" s="136">
        <f t="shared" ca="1" si="279"/>
        <v>162.95681063122925</v>
      </c>
      <c r="T299" s="136">
        <f t="shared" ca="1" si="283"/>
        <v>750.95681063122925</v>
      </c>
      <c r="U299" s="136">
        <f t="shared" ca="1" si="284"/>
        <v>1224000.9568106313</v>
      </c>
      <c r="V299" s="211">
        <f t="shared" ca="1" si="285"/>
        <v>235407.14885495065</v>
      </c>
      <c r="W299" s="136">
        <f t="shared" ca="1" si="280"/>
        <v>288</v>
      </c>
      <c r="X299" s="136">
        <f t="shared" ca="1" si="247"/>
        <v>162.999000999001</v>
      </c>
      <c r="Y299" s="21">
        <f t="shared" si="248"/>
        <v>1</v>
      </c>
      <c r="Z299" s="21" t="str">
        <f t="shared" si="249"/>
        <v>&lt;IE0</v>
      </c>
      <c r="AA299" s="21">
        <f t="shared" si="250"/>
        <v>1</v>
      </c>
      <c r="AB299" s="21" t="str">
        <f t="shared" si="251"/>
        <v>a - "&lt; 1990 (Eff3)"</v>
      </c>
      <c r="AC299" s="21">
        <f t="shared" si="252"/>
        <v>999999</v>
      </c>
      <c r="AD299" s="21" t="str">
        <f t="shared" si="253"/>
        <v/>
      </c>
      <c r="AE299" s="21" t="str">
        <f t="shared" si="254"/>
        <v/>
      </c>
      <c r="AF299" s="21" t="str">
        <f t="shared" si="255"/>
        <v/>
      </c>
      <c r="AG299" s="21">
        <f t="shared" si="256"/>
        <v>0</v>
      </c>
      <c r="AH299" s="21">
        <f>IF('Etape 1'!H295=St.Wert_Hacken,1,0)</f>
        <v>0</v>
      </c>
      <c r="AI299" s="21">
        <f t="shared" si="257"/>
        <v>0</v>
      </c>
      <c r="AJ299" s="21">
        <f t="shared" si="258"/>
        <v>1000999</v>
      </c>
      <c r="AK299" s="58">
        <f t="shared" si="259"/>
        <v>1100</v>
      </c>
      <c r="AL299" s="58">
        <f t="shared" si="260"/>
        <v>440</v>
      </c>
      <c r="AM299" s="21">
        <f t="shared" si="261"/>
        <v>0</v>
      </c>
      <c r="AN299" s="58">
        <f t="shared" si="262"/>
        <v>1</v>
      </c>
      <c r="AO299" s="58" t="str">
        <f t="shared" si="263"/>
        <v>114</v>
      </c>
      <c r="AP299" s="58" t="str">
        <f t="shared" si="264"/>
        <v>164</v>
      </c>
      <c r="AQ299" s="21" t="e">
        <f t="shared" si="265"/>
        <v>#NUM!</v>
      </c>
      <c r="AR299" s="21" t="e">
        <f t="shared" si="266"/>
        <v>#NUM!</v>
      </c>
      <c r="AS299" s="136" t="e">
        <f t="shared" si="286"/>
        <v>#NUM!</v>
      </c>
      <c r="AT299" s="59" t="e">
        <f t="shared" si="267"/>
        <v>#NUM!</v>
      </c>
      <c r="AU299" s="21" t="e">
        <f t="shared" si="268"/>
        <v>#NUM!</v>
      </c>
      <c r="AV299" s="58">
        <f t="shared" si="269"/>
        <v>1500</v>
      </c>
      <c r="AW299" s="58">
        <f t="shared" si="270"/>
        <v>600</v>
      </c>
      <c r="AX299" s="60">
        <f t="shared" si="271"/>
        <v>0.11</v>
      </c>
      <c r="AY299" s="212">
        <f t="shared" si="287"/>
        <v>0</v>
      </c>
      <c r="AZ299" s="59">
        <f t="shared" si="272"/>
        <v>0</v>
      </c>
      <c r="BA299" s="21" t="e">
        <f t="shared" si="273"/>
        <v>#DIV/0!</v>
      </c>
      <c r="BB299" s="58">
        <f t="shared" si="274"/>
        <v>2900</v>
      </c>
      <c r="BC299" s="58">
        <f t="shared" si="275"/>
        <v>1160</v>
      </c>
      <c r="BD299" s="60">
        <f t="shared" si="276"/>
        <v>0.15</v>
      </c>
      <c r="BE299" s="212" t="e">
        <f t="shared" si="288"/>
        <v>#NUM!</v>
      </c>
      <c r="BF299" s="59" t="e">
        <f t="shared" si="277"/>
        <v>#NUM!</v>
      </c>
      <c r="BG299" s="21" t="e">
        <f t="shared" si="278"/>
        <v>#NUM!</v>
      </c>
      <c r="BH299" s="55">
        <f t="shared" ca="1" si="281"/>
        <v>0</v>
      </c>
    </row>
    <row r="300" spans="1:60" x14ac:dyDescent="0.2">
      <c r="A300" s="61">
        <f ca="1">RANK(W300,W$12:W$311,0)+COUNTIF(W$12:W300,W300)-1</f>
        <v>12</v>
      </c>
      <c r="B300" s="55">
        <f>'Etape 1'!A296</f>
        <v>289</v>
      </c>
      <c r="C300" s="55">
        <f>'Etape 1'!B296</f>
        <v>0</v>
      </c>
      <c r="D300" s="55">
        <f>'Etape 1'!C296</f>
        <v>0</v>
      </c>
      <c r="E300" s="55">
        <f>'Etape 1'!D296</f>
        <v>0</v>
      </c>
      <c r="F300" s="55">
        <f>'Etape 1'!E296</f>
        <v>0</v>
      </c>
      <c r="G300" s="55">
        <f>'Etape 1'!F296</f>
        <v>0</v>
      </c>
      <c r="H300" s="55">
        <f>'Etape 1'!G296</f>
        <v>0</v>
      </c>
      <c r="I300" s="209">
        <v>1</v>
      </c>
      <c r="J300" s="58">
        <f t="shared" si="289"/>
        <v>0</v>
      </c>
      <c r="K300" s="21">
        <f t="shared" si="241"/>
        <v>0</v>
      </c>
      <c r="L300" s="21">
        <f t="shared" si="242"/>
        <v>0</v>
      </c>
      <c r="M300" s="21">
        <f t="shared" ca="1" si="243"/>
        <v>3</v>
      </c>
      <c r="N300" s="21">
        <f t="shared" ca="1" si="244"/>
        <v>3</v>
      </c>
      <c r="O300" s="21">
        <f t="shared" ca="1" si="245"/>
        <v>0</v>
      </c>
      <c r="P300" s="262" t="str">
        <f>IF('Etape 1'!J296=999,"",IF('Etape 1'!J296=9999,txt_Schritt1.Angaben.fehlen,VLOOKUP(N300,Matrix_1.2.3.Test.Punkte.ID.Beurteilung,4,1)))</f>
        <v/>
      </c>
      <c r="Q300" s="21">
        <f t="shared" ca="1" si="246"/>
        <v>0</v>
      </c>
      <c r="R300" s="136">
        <f t="shared" si="282"/>
        <v>289</v>
      </c>
      <c r="S300" s="136">
        <f t="shared" ca="1" si="279"/>
        <v>162.96013289036546</v>
      </c>
      <c r="T300" s="136">
        <f t="shared" ca="1" si="283"/>
        <v>750.96013289036546</v>
      </c>
      <c r="U300" s="136">
        <f t="shared" ca="1" si="284"/>
        <v>1224000.9601328904</v>
      </c>
      <c r="V300" s="211">
        <f t="shared" ca="1" si="285"/>
        <v>235407.15217720976</v>
      </c>
      <c r="W300" s="136">
        <f t="shared" ca="1" si="280"/>
        <v>289</v>
      </c>
      <c r="X300" s="136">
        <f t="shared" ca="1" si="247"/>
        <v>162.999000999001</v>
      </c>
      <c r="Y300" s="21">
        <f t="shared" si="248"/>
        <v>1</v>
      </c>
      <c r="Z300" s="21" t="str">
        <f t="shared" si="249"/>
        <v>&lt;IE0</v>
      </c>
      <c r="AA300" s="21">
        <f t="shared" si="250"/>
        <v>1</v>
      </c>
      <c r="AB300" s="21" t="str">
        <f t="shared" si="251"/>
        <v>a - "&lt; 1990 (Eff3)"</v>
      </c>
      <c r="AC300" s="21">
        <f t="shared" si="252"/>
        <v>999999</v>
      </c>
      <c r="AD300" s="21" t="str">
        <f t="shared" si="253"/>
        <v/>
      </c>
      <c r="AE300" s="21" t="str">
        <f t="shared" si="254"/>
        <v/>
      </c>
      <c r="AF300" s="21" t="str">
        <f t="shared" si="255"/>
        <v/>
      </c>
      <c r="AG300" s="21">
        <f t="shared" si="256"/>
        <v>0</v>
      </c>
      <c r="AH300" s="21">
        <f>IF('Etape 1'!H296=St.Wert_Hacken,1,0)</f>
        <v>0</v>
      </c>
      <c r="AI300" s="21">
        <f t="shared" si="257"/>
        <v>0</v>
      </c>
      <c r="AJ300" s="21">
        <f t="shared" si="258"/>
        <v>1000999</v>
      </c>
      <c r="AK300" s="58">
        <f t="shared" si="259"/>
        <v>1100</v>
      </c>
      <c r="AL300" s="58">
        <f t="shared" si="260"/>
        <v>440</v>
      </c>
      <c r="AM300" s="21">
        <f t="shared" si="261"/>
        <v>0</v>
      </c>
      <c r="AN300" s="58">
        <f t="shared" si="262"/>
        <v>1</v>
      </c>
      <c r="AO300" s="58" t="str">
        <f t="shared" si="263"/>
        <v>114</v>
      </c>
      <c r="AP300" s="58" t="str">
        <f t="shared" si="264"/>
        <v>164</v>
      </c>
      <c r="AQ300" s="21" t="e">
        <f t="shared" si="265"/>
        <v>#NUM!</v>
      </c>
      <c r="AR300" s="21" t="e">
        <f t="shared" si="266"/>
        <v>#NUM!</v>
      </c>
      <c r="AS300" s="136" t="e">
        <f t="shared" si="286"/>
        <v>#NUM!</v>
      </c>
      <c r="AT300" s="59" t="e">
        <f t="shared" si="267"/>
        <v>#NUM!</v>
      </c>
      <c r="AU300" s="21" t="e">
        <f t="shared" si="268"/>
        <v>#NUM!</v>
      </c>
      <c r="AV300" s="58">
        <f t="shared" si="269"/>
        <v>1500</v>
      </c>
      <c r="AW300" s="58">
        <f t="shared" si="270"/>
        <v>600</v>
      </c>
      <c r="AX300" s="60">
        <f t="shared" si="271"/>
        <v>0.11</v>
      </c>
      <c r="AY300" s="212">
        <f t="shared" si="287"/>
        <v>0</v>
      </c>
      <c r="AZ300" s="59">
        <f t="shared" si="272"/>
        <v>0</v>
      </c>
      <c r="BA300" s="21" t="e">
        <f t="shared" si="273"/>
        <v>#DIV/0!</v>
      </c>
      <c r="BB300" s="58">
        <f t="shared" si="274"/>
        <v>2900</v>
      </c>
      <c r="BC300" s="58">
        <f t="shared" si="275"/>
        <v>1160</v>
      </c>
      <c r="BD300" s="60">
        <f t="shared" si="276"/>
        <v>0.15</v>
      </c>
      <c r="BE300" s="212" t="e">
        <f t="shared" si="288"/>
        <v>#NUM!</v>
      </c>
      <c r="BF300" s="59" t="e">
        <f t="shared" si="277"/>
        <v>#NUM!</v>
      </c>
      <c r="BG300" s="21" t="e">
        <f t="shared" si="278"/>
        <v>#NUM!</v>
      </c>
      <c r="BH300" s="55">
        <f t="shared" ca="1" si="281"/>
        <v>0</v>
      </c>
    </row>
    <row r="301" spans="1:60" x14ac:dyDescent="0.2">
      <c r="A301" s="61">
        <f ca="1">RANK(W301,W$12:W$311,0)+COUNTIF(W$12:W301,W301)-1</f>
        <v>11</v>
      </c>
      <c r="B301" s="55">
        <f>'Etape 1'!A297</f>
        <v>290</v>
      </c>
      <c r="C301" s="55">
        <f>'Etape 1'!B297</f>
        <v>0</v>
      </c>
      <c r="D301" s="55">
        <f>'Etape 1'!C297</f>
        <v>0</v>
      </c>
      <c r="E301" s="55">
        <f>'Etape 1'!D297</f>
        <v>0</v>
      </c>
      <c r="F301" s="55">
        <f>'Etape 1'!E297</f>
        <v>0</v>
      </c>
      <c r="G301" s="55">
        <f>'Etape 1'!F297</f>
        <v>0</v>
      </c>
      <c r="H301" s="55">
        <f>'Etape 1'!G297</f>
        <v>0</v>
      </c>
      <c r="I301" s="209">
        <v>1</v>
      </c>
      <c r="J301" s="58">
        <f t="shared" si="289"/>
        <v>0</v>
      </c>
      <c r="K301" s="21">
        <f t="shared" si="241"/>
        <v>0</v>
      </c>
      <c r="L301" s="21">
        <f t="shared" si="242"/>
        <v>0</v>
      </c>
      <c r="M301" s="21">
        <f t="shared" ca="1" si="243"/>
        <v>3</v>
      </c>
      <c r="N301" s="21">
        <f t="shared" ca="1" si="244"/>
        <v>3</v>
      </c>
      <c r="O301" s="21">
        <f t="shared" ca="1" si="245"/>
        <v>0</v>
      </c>
      <c r="P301" s="262" t="str">
        <f>IF('Etape 1'!J297=999,"",IF('Etape 1'!J297=9999,txt_Schritt1.Angaben.fehlen,VLOOKUP(N301,Matrix_1.2.3.Test.Punkte.ID.Beurteilung,4,1)))</f>
        <v/>
      </c>
      <c r="Q301" s="21">
        <f t="shared" ca="1" si="246"/>
        <v>0</v>
      </c>
      <c r="R301" s="136">
        <f t="shared" si="282"/>
        <v>290</v>
      </c>
      <c r="S301" s="136">
        <f t="shared" ca="1" si="279"/>
        <v>162.96345514950167</v>
      </c>
      <c r="T301" s="136">
        <f t="shared" ca="1" si="283"/>
        <v>750.96345514950167</v>
      </c>
      <c r="U301" s="136">
        <f t="shared" ca="1" si="284"/>
        <v>1224000.9634551494</v>
      </c>
      <c r="V301" s="211">
        <f t="shared" ca="1" si="285"/>
        <v>235407.15549946891</v>
      </c>
      <c r="W301" s="136">
        <f t="shared" ca="1" si="280"/>
        <v>290</v>
      </c>
      <c r="X301" s="136">
        <f t="shared" ca="1" si="247"/>
        <v>162.999000999001</v>
      </c>
      <c r="Y301" s="21">
        <f t="shared" si="248"/>
        <v>1</v>
      </c>
      <c r="Z301" s="21" t="str">
        <f t="shared" si="249"/>
        <v>&lt;IE0</v>
      </c>
      <c r="AA301" s="21">
        <f t="shared" si="250"/>
        <v>1</v>
      </c>
      <c r="AB301" s="21" t="str">
        <f t="shared" si="251"/>
        <v>a - "&lt; 1990 (Eff3)"</v>
      </c>
      <c r="AC301" s="21">
        <f t="shared" si="252"/>
        <v>999999</v>
      </c>
      <c r="AD301" s="21" t="str">
        <f t="shared" si="253"/>
        <v/>
      </c>
      <c r="AE301" s="21" t="str">
        <f t="shared" si="254"/>
        <v/>
      </c>
      <c r="AF301" s="21" t="str">
        <f t="shared" si="255"/>
        <v/>
      </c>
      <c r="AG301" s="21">
        <f t="shared" si="256"/>
        <v>0</v>
      </c>
      <c r="AH301" s="21">
        <f>IF('Etape 1'!H297=St.Wert_Hacken,1,0)</f>
        <v>0</v>
      </c>
      <c r="AI301" s="21">
        <f t="shared" si="257"/>
        <v>0</v>
      </c>
      <c r="AJ301" s="21">
        <f t="shared" si="258"/>
        <v>1000999</v>
      </c>
      <c r="AK301" s="58">
        <f t="shared" si="259"/>
        <v>1100</v>
      </c>
      <c r="AL301" s="58">
        <f t="shared" si="260"/>
        <v>440</v>
      </c>
      <c r="AM301" s="21">
        <f t="shared" si="261"/>
        <v>0</v>
      </c>
      <c r="AN301" s="58">
        <f t="shared" si="262"/>
        <v>1</v>
      </c>
      <c r="AO301" s="58" t="str">
        <f t="shared" si="263"/>
        <v>114</v>
      </c>
      <c r="AP301" s="58" t="str">
        <f t="shared" si="264"/>
        <v>164</v>
      </c>
      <c r="AQ301" s="21" t="e">
        <f t="shared" si="265"/>
        <v>#NUM!</v>
      </c>
      <c r="AR301" s="21" t="e">
        <f t="shared" si="266"/>
        <v>#NUM!</v>
      </c>
      <c r="AS301" s="136" t="e">
        <f t="shared" si="286"/>
        <v>#NUM!</v>
      </c>
      <c r="AT301" s="59" t="e">
        <f t="shared" si="267"/>
        <v>#NUM!</v>
      </c>
      <c r="AU301" s="21" t="e">
        <f t="shared" si="268"/>
        <v>#NUM!</v>
      </c>
      <c r="AV301" s="58">
        <f t="shared" si="269"/>
        <v>1500</v>
      </c>
      <c r="AW301" s="58">
        <f t="shared" si="270"/>
        <v>600</v>
      </c>
      <c r="AX301" s="60">
        <f t="shared" si="271"/>
        <v>0.11</v>
      </c>
      <c r="AY301" s="212">
        <f t="shared" si="287"/>
        <v>0</v>
      </c>
      <c r="AZ301" s="59">
        <f t="shared" si="272"/>
        <v>0</v>
      </c>
      <c r="BA301" s="21" t="e">
        <f t="shared" si="273"/>
        <v>#DIV/0!</v>
      </c>
      <c r="BB301" s="58">
        <f t="shared" si="274"/>
        <v>2900</v>
      </c>
      <c r="BC301" s="58">
        <f t="shared" si="275"/>
        <v>1160</v>
      </c>
      <c r="BD301" s="60">
        <f t="shared" si="276"/>
        <v>0.15</v>
      </c>
      <c r="BE301" s="212" t="e">
        <f t="shared" si="288"/>
        <v>#NUM!</v>
      </c>
      <c r="BF301" s="59" t="e">
        <f t="shared" si="277"/>
        <v>#NUM!</v>
      </c>
      <c r="BG301" s="21" t="e">
        <f t="shared" si="278"/>
        <v>#NUM!</v>
      </c>
      <c r="BH301" s="55">
        <f t="shared" ca="1" si="281"/>
        <v>0</v>
      </c>
    </row>
    <row r="302" spans="1:60" x14ac:dyDescent="0.2">
      <c r="A302" s="61">
        <f ca="1">RANK(W302,W$12:W$311,0)+COUNTIF(W$12:W302,W302)-1</f>
        <v>10</v>
      </c>
      <c r="B302" s="55">
        <f>'Etape 1'!A298</f>
        <v>291</v>
      </c>
      <c r="C302" s="55">
        <f>'Etape 1'!B298</f>
        <v>0</v>
      </c>
      <c r="D302" s="55">
        <f>'Etape 1'!C298</f>
        <v>0</v>
      </c>
      <c r="E302" s="55">
        <f>'Etape 1'!D298</f>
        <v>0</v>
      </c>
      <c r="F302" s="55">
        <f>'Etape 1'!E298</f>
        <v>0</v>
      </c>
      <c r="G302" s="55">
        <f>'Etape 1'!F298</f>
        <v>0</v>
      </c>
      <c r="H302" s="55">
        <f>'Etape 1'!G298</f>
        <v>0</v>
      </c>
      <c r="I302" s="209">
        <v>1</v>
      </c>
      <c r="J302" s="58">
        <f t="shared" si="289"/>
        <v>0</v>
      </c>
      <c r="K302" s="21">
        <f t="shared" si="241"/>
        <v>0</v>
      </c>
      <c r="L302" s="21">
        <f t="shared" si="242"/>
        <v>0</v>
      </c>
      <c r="M302" s="21">
        <f t="shared" ca="1" si="243"/>
        <v>3</v>
      </c>
      <c r="N302" s="21">
        <f t="shared" ca="1" si="244"/>
        <v>3</v>
      </c>
      <c r="O302" s="21">
        <f t="shared" ca="1" si="245"/>
        <v>0</v>
      </c>
      <c r="P302" s="262" t="str">
        <f>IF('Etape 1'!J298=999,"",IF('Etape 1'!J298=9999,txt_Schritt1.Angaben.fehlen,VLOOKUP(N302,Matrix_1.2.3.Test.Punkte.ID.Beurteilung,4,1)))</f>
        <v/>
      </c>
      <c r="Q302" s="21">
        <f t="shared" ca="1" si="246"/>
        <v>0</v>
      </c>
      <c r="R302" s="136">
        <f t="shared" si="282"/>
        <v>291</v>
      </c>
      <c r="S302" s="136">
        <f t="shared" ca="1" si="279"/>
        <v>162.96677740863788</v>
      </c>
      <c r="T302" s="136">
        <f t="shared" ca="1" si="283"/>
        <v>750.96677740863788</v>
      </c>
      <c r="U302" s="136">
        <f t="shared" ca="1" si="284"/>
        <v>1224000.9667774087</v>
      </c>
      <c r="V302" s="211">
        <f t="shared" ca="1" si="285"/>
        <v>235407.15882172805</v>
      </c>
      <c r="W302" s="136">
        <f t="shared" ca="1" si="280"/>
        <v>291</v>
      </c>
      <c r="X302" s="136">
        <f t="shared" ca="1" si="247"/>
        <v>162.999000999001</v>
      </c>
      <c r="Y302" s="21">
        <f t="shared" si="248"/>
        <v>1</v>
      </c>
      <c r="Z302" s="21" t="str">
        <f t="shared" si="249"/>
        <v>&lt;IE0</v>
      </c>
      <c r="AA302" s="21">
        <f t="shared" si="250"/>
        <v>1</v>
      </c>
      <c r="AB302" s="21" t="str">
        <f t="shared" si="251"/>
        <v>a - "&lt; 1990 (Eff3)"</v>
      </c>
      <c r="AC302" s="21">
        <f t="shared" si="252"/>
        <v>999999</v>
      </c>
      <c r="AD302" s="21" t="str">
        <f t="shared" si="253"/>
        <v/>
      </c>
      <c r="AE302" s="21" t="str">
        <f t="shared" si="254"/>
        <v/>
      </c>
      <c r="AF302" s="21" t="str">
        <f t="shared" si="255"/>
        <v/>
      </c>
      <c r="AG302" s="21">
        <f t="shared" si="256"/>
        <v>0</v>
      </c>
      <c r="AH302" s="21">
        <f>IF('Etape 1'!H298=St.Wert_Hacken,1,0)</f>
        <v>0</v>
      </c>
      <c r="AI302" s="21">
        <f t="shared" si="257"/>
        <v>0</v>
      </c>
      <c r="AJ302" s="21">
        <f t="shared" si="258"/>
        <v>1000999</v>
      </c>
      <c r="AK302" s="58">
        <f t="shared" si="259"/>
        <v>1100</v>
      </c>
      <c r="AL302" s="58">
        <f t="shared" si="260"/>
        <v>440</v>
      </c>
      <c r="AM302" s="21">
        <f t="shared" si="261"/>
        <v>0</v>
      </c>
      <c r="AN302" s="58">
        <f t="shared" si="262"/>
        <v>1</v>
      </c>
      <c r="AO302" s="58" t="str">
        <f t="shared" si="263"/>
        <v>114</v>
      </c>
      <c r="AP302" s="58" t="str">
        <f t="shared" si="264"/>
        <v>164</v>
      </c>
      <c r="AQ302" s="21" t="e">
        <f t="shared" si="265"/>
        <v>#NUM!</v>
      </c>
      <c r="AR302" s="21" t="e">
        <f t="shared" si="266"/>
        <v>#NUM!</v>
      </c>
      <c r="AS302" s="136" t="e">
        <f t="shared" si="286"/>
        <v>#NUM!</v>
      </c>
      <c r="AT302" s="59" t="e">
        <f t="shared" si="267"/>
        <v>#NUM!</v>
      </c>
      <c r="AU302" s="21" t="e">
        <f t="shared" si="268"/>
        <v>#NUM!</v>
      </c>
      <c r="AV302" s="58">
        <f t="shared" si="269"/>
        <v>1500</v>
      </c>
      <c r="AW302" s="58">
        <f t="shared" si="270"/>
        <v>600</v>
      </c>
      <c r="AX302" s="60">
        <f t="shared" si="271"/>
        <v>0.11</v>
      </c>
      <c r="AY302" s="212">
        <f t="shared" si="287"/>
        <v>0</v>
      </c>
      <c r="AZ302" s="59">
        <f t="shared" si="272"/>
        <v>0</v>
      </c>
      <c r="BA302" s="21" t="e">
        <f t="shared" si="273"/>
        <v>#DIV/0!</v>
      </c>
      <c r="BB302" s="58">
        <f t="shared" si="274"/>
        <v>2900</v>
      </c>
      <c r="BC302" s="58">
        <f t="shared" si="275"/>
        <v>1160</v>
      </c>
      <c r="BD302" s="60">
        <f t="shared" si="276"/>
        <v>0.15</v>
      </c>
      <c r="BE302" s="212" t="e">
        <f t="shared" si="288"/>
        <v>#NUM!</v>
      </c>
      <c r="BF302" s="59" t="e">
        <f t="shared" si="277"/>
        <v>#NUM!</v>
      </c>
      <c r="BG302" s="21" t="e">
        <f t="shared" si="278"/>
        <v>#NUM!</v>
      </c>
      <c r="BH302" s="55">
        <f t="shared" ca="1" si="281"/>
        <v>0</v>
      </c>
    </row>
    <row r="303" spans="1:60" x14ac:dyDescent="0.2">
      <c r="A303" s="61">
        <f ca="1">RANK(W303,W$12:W$311,0)+COUNTIF(W$12:W303,W303)-1</f>
        <v>9</v>
      </c>
      <c r="B303" s="55">
        <f>'Etape 1'!A299</f>
        <v>292</v>
      </c>
      <c r="C303" s="55">
        <f>'Etape 1'!B299</f>
        <v>0</v>
      </c>
      <c r="D303" s="55">
        <f>'Etape 1'!C299</f>
        <v>0</v>
      </c>
      <c r="E303" s="55">
        <f>'Etape 1'!D299</f>
        <v>0</v>
      </c>
      <c r="F303" s="55">
        <f>'Etape 1'!E299</f>
        <v>0</v>
      </c>
      <c r="G303" s="55">
        <f>'Etape 1'!F299</f>
        <v>0</v>
      </c>
      <c r="H303" s="55">
        <f>'Etape 1'!G299</f>
        <v>0</v>
      </c>
      <c r="I303" s="209">
        <v>1</v>
      </c>
      <c r="J303" s="58">
        <f t="shared" si="289"/>
        <v>0</v>
      </c>
      <c r="K303" s="21">
        <f t="shared" ref="K303:K311" si="290">VLOOKUP(F303,Matrix_1.2.3.Test.Leistung.Punkte,2,TRUE)</f>
        <v>0</v>
      </c>
      <c r="L303" s="21">
        <f t="shared" ref="L303:L311" si="291">VLOOKUP(G303,Matrix_1.2.3.Test.Betriebszeit.Punkte,2,TRUE)</f>
        <v>0</v>
      </c>
      <c r="M303" s="21">
        <f t="shared" ref="M303:M311" ca="1" si="292">IF(H303=0,3,VLOOKUP(YEAR(TODAY())-H303,Matrix_1.2.3.Test.Alter.Punkte,2,TRUE))</f>
        <v>3</v>
      </c>
      <c r="N303" s="21">
        <f t="shared" ref="N303:N311" ca="1" si="293">M303+Wert_1.2.3.Test.Faktor.A*L303*K303</f>
        <v>3</v>
      </c>
      <c r="O303" s="21">
        <f t="shared" ref="O303:O311" ca="1" si="294">VLOOKUP(N303,Matrix_1.2.3.Test.Punkte.ID.Beurteilung,3,TRUE)</f>
        <v>0</v>
      </c>
      <c r="P303" s="262" t="str">
        <f>IF('Etape 1'!J299=999,"",IF('Etape 1'!J299=9999,txt_Schritt1.Angaben.fehlen,VLOOKUP(N303,Matrix_1.2.3.Test.Punkte.ID.Beurteilung,4,1)))</f>
        <v/>
      </c>
      <c r="Q303" s="21">
        <f t="shared" ref="Q303:Q311" ca="1" si="295">IF(AH303=1,1,O303)</f>
        <v>0</v>
      </c>
      <c r="R303" s="136">
        <f t="shared" si="282"/>
        <v>292</v>
      </c>
      <c r="S303" s="136">
        <f t="shared" ca="1" si="279"/>
        <v>162.97009966777409</v>
      </c>
      <c r="T303" s="136">
        <f t="shared" ca="1" si="283"/>
        <v>750.97009966777409</v>
      </c>
      <c r="U303" s="136">
        <f t="shared" ca="1" si="284"/>
        <v>1224000.9700996678</v>
      </c>
      <c r="V303" s="211">
        <f t="shared" ca="1" si="285"/>
        <v>235407.1621439872</v>
      </c>
      <c r="W303" s="136">
        <f t="shared" ca="1" si="280"/>
        <v>292</v>
      </c>
      <c r="X303" s="136">
        <f t="shared" ref="X303:X311" ca="1" si="296">IF(Q303=0,3,Q303)*St.Wert_1.2.3.Test.PkteMax-N303+IF(AC303&gt;St.Wert_Payback.Max,St.Wert_Payback.Max,AC303)/(St.Wert_Payback.Max+1)</f>
        <v>162.999000999001</v>
      </c>
      <c r="Y303" s="21">
        <f t="shared" ref="Y303:Y311" si="297">VLOOKUP(H303,Matrix_Motor.Jahr.EffKl,2,1)</f>
        <v>1</v>
      </c>
      <c r="Z303" s="21" t="str">
        <f t="shared" ref="Z303:Z311" si="298">VLOOKUP(H303,Matrix_Motor.Jahr.EffKl,3,1)</f>
        <v>&lt;IE0</v>
      </c>
      <c r="AA303" s="21">
        <f t="shared" ref="AA303:AA311" si="299">VLOOKUP(H303,Matrix_Pumpe.Jahr.EffKl,2,1)</f>
        <v>1</v>
      </c>
      <c r="AB303" s="21" t="str">
        <f t="shared" ref="AB303:AB311" si="300">VLOOKUP(H303,Matrix_Pumpe.Jahr.EffKl,3,1)</f>
        <v>a - "&lt; 1990 (Eff3)"</v>
      </c>
      <c r="AC303" s="21">
        <f t="shared" ref="AC303:AC311" si="301">IF(ISNUMBER(MIN(AU303,BA303,BG303)),MIN(AU303,BA303,BG303),St.Wert_Platzhalter.Payback)</f>
        <v>999999</v>
      </c>
      <c r="AD303" s="21" t="str">
        <f t="shared" ref="AD303:AD311" si="302">IF(AC303=St.Wert_Platzhalter.Payback,"",VLOOKUP(AC303,Matrix_Wirtschaftlichkeit.Payback.ID.Txt,2,1))</f>
        <v/>
      </c>
      <c r="AE303" s="21" t="str">
        <f t="shared" ref="AE303:AE311" si="303">IF(AC303=St.Wert_Platzhalter.Payback,"",VLOOKUP(AC303,Matrix_Wirtschaftlichkeit.Payback.ID.Txt,3,1))</f>
        <v/>
      </c>
      <c r="AF303" s="21" t="str">
        <f t="shared" ref="AF303:AF311" si="304">IF(AC303=St.Wert_Platzhalter.Payback,"",VLOOKUP(AC303,Matrix_Wirtschaftlichkeit.Payback.ID.Txt,4,1))</f>
        <v/>
      </c>
      <c r="AG303" s="21">
        <f t="shared" ref="AG303:AG311" si="305">VLOOKUP(AC303,Matrix_Wirtschaftlichkeit.Payback.ID.Txt,6,1)</f>
        <v>0</v>
      </c>
      <c r="AH303" s="21">
        <f>IF('Etape 1'!H299=St.Wert_Hacken,1,0)</f>
        <v>0</v>
      </c>
      <c r="AI303" s="21">
        <f t="shared" ref="AI303:AI311" si="306">IF(AH303=1,1,AG303)</f>
        <v>0</v>
      </c>
      <c r="AJ303" s="21">
        <f t="shared" ref="AJ303:AJ311" si="307">IF(AI303=1,IF(AC303&gt;St.Wert_Payback.Max,St.Wert_Payback.Max,AC303),AC303+St.Wert_Payback.Max)</f>
        <v>1000999</v>
      </c>
      <c r="AK303" s="58">
        <f t="shared" ref="AK303:AK311" si="308">Preis_Motor.a*F303+Preis_Motor.b+Preis_Motor.Planung</f>
        <v>1100</v>
      </c>
      <c r="AL303" s="58">
        <f t="shared" ref="AL303:AL311" si="309">AK303*IF(Wert_Wirtschaftlichkeit.EnergieAnteil.Ja.Nein.Schritt1,VLOOKUP(AA303,Matrix_Anlage.AlterID.Einsparpotential.und.EnergieAnteil,6,0),1)</f>
        <v>440</v>
      </c>
      <c r="AM303" s="21">
        <f t="shared" ref="AM303:AM311" si="310">IF(F303&lt;Wert_Motor.max.Leistung.fuer.Berechnung.Wirkungsgrad,F303,Wert_Motor.max.Leistung.fuer.Berechnung.Wirkungsgrad)</f>
        <v>0</v>
      </c>
      <c r="AN303" s="58">
        <f t="shared" ref="AN303:AN311" si="311">VLOOKUP(F303,Matrix_Motor.LeistungsKl.ID,2,1)</f>
        <v>1</v>
      </c>
      <c r="AO303" s="58" t="str">
        <f t="shared" ref="AO303:AO311" si="312">CONCATENATE(AN303,Y303,Wert_Motor.Pole.Anzahl.Schritt1)</f>
        <v>114</v>
      </c>
      <c r="AP303" s="58" t="str">
        <f t="shared" ref="AP303:AP311" si="313">CONCATENATE(AN303,Wert_Motor.IEID.neu.Schritt1,Wert_Motor.Pole.Anzahl.Schritt1)</f>
        <v>164</v>
      </c>
      <c r="AQ303" s="21" t="e">
        <f t="shared" ref="AQ303:AQ311" si="314">(VLOOKUP(AO303,Matrix_Motor.KombiKl.EffParameter,3,0)*(LOG(AM303))^3+VLOOKUP(AO303,Matrix_Motor.KombiKl.EffParameter,4,0)*(LOG(AM303))^2+VLOOKUP(AO303,Matrix_Motor.KombiKl.EffParameter,5,0)*(LOG(AM303))+VLOOKUP(AO303,Matrix_Motor.KombiKl.EffParameter,6,0))/100</f>
        <v>#NUM!</v>
      </c>
      <c r="AR303" s="21" t="e">
        <f t="shared" ref="AR303:AR311" si="315">(VLOOKUP(AP303,Matrix_Motor.KombiKl.EffParameter,3,0)*(LOG(AM303))^3+VLOOKUP(AP303,Matrix_Motor.KombiKl.EffParameter,4,0)*(LOG(AM303))^2+VLOOKUP(AP303,Matrix_Motor.KombiKl.EffParameter,5,0)*(LOG(AM303))+VLOOKUP(AP303,Matrix_Motor.KombiKl.EffParameter,6,0))/100</f>
        <v>#NUM!</v>
      </c>
      <c r="AS303" s="136" t="e">
        <f t="shared" si="286"/>
        <v>#NUM!</v>
      </c>
      <c r="AT303" s="59" t="e">
        <f t="shared" ref="AT303:AT311" si="316">AS303*Preis_Strom.Schritt1/100</f>
        <v>#NUM!</v>
      </c>
      <c r="AU303" s="21" t="e">
        <f t="shared" ref="AU303:AU311" si="317">AL303/AT303</f>
        <v>#NUM!</v>
      </c>
      <c r="AV303" s="58">
        <f t="shared" ref="AV303:AV311" si="318">Preis_FU.a*F303+Preis_FU.b+Preis_FU.Planung</f>
        <v>1500</v>
      </c>
      <c r="AW303" s="58">
        <f t="shared" ref="AW303:AW311" si="319">AV303*IF(Wert_Wirtschaftlichkeit.EnergieAnteil.Ja.Nein.Schritt1,VLOOKUP(AA303,Matrix_Anlage.AlterID.Einsparpotential.und.EnergieAnteil,6,0),1)</f>
        <v>600</v>
      </c>
      <c r="AX303" s="60">
        <f t="shared" ref="AX303:AX311" si="320">VLOOKUP(AA303,Matrix_Anlage.AlterID.Einsparpotential.und.EnergieAnteil,4,0)</f>
        <v>0.11</v>
      </c>
      <c r="AY303" s="212">
        <f t="shared" si="287"/>
        <v>0</v>
      </c>
      <c r="AZ303" s="59">
        <f t="shared" ref="AZ303:AZ311" si="321">AY303*Preis_Strom.Schritt1/100</f>
        <v>0</v>
      </c>
      <c r="BA303" s="21" t="e">
        <f t="shared" ref="BA303:BA311" si="322">AW303/AZ303</f>
        <v>#DIV/0!</v>
      </c>
      <c r="BB303" s="58">
        <f t="shared" ref="BB303:BB311" si="323">Preis_Redim.a*F303+Preis_Redim.b+Preis_Redim.Planung</f>
        <v>2900</v>
      </c>
      <c r="BC303" s="58">
        <f t="shared" ref="BC303:BC311" si="324">BB303*IF(Wert_Wirtschaftlichkeit.EnergieAnteil.Ja.Nein.Schritt1,VLOOKUP(AA303,Matrix_Anlage.AlterID.Einsparpotential.und.EnergieAnteil,6,0),1)</f>
        <v>1160</v>
      </c>
      <c r="BD303" s="60">
        <f t="shared" ref="BD303:BD311" si="325">VLOOKUP(AA303,Matrix_Anlage.AlterID.Einsparpotential.und.EnergieAnteil,5,0)</f>
        <v>0.15</v>
      </c>
      <c r="BE303" s="212" t="e">
        <f t="shared" si="288"/>
        <v>#NUM!</v>
      </c>
      <c r="BF303" s="59" t="e">
        <f t="shared" ref="BF303:BF311" si="326">BE303*Preis_Strom.Schritt1/100</f>
        <v>#NUM!</v>
      </c>
      <c r="BG303" s="21" t="e">
        <f t="shared" ref="BG303:BG311" si="327">BC303/BF303</f>
        <v>#NUM!</v>
      </c>
      <c r="BH303" s="55">
        <f t="shared" ca="1" si="281"/>
        <v>0</v>
      </c>
    </row>
    <row r="304" spans="1:60" x14ac:dyDescent="0.2">
      <c r="A304" s="61">
        <f ca="1">RANK(W304,W$12:W$311,0)+COUNTIF(W$12:W304,W304)-1</f>
        <v>8</v>
      </c>
      <c r="B304" s="55">
        <f>'Etape 1'!A300</f>
        <v>293</v>
      </c>
      <c r="C304" s="55">
        <f>'Etape 1'!B300</f>
        <v>0</v>
      </c>
      <c r="D304" s="55">
        <f>'Etape 1'!C300</f>
        <v>0</v>
      </c>
      <c r="E304" s="55">
        <f>'Etape 1'!D300</f>
        <v>0</v>
      </c>
      <c r="F304" s="55">
        <f>'Etape 1'!E300</f>
        <v>0</v>
      </c>
      <c r="G304" s="55">
        <f>'Etape 1'!F300</f>
        <v>0</v>
      </c>
      <c r="H304" s="55">
        <f>'Etape 1'!G300</f>
        <v>0</v>
      </c>
      <c r="I304" s="209">
        <v>1</v>
      </c>
      <c r="J304" s="58">
        <f t="shared" si="289"/>
        <v>0</v>
      </c>
      <c r="K304" s="21">
        <f t="shared" si="290"/>
        <v>0</v>
      </c>
      <c r="L304" s="21">
        <f t="shared" si="291"/>
        <v>0</v>
      </c>
      <c r="M304" s="21">
        <f t="shared" ca="1" si="292"/>
        <v>3</v>
      </c>
      <c r="N304" s="21">
        <f t="shared" ca="1" si="293"/>
        <v>3</v>
      </c>
      <c r="O304" s="21">
        <f t="shared" ca="1" si="294"/>
        <v>0</v>
      </c>
      <c r="P304" s="262" t="str">
        <f>IF('Etape 1'!J300=999,"",IF('Etape 1'!J300=9999,txt_Schritt1.Angaben.fehlen,VLOOKUP(N304,Matrix_1.2.3.Test.Punkte.ID.Beurteilung,4,1)))</f>
        <v/>
      </c>
      <c r="Q304" s="21">
        <f t="shared" ca="1" si="295"/>
        <v>0</v>
      </c>
      <c r="R304" s="136">
        <f t="shared" si="282"/>
        <v>293</v>
      </c>
      <c r="S304" s="136">
        <f t="shared" ca="1" si="279"/>
        <v>162.97342192691031</v>
      </c>
      <c r="T304" s="136">
        <f t="shared" ca="1" si="283"/>
        <v>750.97342192691031</v>
      </c>
      <c r="U304" s="136">
        <f t="shared" ca="1" si="284"/>
        <v>1224000.9734219268</v>
      </c>
      <c r="V304" s="211">
        <f t="shared" ca="1" si="285"/>
        <v>235407.16546624631</v>
      </c>
      <c r="W304" s="136">
        <f t="shared" ca="1" si="280"/>
        <v>293</v>
      </c>
      <c r="X304" s="136">
        <f t="shared" ca="1" si="296"/>
        <v>162.999000999001</v>
      </c>
      <c r="Y304" s="21">
        <f t="shared" si="297"/>
        <v>1</v>
      </c>
      <c r="Z304" s="21" t="str">
        <f t="shared" si="298"/>
        <v>&lt;IE0</v>
      </c>
      <c r="AA304" s="21">
        <f t="shared" si="299"/>
        <v>1</v>
      </c>
      <c r="AB304" s="21" t="str">
        <f t="shared" si="300"/>
        <v>a - "&lt; 1990 (Eff3)"</v>
      </c>
      <c r="AC304" s="21">
        <f t="shared" si="301"/>
        <v>999999</v>
      </c>
      <c r="AD304" s="21" t="str">
        <f t="shared" si="302"/>
        <v/>
      </c>
      <c r="AE304" s="21" t="str">
        <f t="shared" si="303"/>
        <v/>
      </c>
      <c r="AF304" s="21" t="str">
        <f t="shared" si="304"/>
        <v/>
      </c>
      <c r="AG304" s="21">
        <f t="shared" si="305"/>
        <v>0</v>
      </c>
      <c r="AH304" s="21">
        <f>IF('Etape 1'!H300=St.Wert_Hacken,1,0)</f>
        <v>0</v>
      </c>
      <c r="AI304" s="21">
        <f t="shared" si="306"/>
        <v>0</v>
      </c>
      <c r="AJ304" s="21">
        <f t="shared" si="307"/>
        <v>1000999</v>
      </c>
      <c r="AK304" s="58">
        <f t="shared" si="308"/>
        <v>1100</v>
      </c>
      <c r="AL304" s="58">
        <f t="shared" si="309"/>
        <v>440</v>
      </c>
      <c r="AM304" s="21">
        <f t="shared" si="310"/>
        <v>0</v>
      </c>
      <c r="AN304" s="58">
        <f t="shared" si="311"/>
        <v>1</v>
      </c>
      <c r="AO304" s="58" t="str">
        <f t="shared" si="312"/>
        <v>114</v>
      </c>
      <c r="AP304" s="58" t="str">
        <f t="shared" si="313"/>
        <v>164</v>
      </c>
      <c r="AQ304" s="21" t="e">
        <f t="shared" si="314"/>
        <v>#NUM!</v>
      </c>
      <c r="AR304" s="21" t="e">
        <f t="shared" si="315"/>
        <v>#NUM!</v>
      </c>
      <c r="AS304" s="136" t="e">
        <f t="shared" si="286"/>
        <v>#NUM!</v>
      </c>
      <c r="AT304" s="59" t="e">
        <f t="shared" si="316"/>
        <v>#NUM!</v>
      </c>
      <c r="AU304" s="21" t="e">
        <f t="shared" si="317"/>
        <v>#NUM!</v>
      </c>
      <c r="AV304" s="58">
        <f t="shared" si="318"/>
        <v>1500</v>
      </c>
      <c r="AW304" s="58">
        <f t="shared" si="319"/>
        <v>600</v>
      </c>
      <c r="AX304" s="60">
        <f t="shared" si="320"/>
        <v>0.11</v>
      </c>
      <c r="AY304" s="212">
        <f t="shared" si="287"/>
        <v>0</v>
      </c>
      <c r="AZ304" s="59">
        <f t="shared" si="321"/>
        <v>0</v>
      </c>
      <c r="BA304" s="21" t="e">
        <f t="shared" si="322"/>
        <v>#DIV/0!</v>
      </c>
      <c r="BB304" s="58">
        <f t="shared" si="323"/>
        <v>2900</v>
      </c>
      <c r="BC304" s="58">
        <f t="shared" si="324"/>
        <v>1160</v>
      </c>
      <c r="BD304" s="60">
        <f t="shared" si="325"/>
        <v>0.15</v>
      </c>
      <c r="BE304" s="212" t="e">
        <f t="shared" si="288"/>
        <v>#NUM!</v>
      </c>
      <c r="BF304" s="59" t="e">
        <f t="shared" si="326"/>
        <v>#NUM!</v>
      </c>
      <c r="BG304" s="21" t="e">
        <f t="shared" si="327"/>
        <v>#NUM!</v>
      </c>
      <c r="BH304" s="55">
        <f t="shared" ca="1" si="281"/>
        <v>0</v>
      </c>
    </row>
    <row r="305" spans="1:60" x14ac:dyDescent="0.2">
      <c r="A305" s="61">
        <f ca="1">RANK(W305,W$12:W$311,0)+COUNTIF(W$12:W305,W305)-1</f>
        <v>7</v>
      </c>
      <c r="B305" s="55">
        <f>'Etape 1'!A301</f>
        <v>294</v>
      </c>
      <c r="C305" s="55">
        <f>'Etape 1'!B301</f>
        <v>0</v>
      </c>
      <c r="D305" s="55">
        <f>'Etape 1'!C301</f>
        <v>0</v>
      </c>
      <c r="E305" s="55">
        <f>'Etape 1'!D301</f>
        <v>0</v>
      </c>
      <c r="F305" s="55">
        <f>'Etape 1'!E301</f>
        <v>0</v>
      </c>
      <c r="G305" s="55">
        <f>'Etape 1'!F301</f>
        <v>0</v>
      </c>
      <c r="H305" s="55">
        <f>'Etape 1'!G301</f>
        <v>0</v>
      </c>
      <c r="I305" s="209">
        <v>1</v>
      </c>
      <c r="J305" s="58">
        <f t="shared" si="289"/>
        <v>0</v>
      </c>
      <c r="K305" s="21">
        <f t="shared" si="290"/>
        <v>0</v>
      </c>
      <c r="L305" s="21">
        <f t="shared" si="291"/>
        <v>0</v>
      </c>
      <c r="M305" s="21">
        <f t="shared" ca="1" si="292"/>
        <v>3</v>
      </c>
      <c r="N305" s="21">
        <f t="shared" ca="1" si="293"/>
        <v>3</v>
      </c>
      <c r="O305" s="21">
        <f t="shared" ca="1" si="294"/>
        <v>0</v>
      </c>
      <c r="P305" s="262" t="str">
        <f>IF('Etape 1'!J301=999,"",IF('Etape 1'!J301=9999,txt_Schritt1.Angaben.fehlen,VLOOKUP(N305,Matrix_1.2.3.Test.Punkte.ID.Beurteilung,4,1)))</f>
        <v/>
      </c>
      <c r="Q305" s="21">
        <f t="shared" ca="1" si="295"/>
        <v>0</v>
      </c>
      <c r="R305" s="136">
        <f t="shared" si="282"/>
        <v>294</v>
      </c>
      <c r="S305" s="136">
        <f t="shared" ca="1" si="279"/>
        <v>162.97674418604652</v>
      </c>
      <c r="T305" s="136">
        <f t="shared" ca="1" si="283"/>
        <v>750.97674418604652</v>
      </c>
      <c r="U305" s="136">
        <f t="shared" ca="1" si="284"/>
        <v>1224000.9767441861</v>
      </c>
      <c r="V305" s="211">
        <f t="shared" ca="1" si="285"/>
        <v>235407.16878850546</v>
      </c>
      <c r="W305" s="136">
        <f t="shared" ca="1" si="280"/>
        <v>294</v>
      </c>
      <c r="X305" s="136">
        <f t="shared" ca="1" si="296"/>
        <v>162.999000999001</v>
      </c>
      <c r="Y305" s="21">
        <f t="shared" si="297"/>
        <v>1</v>
      </c>
      <c r="Z305" s="21" t="str">
        <f t="shared" si="298"/>
        <v>&lt;IE0</v>
      </c>
      <c r="AA305" s="21">
        <f t="shared" si="299"/>
        <v>1</v>
      </c>
      <c r="AB305" s="21" t="str">
        <f t="shared" si="300"/>
        <v>a - "&lt; 1990 (Eff3)"</v>
      </c>
      <c r="AC305" s="21">
        <f t="shared" si="301"/>
        <v>999999</v>
      </c>
      <c r="AD305" s="21" t="str">
        <f t="shared" si="302"/>
        <v/>
      </c>
      <c r="AE305" s="21" t="str">
        <f t="shared" si="303"/>
        <v/>
      </c>
      <c r="AF305" s="21" t="str">
        <f t="shared" si="304"/>
        <v/>
      </c>
      <c r="AG305" s="21">
        <f t="shared" si="305"/>
        <v>0</v>
      </c>
      <c r="AH305" s="21">
        <f>IF('Etape 1'!H301=St.Wert_Hacken,1,0)</f>
        <v>0</v>
      </c>
      <c r="AI305" s="21">
        <f t="shared" si="306"/>
        <v>0</v>
      </c>
      <c r="AJ305" s="21">
        <f t="shared" si="307"/>
        <v>1000999</v>
      </c>
      <c r="AK305" s="58">
        <f t="shared" si="308"/>
        <v>1100</v>
      </c>
      <c r="AL305" s="58">
        <f t="shared" si="309"/>
        <v>440</v>
      </c>
      <c r="AM305" s="21">
        <f t="shared" si="310"/>
        <v>0</v>
      </c>
      <c r="AN305" s="58">
        <f t="shared" si="311"/>
        <v>1</v>
      </c>
      <c r="AO305" s="58" t="str">
        <f t="shared" si="312"/>
        <v>114</v>
      </c>
      <c r="AP305" s="58" t="str">
        <f t="shared" si="313"/>
        <v>164</v>
      </c>
      <c r="AQ305" s="21" t="e">
        <f t="shared" si="314"/>
        <v>#NUM!</v>
      </c>
      <c r="AR305" s="21" t="e">
        <f t="shared" si="315"/>
        <v>#NUM!</v>
      </c>
      <c r="AS305" s="136" t="e">
        <f t="shared" si="286"/>
        <v>#NUM!</v>
      </c>
      <c r="AT305" s="59" t="e">
        <f t="shared" si="316"/>
        <v>#NUM!</v>
      </c>
      <c r="AU305" s="21" t="e">
        <f t="shared" si="317"/>
        <v>#NUM!</v>
      </c>
      <c r="AV305" s="58">
        <f t="shared" si="318"/>
        <v>1500</v>
      </c>
      <c r="AW305" s="58">
        <f t="shared" si="319"/>
        <v>600</v>
      </c>
      <c r="AX305" s="60">
        <f t="shared" si="320"/>
        <v>0.11</v>
      </c>
      <c r="AY305" s="212">
        <f t="shared" si="287"/>
        <v>0</v>
      </c>
      <c r="AZ305" s="59">
        <f t="shared" si="321"/>
        <v>0</v>
      </c>
      <c r="BA305" s="21" t="e">
        <f t="shared" si="322"/>
        <v>#DIV/0!</v>
      </c>
      <c r="BB305" s="58">
        <f t="shared" si="323"/>
        <v>2900</v>
      </c>
      <c r="BC305" s="58">
        <f t="shared" si="324"/>
        <v>1160</v>
      </c>
      <c r="BD305" s="60">
        <f t="shared" si="325"/>
        <v>0.15</v>
      </c>
      <c r="BE305" s="212" t="e">
        <f t="shared" si="288"/>
        <v>#NUM!</v>
      </c>
      <c r="BF305" s="59" t="e">
        <f t="shared" si="326"/>
        <v>#NUM!</v>
      </c>
      <c r="BG305" s="21" t="e">
        <f t="shared" si="327"/>
        <v>#NUM!</v>
      </c>
      <c r="BH305" s="55">
        <f t="shared" ca="1" si="281"/>
        <v>0</v>
      </c>
    </row>
    <row r="306" spans="1:60" x14ac:dyDescent="0.2">
      <c r="A306" s="61">
        <f ca="1">RANK(W306,W$12:W$311,0)+COUNTIF(W$12:W306,W306)-1</f>
        <v>6</v>
      </c>
      <c r="B306" s="55">
        <f>'Etape 1'!A302</f>
        <v>295</v>
      </c>
      <c r="C306" s="55">
        <f>'Etape 1'!B302</f>
        <v>0</v>
      </c>
      <c r="D306" s="55">
        <f>'Etape 1'!C302</f>
        <v>0</v>
      </c>
      <c r="E306" s="55">
        <f>'Etape 1'!D302</f>
        <v>0</v>
      </c>
      <c r="F306" s="55">
        <f>'Etape 1'!E302</f>
        <v>0</v>
      </c>
      <c r="G306" s="55">
        <f>'Etape 1'!F302</f>
        <v>0</v>
      </c>
      <c r="H306" s="55">
        <f>'Etape 1'!G302</f>
        <v>0</v>
      </c>
      <c r="I306" s="209">
        <v>1</v>
      </c>
      <c r="J306" s="58">
        <f t="shared" si="289"/>
        <v>0</v>
      </c>
      <c r="K306" s="21">
        <f t="shared" si="290"/>
        <v>0</v>
      </c>
      <c r="L306" s="21">
        <f t="shared" si="291"/>
        <v>0</v>
      </c>
      <c r="M306" s="21">
        <f t="shared" ca="1" si="292"/>
        <v>3</v>
      </c>
      <c r="N306" s="21">
        <f t="shared" ca="1" si="293"/>
        <v>3</v>
      </c>
      <c r="O306" s="21">
        <f t="shared" ca="1" si="294"/>
        <v>0</v>
      </c>
      <c r="P306" s="262" t="str">
        <f>IF('Etape 1'!J302=999,"",IF('Etape 1'!J302=9999,txt_Schritt1.Angaben.fehlen,VLOOKUP(N306,Matrix_1.2.3.Test.Punkte.ID.Beurteilung,4,1)))</f>
        <v/>
      </c>
      <c r="Q306" s="21">
        <f t="shared" ca="1" si="295"/>
        <v>0</v>
      </c>
      <c r="R306" s="136">
        <f t="shared" si="282"/>
        <v>295</v>
      </c>
      <c r="S306" s="136">
        <f t="shared" ca="1" si="279"/>
        <v>162.98006644518273</v>
      </c>
      <c r="T306" s="136">
        <f t="shared" ca="1" si="283"/>
        <v>750.98006644518273</v>
      </c>
      <c r="U306" s="136">
        <f t="shared" ca="1" si="284"/>
        <v>1224000.9800664452</v>
      </c>
      <c r="V306" s="211">
        <f t="shared" ca="1" si="285"/>
        <v>235407.1721107646</v>
      </c>
      <c r="W306" s="136">
        <f t="shared" ca="1" si="280"/>
        <v>295</v>
      </c>
      <c r="X306" s="136">
        <f t="shared" ca="1" si="296"/>
        <v>162.999000999001</v>
      </c>
      <c r="Y306" s="21">
        <f t="shared" si="297"/>
        <v>1</v>
      </c>
      <c r="Z306" s="21" t="str">
        <f t="shared" si="298"/>
        <v>&lt;IE0</v>
      </c>
      <c r="AA306" s="21">
        <f t="shared" si="299"/>
        <v>1</v>
      </c>
      <c r="AB306" s="21" t="str">
        <f t="shared" si="300"/>
        <v>a - "&lt; 1990 (Eff3)"</v>
      </c>
      <c r="AC306" s="21">
        <f t="shared" si="301"/>
        <v>999999</v>
      </c>
      <c r="AD306" s="21" t="str">
        <f t="shared" si="302"/>
        <v/>
      </c>
      <c r="AE306" s="21" t="str">
        <f t="shared" si="303"/>
        <v/>
      </c>
      <c r="AF306" s="21" t="str">
        <f t="shared" si="304"/>
        <v/>
      </c>
      <c r="AG306" s="21">
        <f t="shared" si="305"/>
        <v>0</v>
      </c>
      <c r="AH306" s="21">
        <f>IF('Etape 1'!H302=St.Wert_Hacken,1,0)</f>
        <v>0</v>
      </c>
      <c r="AI306" s="21">
        <f t="shared" si="306"/>
        <v>0</v>
      </c>
      <c r="AJ306" s="21">
        <f t="shared" si="307"/>
        <v>1000999</v>
      </c>
      <c r="AK306" s="58">
        <f t="shared" si="308"/>
        <v>1100</v>
      </c>
      <c r="AL306" s="58">
        <f t="shared" si="309"/>
        <v>440</v>
      </c>
      <c r="AM306" s="21">
        <f t="shared" si="310"/>
        <v>0</v>
      </c>
      <c r="AN306" s="58">
        <f t="shared" si="311"/>
        <v>1</v>
      </c>
      <c r="AO306" s="58" t="str">
        <f t="shared" si="312"/>
        <v>114</v>
      </c>
      <c r="AP306" s="58" t="str">
        <f t="shared" si="313"/>
        <v>164</v>
      </c>
      <c r="AQ306" s="21" t="e">
        <f t="shared" si="314"/>
        <v>#NUM!</v>
      </c>
      <c r="AR306" s="21" t="e">
        <f t="shared" si="315"/>
        <v>#NUM!</v>
      </c>
      <c r="AS306" s="136" t="e">
        <f t="shared" si="286"/>
        <v>#NUM!</v>
      </c>
      <c r="AT306" s="59" t="e">
        <f t="shared" si="316"/>
        <v>#NUM!</v>
      </c>
      <c r="AU306" s="21" t="e">
        <f t="shared" si="317"/>
        <v>#NUM!</v>
      </c>
      <c r="AV306" s="58">
        <f t="shared" si="318"/>
        <v>1500</v>
      </c>
      <c r="AW306" s="58">
        <f t="shared" si="319"/>
        <v>600</v>
      </c>
      <c r="AX306" s="60">
        <f t="shared" si="320"/>
        <v>0.11</v>
      </c>
      <c r="AY306" s="212">
        <f t="shared" si="287"/>
        <v>0</v>
      </c>
      <c r="AZ306" s="59">
        <f t="shared" si="321"/>
        <v>0</v>
      </c>
      <c r="BA306" s="21" t="e">
        <f t="shared" si="322"/>
        <v>#DIV/0!</v>
      </c>
      <c r="BB306" s="58">
        <f t="shared" si="323"/>
        <v>2900</v>
      </c>
      <c r="BC306" s="58">
        <f t="shared" si="324"/>
        <v>1160</v>
      </c>
      <c r="BD306" s="60">
        <f t="shared" si="325"/>
        <v>0.15</v>
      </c>
      <c r="BE306" s="212" t="e">
        <f t="shared" si="288"/>
        <v>#NUM!</v>
      </c>
      <c r="BF306" s="59" t="e">
        <f t="shared" si="326"/>
        <v>#NUM!</v>
      </c>
      <c r="BG306" s="21" t="e">
        <f t="shared" si="327"/>
        <v>#NUM!</v>
      </c>
      <c r="BH306" s="55">
        <f t="shared" ca="1" si="281"/>
        <v>0</v>
      </c>
    </row>
    <row r="307" spans="1:60" x14ac:dyDescent="0.2">
      <c r="A307" s="61">
        <f ca="1">RANK(W307,W$12:W$311,0)+COUNTIF(W$12:W307,W307)-1</f>
        <v>5</v>
      </c>
      <c r="B307" s="55">
        <f>'Etape 1'!A303</f>
        <v>296</v>
      </c>
      <c r="C307" s="55">
        <f>'Etape 1'!B303</f>
        <v>0</v>
      </c>
      <c r="D307" s="55">
        <f>'Etape 1'!C303</f>
        <v>0</v>
      </c>
      <c r="E307" s="55">
        <f>'Etape 1'!D303</f>
        <v>0</v>
      </c>
      <c r="F307" s="55">
        <f>'Etape 1'!E303</f>
        <v>0</v>
      </c>
      <c r="G307" s="55">
        <f>'Etape 1'!F303</f>
        <v>0</v>
      </c>
      <c r="H307" s="55">
        <f>'Etape 1'!G303</f>
        <v>0</v>
      </c>
      <c r="I307" s="209">
        <v>1</v>
      </c>
      <c r="J307" s="58">
        <f t="shared" si="289"/>
        <v>0</v>
      </c>
      <c r="K307" s="21">
        <f t="shared" si="290"/>
        <v>0</v>
      </c>
      <c r="L307" s="21">
        <f t="shared" si="291"/>
        <v>0</v>
      </c>
      <c r="M307" s="21">
        <f t="shared" ca="1" si="292"/>
        <v>3</v>
      </c>
      <c r="N307" s="21">
        <f t="shared" ca="1" si="293"/>
        <v>3</v>
      </c>
      <c r="O307" s="21">
        <f t="shared" ca="1" si="294"/>
        <v>0</v>
      </c>
      <c r="P307" s="262" t="str">
        <f>IF('Etape 1'!J303=999,"",IF('Etape 1'!J303=9999,txt_Schritt1.Angaben.fehlen,VLOOKUP(N307,Matrix_1.2.3.Test.Punkte.ID.Beurteilung,4,1)))</f>
        <v/>
      </c>
      <c r="Q307" s="21">
        <f t="shared" ca="1" si="295"/>
        <v>0</v>
      </c>
      <c r="R307" s="136">
        <f t="shared" si="282"/>
        <v>296</v>
      </c>
      <c r="S307" s="136">
        <f t="shared" ca="1" si="279"/>
        <v>162.98338870431894</v>
      </c>
      <c r="T307" s="136">
        <f t="shared" ca="1" si="283"/>
        <v>750.98338870431894</v>
      </c>
      <c r="U307" s="136">
        <f t="shared" ca="1" si="284"/>
        <v>1224000.9833887042</v>
      </c>
      <c r="V307" s="211">
        <f t="shared" ca="1" si="285"/>
        <v>235407.17543302372</v>
      </c>
      <c r="W307" s="136">
        <f t="shared" ca="1" si="280"/>
        <v>296</v>
      </c>
      <c r="X307" s="136">
        <f t="shared" ca="1" si="296"/>
        <v>162.999000999001</v>
      </c>
      <c r="Y307" s="21">
        <f t="shared" si="297"/>
        <v>1</v>
      </c>
      <c r="Z307" s="21" t="str">
        <f t="shared" si="298"/>
        <v>&lt;IE0</v>
      </c>
      <c r="AA307" s="21">
        <f t="shared" si="299"/>
        <v>1</v>
      </c>
      <c r="AB307" s="21" t="str">
        <f t="shared" si="300"/>
        <v>a - "&lt; 1990 (Eff3)"</v>
      </c>
      <c r="AC307" s="21">
        <f t="shared" si="301"/>
        <v>999999</v>
      </c>
      <c r="AD307" s="21" t="str">
        <f t="shared" si="302"/>
        <v/>
      </c>
      <c r="AE307" s="21" t="str">
        <f t="shared" si="303"/>
        <v/>
      </c>
      <c r="AF307" s="21" t="str">
        <f t="shared" si="304"/>
        <v/>
      </c>
      <c r="AG307" s="21">
        <f t="shared" si="305"/>
        <v>0</v>
      </c>
      <c r="AH307" s="21">
        <f>IF('Etape 1'!H303=St.Wert_Hacken,1,0)</f>
        <v>0</v>
      </c>
      <c r="AI307" s="21">
        <f t="shared" si="306"/>
        <v>0</v>
      </c>
      <c r="AJ307" s="21">
        <f t="shared" si="307"/>
        <v>1000999</v>
      </c>
      <c r="AK307" s="58">
        <f t="shared" si="308"/>
        <v>1100</v>
      </c>
      <c r="AL307" s="58">
        <f t="shared" si="309"/>
        <v>440</v>
      </c>
      <c r="AM307" s="21">
        <f t="shared" si="310"/>
        <v>0</v>
      </c>
      <c r="AN307" s="58">
        <f t="shared" si="311"/>
        <v>1</v>
      </c>
      <c r="AO307" s="58" t="str">
        <f t="shared" si="312"/>
        <v>114</v>
      </c>
      <c r="AP307" s="58" t="str">
        <f t="shared" si="313"/>
        <v>164</v>
      </c>
      <c r="AQ307" s="21" t="e">
        <f t="shared" si="314"/>
        <v>#NUM!</v>
      </c>
      <c r="AR307" s="21" t="e">
        <f t="shared" si="315"/>
        <v>#NUM!</v>
      </c>
      <c r="AS307" s="136" t="e">
        <f t="shared" si="286"/>
        <v>#NUM!</v>
      </c>
      <c r="AT307" s="59" t="e">
        <f t="shared" si="316"/>
        <v>#NUM!</v>
      </c>
      <c r="AU307" s="21" t="e">
        <f t="shared" si="317"/>
        <v>#NUM!</v>
      </c>
      <c r="AV307" s="58">
        <f t="shared" si="318"/>
        <v>1500</v>
      </c>
      <c r="AW307" s="58">
        <f t="shared" si="319"/>
        <v>600</v>
      </c>
      <c r="AX307" s="60">
        <f t="shared" si="320"/>
        <v>0.11</v>
      </c>
      <c r="AY307" s="212">
        <f t="shared" si="287"/>
        <v>0</v>
      </c>
      <c r="AZ307" s="59">
        <f t="shared" si="321"/>
        <v>0</v>
      </c>
      <c r="BA307" s="21" t="e">
        <f t="shared" si="322"/>
        <v>#DIV/0!</v>
      </c>
      <c r="BB307" s="58">
        <f t="shared" si="323"/>
        <v>2900</v>
      </c>
      <c r="BC307" s="58">
        <f t="shared" si="324"/>
        <v>1160</v>
      </c>
      <c r="BD307" s="60">
        <f t="shared" si="325"/>
        <v>0.15</v>
      </c>
      <c r="BE307" s="212" t="e">
        <f t="shared" si="288"/>
        <v>#NUM!</v>
      </c>
      <c r="BF307" s="59" t="e">
        <f t="shared" si="326"/>
        <v>#NUM!</v>
      </c>
      <c r="BG307" s="21" t="e">
        <f t="shared" si="327"/>
        <v>#NUM!</v>
      </c>
      <c r="BH307" s="55">
        <f t="shared" ca="1" si="281"/>
        <v>0</v>
      </c>
    </row>
    <row r="308" spans="1:60" x14ac:dyDescent="0.2">
      <c r="A308" s="61">
        <f ca="1">RANK(W308,W$12:W$311,0)+COUNTIF(W$12:W308,W308)-1</f>
        <v>4</v>
      </c>
      <c r="B308" s="55">
        <f>'Etape 1'!A304</f>
        <v>297</v>
      </c>
      <c r="C308" s="55">
        <f>'Etape 1'!B304</f>
        <v>0</v>
      </c>
      <c r="D308" s="55">
        <f>'Etape 1'!C304</f>
        <v>0</v>
      </c>
      <c r="E308" s="55">
        <f>'Etape 1'!D304</f>
        <v>0</v>
      </c>
      <c r="F308" s="55">
        <f>'Etape 1'!E304</f>
        <v>0</v>
      </c>
      <c r="G308" s="55">
        <f>'Etape 1'!F304</f>
        <v>0</v>
      </c>
      <c r="H308" s="55">
        <f>'Etape 1'!G304</f>
        <v>0</v>
      </c>
      <c r="I308" s="209">
        <v>1</v>
      </c>
      <c r="J308" s="58">
        <f t="shared" si="289"/>
        <v>0</v>
      </c>
      <c r="K308" s="21">
        <f t="shared" si="290"/>
        <v>0</v>
      </c>
      <c r="L308" s="21">
        <f t="shared" si="291"/>
        <v>0</v>
      </c>
      <c r="M308" s="21">
        <f t="shared" ca="1" si="292"/>
        <v>3</v>
      </c>
      <c r="N308" s="21">
        <f t="shared" ca="1" si="293"/>
        <v>3</v>
      </c>
      <c r="O308" s="21">
        <f t="shared" ca="1" si="294"/>
        <v>0</v>
      </c>
      <c r="P308" s="262" t="str">
        <f>IF('Etape 1'!J304=999,"",IF('Etape 1'!J304=9999,txt_Schritt1.Angaben.fehlen,VLOOKUP(N308,Matrix_1.2.3.Test.Punkte.ID.Beurteilung,4,1)))</f>
        <v/>
      </c>
      <c r="Q308" s="21">
        <f t="shared" ca="1" si="295"/>
        <v>0</v>
      </c>
      <c r="R308" s="136">
        <f t="shared" si="282"/>
        <v>297</v>
      </c>
      <c r="S308" s="136">
        <f t="shared" ca="1" si="279"/>
        <v>162.98671096345515</v>
      </c>
      <c r="T308" s="136">
        <f t="shared" ca="1" si="283"/>
        <v>750.98671096345515</v>
      </c>
      <c r="U308" s="136">
        <f t="shared" ca="1" si="284"/>
        <v>1224000.9867109635</v>
      </c>
      <c r="V308" s="211">
        <f t="shared" ca="1" si="285"/>
        <v>235407.17875528286</v>
      </c>
      <c r="W308" s="136">
        <f t="shared" ca="1" si="280"/>
        <v>297</v>
      </c>
      <c r="X308" s="136">
        <f t="shared" ca="1" si="296"/>
        <v>162.999000999001</v>
      </c>
      <c r="Y308" s="21">
        <f t="shared" si="297"/>
        <v>1</v>
      </c>
      <c r="Z308" s="21" t="str">
        <f t="shared" si="298"/>
        <v>&lt;IE0</v>
      </c>
      <c r="AA308" s="21">
        <f t="shared" si="299"/>
        <v>1</v>
      </c>
      <c r="AB308" s="21" t="str">
        <f t="shared" si="300"/>
        <v>a - "&lt; 1990 (Eff3)"</v>
      </c>
      <c r="AC308" s="21">
        <f t="shared" si="301"/>
        <v>999999</v>
      </c>
      <c r="AD308" s="21" t="str">
        <f t="shared" si="302"/>
        <v/>
      </c>
      <c r="AE308" s="21" t="str">
        <f t="shared" si="303"/>
        <v/>
      </c>
      <c r="AF308" s="21" t="str">
        <f t="shared" si="304"/>
        <v/>
      </c>
      <c r="AG308" s="21">
        <f t="shared" si="305"/>
        <v>0</v>
      </c>
      <c r="AH308" s="21">
        <f>IF('Etape 1'!H304=St.Wert_Hacken,1,0)</f>
        <v>0</v>
      </c>
      <c r="AI308" s="21">
        <f t="shared" si="306"/>
        <v>0</v>
      </c>
      <c r="AJ308" s="21">
        <f t="shared" si="307"/>
        <v>1000999</v>
      </c>
      <c r="AK308" s="58">
        <f t="shared" si="308"/>
        <v>1100</v>
      </c>
      <c r="AL308" s="58">
        <f t="shared" si="309"/>
        <v>440</v>
      </c>
      <c r="AM308" s="21">
        <f t="shared" si="310"/>
        <v>0</v>
      </c>
      <c r="AN308" s="58">
        <f t="shared" si="311"/>
        <v>1</v>
      </c>
      <c r="AO308" s="58" t="str">
        <f t="shared" si="312"/>
        <v>114</v>
      </c>
      <c r="AP308" s="58" t="str">
        <f t="shared" si="313"/>
        <v>164</v>
      </c>
      <c r="AQ308" s="21" t="e">
        <f t="shared" si="314"/>
        <v>#NUM!</v>
      </c>
      <c r="AR308" s="21" t="e">
        <f t="shared" si="315"/>
        <v>#NUM!</v>
      </c>
      <c r="AS308" s="136" t="e">
        <f t="shared" si="286"/>
        <v>#NUM!</v>
      </c>
      <c r="AT308" s="59" t="e">
        <f t="shared" si="316"/>
        <v>#NUM!</v>
      </c>
      <c r="AU308" s="21" t="e">
        <f t="shared" si="317"/>
        <v>#NUM!</v>
      </c>
      <c r="AV308" s="58">
        <f t="shared" si="318"/>
        <v>1500</v>
      </c>
      <c r="AW308" s="58">
        <f t="shared" si="319"/>
        <v>600</v>
      </c>
      <c r="AX308" s="60">
        <f t="shared" si="320"/>
        <v>0.11</v>
      </c>
      <c r="AY308" s="212">
        <f t="shared" si="287"/>
        <v>0</v>
      </c>
      <c r="AZ308" s="59">
        <f t="shared" si="321"/>
        <v>0</v>
      </c>
      <c r="BA308" s="21" t="e">
        <f t="shared" si="322"/>
        <v>#DIV/0!</v>
      </c>
      <c r="BB308" s="58">
        <f t="shared" si="323"/>
        <v>2900</v>
      </c>
      <c r="BC308" s="58">
        <f t="shared" si="324"/>
        <v>1160</v>
      </c>
      <c r="BD308" s="60">
        <f t="shared" si="325"/>
        <v>0.15</v>
      </c>
      <c r="BE308" s="212" t="e">
        <f t="shared" si="288"/>
        <v>#NUM!</v>
      </c>
      <c r="BF308" s="59" t="e">
        <f t="shared" si="326"/>
        <v>#NUM!</v>
      </c>
      <c r="BG308" s="21" t="e">
        <f t="shared" si="327"/>
        <v>#NUM!</v>
      </c>
      <c r="BH308" s="55">
        <f t="shared" ca="1" si="281"/>
        <v>0</v>
      </c>
    </row>
    <row r="309" spans="1:60" x14ac:dyDescent="0.2">
      <c r="A309" s="61">
        <f ca="1">RANK(W309,W$12:W$311,0)+COUNTIF(W$12:W309,W309)-1</f>
        <v>3</v>
      </c>
      <c r="B309" s="55">
        <f>'Etape 1'!A305</f>
        <v>298</v>
      </c>
      <c r="C309" s="55">
        <f>'Etape 1'!B305</f>
        <v>0</v>
      </c>
      <c r="D309" s="55">
        <f>'Etape 1'!C305</f>
        <v>0</v>
      </c>
      <c r="E309" s="55">
        <f>'Etape 1'!D305</f>
        <v>0</v>
      </c>
      <c r="F309" s="55">
        <f>'Etape 1'!E305</f>
        <v>0</v>
      </c>
      <c r="G309" s="55">
        <f>'Etape 1'!F305</f>
        <v>0</v>
      </c>
      <c r="H309" s="55">
        <f>'Etape 1'!G305</f>
        <v>0</v>
      </c>
      <c r="I309" s="209">
        <v>1</v>
      </c>
      <c r="J309" s="58">
        <f t="shared" si="289"/>
        <v>0</v>
      </c>
      <c r="K309" s="21">
        <f t="shared" si="290"/>
        <v>0</v>
      </c>
      <c r="L309" s="21">
        <f t="shared" si="291"/>
        <v>0</v>
      </c>
      <c r="M309" s="21">
        <f t="shared" ca="1" si="292"/>
        <v>3</v>
      </c>
      <c r="N309" s="21">
        <f t="shared" ca="1" si="293"/>
        <v>3</v>
      </c>
      <c r="O309" s="21">
        <f t="shared" ca="1" si="294"/>
        <v>0</v>
      </c>
      <c r="P309" s="262" t="str">
        <f>IF('Etape 1'!J305=999,"",IF('Etape 1'!J305=9999,txt_Schritt1.Angaben.fehlen,VLOOKUP(N309,Matrix_1.2.3.Test.Punkte.ID.Beurteilung,4,1)))</f>
        <v/>
      </c>
      <c r="Q309" s="21">
        <f t="shared" ca="1" si="295"/>
        <v>0</v>
      </c>
      <c r="R309" s="136">
        <f t="shared" si="282"/>
        <v>298</v>
      </c>
      <c r="S309" s="136">
        <f t="shared" ca="1" si="279"/>
        <v>162.99003322259136</v>
      </c>
      <c r="T309" s="136">
        <f t="shared" ca="1" si="283"/>
        <v>750.99003322259136</v>
      </c>
      <c r="U309" s="136">
        <f t="shared" ca="1" si="284"/>
        <v>1224000.9900332226</v>
      </c>
      <c r="V309" s="211">
        <f t="shared" ca="1" si="285"/>
        <v>235407.18207754201</v>
      </c>
      <c r="W309" s="136">
        <f t="shared" ca="1" si="280"/>
        <v>298</v>
      </c>
      <c r="X309" s="136">
        <f t="shared" ca="1" si="296"/>
        <v>162.999000999001</v>
      </c>
      <c r="Y309" s="21">
        <f t="shared" si="297"/>
        <v>1</v>
      </c>
      <c r="Z309" s="21" t="str">
        <f t="shared" si="298"/>
        <v>&lt;IE0</v>
      </c>
      <c r="AA309" s="21">
        <f t="shared" si="299"/>
        <v>1</v>
      </c>
      <c r="AB309" s="21" t="str">
        <f t="shared" si="300"/>
        <v>a - "&lt; 1990 (Eff3)"</v>
      </c>
      <c r="AC309" s="21">
        <f t="shared" si="301"/>
        <v>999999</v>
      </c>
      <c r="AD309" s="21" t="str">
        <f t="shared" si="302"/>
        <v/>
      </c>
      <c r="AE309" s="21" t="str">
        <f t="shared" si="303"/>
        <v/>
      </c>
      <c r="AF309" s="21" t="str">
        <f t="shared" si="304"/>
        <v/>
      </c>
      <c r="AG309" s="21">
        <f t="shared" si="305"/>
        <v>0</v>
      </c>
      <c r="AH309" s="21">
        <f>IF('Etape 1'!H305=St.Wert_Hacken,1,0)</f>
        <v>0</v>
      </c>
      <c r="AI309" s="21">
        <f t="shared" si="306"/>
        <v>0</v>
      </c>
      <c r="AJ309" s="21">
        <f t="shared" si="307"/>
        <v>1000999</v>
      </c>
      <c r="AK309" s="58">
        <f t="shared" si="308"/>
        <v>1100</v>
      </c>
      <c r="AL309" s="58">
        <f t="shared" si="309"/>
        <v>440</v>
      </c>
      <c r="AM309" s="21">
        <f t="shared" si="310"/>
        <v>0</v>
      </c>
      <c r="AN309" s="58">
        <f t="shared" si="311"/>
        <v>1</v>
      </c>
      <c r="AO309" s="58" t="str">
        <f t="shared" si="312"/>
        <v>114</v>
      </c>
      <c r="AP309" s="58" t="str">
        <f t="shared" si="313"/>
        <v>164</v>
      </c>
      <c r="AQ309" s="21" t="e">
        <f t="shared" si="314"/>
        <v>#NUM!</v>
      </c>
      <c r="AR309" s="21" t="e">
        <f t="shared" si="315"/>
        <v>#NUM!</v>
      </c>
      <c r="AS309" s="136" t="e">
        <f t="shared" si="286"/>
        <v>#NUM!</v>
      </c>
      <c r="AT309" s="59" t="e">
        <f t="shared" si="316"/>
        <v>#NUM!</v>
      </c>
      <c r="AU309" s="21" t="e">
        <f t="shared" si="317"/>
        <v>#NUM!</v>
      </c>
      <c r="AV309" s="58">
        <f t="shared" si="318"/>
        <v>1500</v>
      </c>
      <c r="AW309" s="58">
        <f t="shared" si="319"/>
        <v>600</v>
      </c>
      <c r="AX309" s="60">
        <f t="shared" si="320"/>
        <v>0.11</v>
      </c>
      <c r="AY309" s="212">
        <f t="shared" si="287"/>
        <v>0</v>
      </c>
      <c r="AZ309" s="59">
        <f t="shared" si="321"/>
        <v>0</v>
      </c>
      <c r="BA309" s="21" t="e">
        <f t="shared" si="322"/>
        <v>#DIV/0!</v>
      </c>
      <c r="BB309" s="58">
        <f t="shared" si="323"/>
        <v>2900</v>
      </c>
      <c r="BC309" s="58">
        <f t="shared" si="324"/>
        <v>1160</v>
      </c>
      <c r="BD309" s="60">
        <f t="shared" si="325"/>
        <v>0.15</v>
      </c>
      <c r="BE309" s="212" t="e">
        <f t="shared" si="288"/>
        <v>#NUM!</v>
      </c>
      <c r="BF309" s="59" t="e">
        <f t="shared" si="326"/>
        <v>#NUM!</v>
      </c>
      <c r="BG309" s="21" t="e">
        <f t="shared" si="327"/>
        <v>#NUM!</v>
      </c>
      <c r="BH309" s="55">
        <f t="shared" ca="1" si="281"/>
        <v>0</v>
      </c>
    </row>
    <row r="310" spans="1:60" x14ac:dyDescent="0.2">
      <c r="A310" s="61">
        <f ca="1">RANK(W310,W$12:W$311,0)+COUNTIF(W$12:W310,W310)-1</f>
        <v>2</v>
      </c>
      <c r="B310" s="55">
        <f>'Etape 1'!A306</f>
        <v>299</v>
      </c>
      <c r="C310" s="55">
        <f>'Etape 1'!B306</f>
        <v>0</v>
      </c>
      <c r="D310" s="55">
        <f>'Etape 1'!C306</f>
        <v>0</v>
      </c>
      <c r="E310" s="55">
        <f>'Etape 1'!D306</f>
        <v>0</v>
      </c>
      <c r="F310" s="55">
        <f>'Etape 1'!E306</f>
        <v>0</v>
      </c>
      <c r="G310" s="55">
        <f>'Etape 1'!F306</f>
        <v>0</v>
      </c>
      <c r="H310" s="55">
        <f>'Etape 1'!G306</f>
        <v>0</v>
      </c>
      <c r="I310" s="209">
        <v>1</v>
      </c>
      <c r="J310" s="58">
        <f t="shared" si="289"/>
        <v>0</v>
      </c>
      <c r="K310" s="21">
        <f t="shared" si="290"/>
        <v>0</v>
      </c>
      <c r="L310" s="21">
        <f t="shared" si="291"/>
        <v>0</v>
      </c>
      <c r="M310" s="21">
        <f t="shared" ca="1" si="292"/>
        <v>3</v>
      </c>
      <c r="N310" s="21">
        <f t="shared" ca="1" si="293"/>
        <v>3</v>
      </c>
      <c r="O310" s="21">
        <f t="shared" ca="1" si="294"/>
        <v>0</v>
      </c>
      <c r="P310" s="262" t="str">
        <f>IF('Etape 1'!J306=999,"",IF('Etape 1'!J306=9999,txt_Schritt1.Angaben.fehlen,VLOOKUP(N310,Matrix_1.2.3.Test.Punkte.ID.Beurteilung,4,1)))</f>
        <v/>
      </c>
      <c r="Q310" s="21">
        <f t="shared" ca="1" si="295"/>
        <v>0</v>
      </c>
      <c r="R310" s="136">
        <f t="shared" si="282"/>
        <v>299</v>
      </c>
      <c r="S310" s="136">
        <f t="shared" ca="1" si="279"/>
        <v>162.99335548172758</v>
      </c>
      <c r="T310" s="136">
        <f t="shared" ca="1" si="283"/>
        <v>750.99335548172758</v>
      </c>
      <c r="U310" s="136">
        <f t="shared" ca="1" si="284"/>
        <v>1224000.9933554817</v>
      </c>
      <c r="V310" s="211">
        <f t="shared" ca="1" si="285"/>
        <v>235407.18539980115</v>
      </c>
      <c r="W310" s="136">
        <f t="shared" ca="1" si="280"/>
        <v>299</v>
      </c>
      <c r="X310" s="136">
        <f t="shared" ca="1" si="296"/>
        <v>162.999000999001</v>
      </c>
      <c r="Y310" s="21">
        <f t="shared" si="297"/>
        <v>1</v>
      </c>
      <c r="Z310" s="21" t="str">
        <f t="shared" si="298"/>
        <v>&lt;IE0</v>
      </c>
      <c r="AA310" s="21">
        <f t="shared" si="299"/>
        <v>1</v>
      </c>
      <c r="AB310" s="21" t="str">
        <f t="shared" si="300"/>
        <v>a - "&lt; 1990 (Eff3)"</v>
      </c>
      <c r="AC310" s="21">
        <f t="shared" si="301"/>
        <v>999999</v>
      </c>
      <c r="AD310" s="21" t="str">
        <f t="shared" si="302"/>
        <v/>
      </c>
      <c r="AE310" s="21" t="str">
        <f t="shared" si="303"/>
        <v/>
      </c>
      <c r="AF310" s="21" t="str">
        <f t="shared" si="304"/>
        <v/>
      </c>
      <c r="AG310" s="21">
        <f t="shared" si="305"/>
        <v>0</v>
      </c>
      <c r="AH310" s="21">
        <f>IF('Etape 1'!H306=St.Wert_Hacken,1,0)</f>
        <v>0</v>
      </c>
      <c r="AI310" s="21">
        <f t="shared" si="306"/>
        <v>0</v>
      </c>
      <c r="AJ310" s="21">
        <f t="shared" si="307"/>
        <v>1000999</v>
      </c>
      <c r="AK310" s="58">
        <f t="shared" si="308"/>
        <v>1100</v>
      </c>
      <c r="AL310" s="58">
        <f t="shared" si="309"/>
        <v>440</v>
      </c>
      <c r="AM310" s="21">
        <f t="shared" si="310"/>
        <v>0</v>
      </c>
      <c r="AN310" s="58">
        <f t="shared" si="311"/>
        <v>1</v>
      </c>
      <c r="AO310" s="58" t="str">
        <f t="shared" si="312"/>
        <v>114</v>
      </c>
      <c r="AP310" s="58" t="str">
        <f t="shared" si="313"/>
        <v>164</v>
      </c>
      <c r="AQ310" s="21" t="e">
        <f t="shared" si="314"/>
        <v>#NUM!</v>
      </c>
      <c r="AR310" s="21" t="e">
        <f t="shared" si="315"/>
        <v>#NUM!</v>
      </c>
      <c r="AS310" s="136" t="e">
        <f t="shared" si="286"/>
        <v>#NUM!</v>
      </c>
      <c r="AT310" s="59" t="e">
        <f t="shared" si="316"/>
        <v>#NUM!</v>
      </c>
      <c r="AU310" s="21" t="e">
        <f t="shared" si="317"/>
        <v>#NUM!</v>
      </c>
      <c r="AV310" s="58">
        <f t="shared" si="318"/>
        <v>1500</v>
      </c>
      <c r="AW310" s="58">
        <f t="shared" si="319"/>
        <v>600</v>
      </c>
      <c r="AX310" s="60">
        <f t="shared" si="320"/>
        <v>0.11</v>
      </c>
      <c r="AY310" s="212">
        <f t="shared" si="287"/>
        <v>0</v>
      </c>
      <c r="AZ310" s="59">
        <f t="shared" si="321"/>
        <v>0</v>
      </c>
      <c r="BA310" s="21" t="e">
        <f t="shared" si="322"/>
        <v>#DIV/0!</v>
      </c>
      <c r="BB310" s="58">
        <f t="shared" si="323"/>
        <v>2900</v>
      </c>
      <c r="BC310" s="58">
        <f t="shared" si="324"/>
        <v>1160</v>
      </c>
      <c r="BD310" s="60">
        <f t="shared" si="325"/>
        <v>0.15</v>
      </c>
      <c r="BE310" s="212" t="e">
        <f t="shared" si="288"/>
        <v>#NUM!</v>
      </c>
      <c r="BF310" s="59" t="e">
        <f t="shared" si="326"/>
        <v>#NUM!</v>
      </c>
      <c r="BG310" s="21" t="e">
        <f t="shared" si="327"/>
        <v>#NUM!</v>
      </c>
      <c r="BH310" s="55">
        <f t="shared" ca="1" si="281"/>
        <v>0</v>
      </c>
    </row>
    <row r="311" spans="1:60" x14ac:dyDescent="0.2">
      <c r="A311" s="61">
        <f ca="1">RANK(W311,W$12:W$311,0)+COUNTIF(W$12:W311,W311)-1</f>
        <v>1</v>
      </c>
      <c r="B311" s="55">
        <f>'Etape 1'!A307</f>
        <v>300</v>
      </c>
      <c r="C311" s="55">
        <f>'Etape 1'!B307</f>
        <v>0</v>
      </c>
      <c r="D311" s="55">
        <f>'Etape 1'!C307</f>
        <v>0</v>
      </c>
      <c r="E311" s="55">
        <f>'Etape 1'!D307</f>
        <v>0</v>
      </c>
      <c r="F311" s="55">
        <f>'Etape 1'!E307</f>
        <v>0</v>
      </c>
      <c r="G311" s="55">
        <f>'Etape 1'!F307</f>
        <v>0</v>
      </c>
      <c r="H311" s="55">
        <f>'Etape 1'!G307</f>
        <v>0</v>
      </c>
      <c r="I311" s="209">
        <v>1</v>
      </c>
      <c r="J311" s="58">
        <f t="shared" si="289"/>
        <v>0</v>
      </c>
      <c r="K311" s="21">
        <f t="shared" si="290"/>
        <v>0</v>
      </c>
      <c r="L311" s="21">
        <f t="shared" si="291"/>
        <v>0</v>
      </c>
      <c r="M311" s="21">
        <f t="shared" ca="1" si="292"/>
        <v>3</v>
      </c>
      <c r="N311" s="21">
        <f t="shared" ca="1" si="293"/>
        <v>3</v>
      </c>
      <c r="O311" s="21">
        <f t="shared" ca="1" si="294"/>
        <v>0</v>
      </c>
      <c r="P311" s="262" t="str">
        <f>IF('Etape 1'!J307=999,"",IF('Etape 1'!J307=9999,txt_Schritt1.Angaben.fehlen,VLOOKUP(N311,Matrix_1.2.3.Test.Punkte.ID.Beurteilung,4,1)))</f>
        <v/>
      </c>
      <c r="Q311" s="21">
        <f t="shared" ca="1" si="295"/>
        <v>0</v>
      </c>
      <c r="R311" s="136">
        <f t="shared" si="282"/>
        <v>300</v>
      </c>
      <c r="S311" s="136">
        <f t="shared" ca="1" si="279"/>
        <v>162.99667774086379</v>
      </c>
      <c r="T311" s="136">
        <f t="shared" ca="1" si="283"/>
        <v>750.99667774086379</v>
      </c>
      <c r="U311" s="136">
        <f t="shared" ca="1" si="284"/>
        <v>1224000.9966777409</v>
      </c>
      <c r="V311" s="211">
        <f t="shared" ca="1" si="285"/>
        <v>235407.18872206027</v>
      </c>
      <c r="W311" s="136">
        <f t="shared" ca="1" si="280"/>
        <v>300</v>
      </c>
      <c r="X311" s="136">
        <f t="shared" ca="1" si="296"/>
        <v>162.999000999001</v>
      </c>
      <c r="Y311" s="21">
        <f t="shared" si="297"/>
        <v>1</v>
      </c>
      <c r="Z311" s="21" t="str">
        <f t="shared" si="298"/>
        <v>&lt;IE0</v>
      </c>
      <c r="AA311" s="21">
        <f t="shared" si="299"/>
        <v>1</v>
      </c>
      <c r="AB311" s="21" t="str">
        <f t="shared" si="300"/>
        <v>a - "&lt; 1990 (Eff3)"</v>
      </c>
      <c r="AC311" s="21">
        <f t="shared" si="301"/>
        <v>999999</v>
      </c>
      <c r="AD311" s="21" t="str">
        <f t="shared" si="302"/>
        <v/>
      </c>
      <c r="AE311" s="21" t="str">
        <f t="shared" si="303"/>
        <v/>
      </c>
      <c r="AF311" s="21" t="str">
        <f t="shared" si="304"/>
        <v/>
      </c>
      <c r="AG311" s="21">
        <f t="shared" si="305"/>
        <v>0</v>
      </c>
      <c r="AH311" s="21">
        <f>IF('Etape 1'!H307=St.Wert_Hacken,1,0)</f>
        <v>0</v>
      </c>
      <c r="AI311" s="21">
        <f t="shared" si="306"/>
        <v>0</v>
      </c>
      <c r="AJ311" s="21">
        <f t="shared" si="307"/>
        <v>1000999</v>
      </c>
      <c r="AK311" s="58">
        <f t="shared" si="308"/>
        <v>1100</v>
      </c>
      <c r="AL311" s="58">
        <f t="shared" si="309"/>
        <v>440</v>
      </c>
      <c r="AM311" s="21">
        <f t="shared" si="310"/>
        <v>0</v>
      </c>
      <c r="AN311" s="58">
        <f t="shared" si="311"/>
        <v>1</v>
      </c>
      <c r="AO311" s="58" t="str">
        <f t="shared" si="312"/>
        <v>114</v>
      </c>
      <c r="AP311" s="58" t="str">
        <f t="shared" si="313"/>
        <v>164</v>
      </c>
      <c r="AQ311" s="21" t="e">
        <f t="shared" si="314"/>
        <v>#NUM!</v>
      </c>
      <c r="AR311" s="21" t="e">
        <f t="shared" si="315"/>
        <v>#NUM!</v>
      </c>
      <c r="AS311" s="136" t="e">
        <f t="shared" si="286"/>
        <v>#NUM!</v>
      </c>
      <c r="AT311" s="59" t="e">
        <f t="shared" si="316"/>
        <v>#NUM!</v>
      </c>
      <c r="AU311" s="21" t="e">
        <f t="shared" si="317"/>
        <v>#NUM!</v>
      </c>
      <c r="AV311" s="58">
        <f t="shared" si="318"/>
        <v>1500</v>
      </c>
      <c r="AW311" s="58">
        <f t="shared" si="319"/>
        <v>600</v>
      </c>
      <c r="AX311" s="60">
        <f t="shared" si="320"/>
        <v>0.11</v>
      </c>
      <c r="AY311" s="212">
        <f t="shared" si="287"/>
        <v>0</v>
      </c>
      <c r="AZ311" s="59">
        <f t="shared" si="321"/>
        <v>0</v>
      </c>
      <c r="BA311" s="21" t="e">
        <f t="shared" si="322"/>
        <v>#DIV/0!</v>
      </c>
      <c r="BB311" s="58">
        <f t="shared" si="323"/>
        <v>2900</v>
      </c>
      <c r="BC311" s="58">
        <f t="shared" si="324"/>
        <v>1160</v>
      </c>
      <c r="BD311" s="60">
        <f t="shared" si="325"/>
        <v>0.15</v>
      </c>
      <c r="BE311" s="212" t="e">
        <f t="shared" si="288"/>
        <v>#NUM!</v>
      </c>
      <c r="BF311" s="59" t="e">
        <f t="shared" si="326"/>
        <v>#NUM!</v>
      </c>
      <c r="BG311" s="21" t="e">
        <f t="shared" si="327"/>
        <v>#NUM!</v>
      </c>
      <c r="BH311" s="55">
        <f t="shared" ca="1" si="281"/>
        <v>0</v>
      </c>
    </row>
    <row r="312" spans="1:60" s="5" customFormat="1" x14ac:dyDescent="0.2"/>
  </sheetData>
  <mergeCells count="8">
    <mergeCell ref="R7:W7"/>
    <mergeCell ref="BD10:BF10"/>
    <mergeCell ref="BB9:BG9"/>
    <mergeCell ref="AC8:AF8"/>
    <mergeCell ref="AS10:AT10"/>
    <mergeCell ref="AK8:AU8"/>
    <mergeCell ref="AX10:AZ10"/>
    <mergeCell ref="AV9:BA9"/>
  </mergeCells>
  <pageMargins left="0.7" right="0.7" top="0.78740157499999996" bottom="0.78740157499999996" header="0.3" footer="0.3"/>
  <pageSetup paperSize="9" orientation="portrait"/>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tabColor rgb="FF92D050"/>
  </sheetPr>
  <dimension ref="A1:BU316"/>
  <sheetViews>
    <sheetView workbookViewId="0">
      <pane xSplit="11" ySplit="15" topLeftCell="L16" activePane="bottomRight" state="frozen"/>
      <selection activeCell="W6" sqref="W6"/>
      <selection pane="topRight" activeCell="W6" sqref="W6"/>
      <selection pane="bottomLeft" activeCell="W6" sqref="W6"/>
      <selection pane="bottomRight" activeCell="W6" sqref="W6"/>
    </sheetView>
  </sheetViews>
  <sheetFormatPr baseColWidth="10" defaultColWidth="10.75" defaultRowHeight="14.25" x14ac:dyDescent="0.2"/>
  <cols>
    <col min="1" max="1" width="3.375" style="2" customWidth="1"/>
    <col min="2" max="5" width="4.75" style="2" customWidth="1"/>
    <col min="6" max="6" width="18.625" style="2" customWidth="1"/>
    <col min="7" max="7" width="9.375" style="2" customWidth="1"/>
    <col min="8" max="8" width="7.75" style="2" customWidth="1"/>
    <col min="9" max="11" width="6.125" style="2" customWidth="1"/>
    <col min="12" max="18" width="11" style="2" customWidth="1"/>
    <col min="19" max="21" width="10.75" style="2"/>
    <col min="22" max="24" width="7" style="2" customWidth="1"/>
    <col min="25" max="25" width="8.875" style="16" customWidth="1"/>
    <col min="26" max="27" width="8.875" style="2" customWidth="1"/>
    <col min="28" max="16384" width="10.75" style="2"/>
  </cols>
  <sheetData>
    <row r="1" spans="1:73" ht="18" x14ac:dyDescent="0.25">
      <c r="A1" s="1" t="s">
        <v>25</v>
      </c>
      <c r="C1" s="1"/>
      <c r="D1" s="1"/>
      <c r="E1" s="1"/>
    </row>
    <row r="2" spans="1:73" ht="15.75" x14ac:dyDescent="0.25">
      <c r="A2" s="3" t="s">
        <v>138</v>
      </c>
      <c r="C2" s="3"/>
      <c r="D2" s="3"/>
      <c r="E2" s="3"/>
    </row>
    <row r="3" spans="1:73" ht="4.5" customHeight="1" x14ac:dyDescent="0.2"/>
    <row r="4" spans="1:73" x14ac:dyDescent="0.2">
      <c r="A4" s="151" t="s">
        <v>142</v>
      </c>
      <c r="B4" s="151"/>
      <c r="C4" s="151"/>
      <c r="D4" s="151"/>
      <c r="E4" s="151"/>
      <c r="F4" s="151"/>
      <c r="G4" s="151"/>
      <c r="H4" s="151"/>
      <c r="I4" s="151"/>
      <c r="J4" s="151"/>
      <c r="K4" s="151"/>
      <c r="L4" s="47"/>
      <c r="M4" s="47"/>
      <c r="N4" s="47"/>
      <c r="O4" s="47"/>
      <c r="P4" s="47"/>
      <c r="Q4" s="47"/>
      <c r="R4" s="47"/>
    </row>
    <row r="5" spans="1:73" ht="4.5" customHeight="1" x14ac:dyDescent="0.2"/>
    <row r="6" spans="1:73" x14ac:dyDescent="0.2">
      <c r="A6" s="55">
        <f>Preis_Strom.Schritt2</f>
        <v>16</v>
      </c>
      <c r="B6" s="2" t="s">
        <v>23</v>
      </c>
      <c r="F6" s="16"/>
      <c r="G6" s="16"/>
      <c r="H6" s="90"/>
      <c r="I6" s="16"/>
      <c r="BQ6" s="8" t="s">
        <v>348</v>
      </c>
    </row>
    <row r="7" spans="1:73" x14ac:dyDescent="0.2">
      <c r="A7" s="55">
        <f>St.Wert_Motor.Pole.Anzahl</f>
        <v>4</v>
      </c>
      <c r="B7" s="2" t="s">
        <v>110</v>
      </c>
      <c r="F7" s="16"/>
      <c r="G7" s="16"/>
      <c r="H7" s="90"/>
      <c r="I7" s="16"/>
      <c r="BR7" s="8" t="s">
        <v>349</v>
      </c>
    </row>
    <row r="8" spans="1:73" x14ac:dyDescent="0.2">
      <c r="A8" s="55">
        <f>St.Wert_Motor.IEID.neu</f>
        <v>6</v>
      </c>
      <c r="B8" s="21" t="str">
        <f>VLOOKUP(A8,Matrix_Motor.IEID.EffKl,2,0)</f>
        <v>IE4</v>
      </c>
      <c r="F8" s="16"/>
      <c r="G8" s="16"/>
      <c r="H8" s="90"/>
      <c r="I8" s="16"/>
      <c r="BS8" s="8" t="s">
        <v>350</v>
      </c>
    </row>
    <row r="9" spans="1:73" x14ac:dyDescent="0.2">
      <c r="A9" s="55">
        <f>St.Wert_Wirtschaftlichkeit.EnergieAnteil.Ja.Nein</f>
        <v>1</v>
      </c>
      <c r="B9" s="21"/>
      <c r="F9" s="16"/>
      <c r="G9" s="16"/>
      <c r="H9" s="90"/>
      <c r="I9" s="16"/>
      <c r="BT9" s="8" t="s">
        <v>351</v>
      </c>
    </row>
    <row r="10" spans="1:73" ht="15" x14ac:dyDescent="0.25">
      <c r="A10" s="55">
        <f>St.Wert_Netztyp.Kreislauf</f>
        <v>2</v>
      </c>
      <c r="B10" s="21">
        <f>VLOOKUP(Wert_Netztyp.Kreislauf.Schritt2,Matrix_Netztyp.Kreislauf.Spalte,3,0)</f>
        <v>1</v>
      </c>
      <c r="C10" s="21">
        <f>VLOOKUP(Wert_Netztyp.Kreislauf.Schritt2,Matrix_Netztyp.Kreislauf.Spalte,5,0)</f>
        <v>1</v>
      </c>
      <c r="D10" s="21"/>
      <c r="E10" s="21"/>
      <c r="F10" s="16"/>
      <c r="G10" s="206" t="s">
        <v>335</v>
      </c>
      <c r="H10" s="90"/>
      <c r="I10" s="16"/>
      <c r="BT10" s="221" t="s">
        <v>339</v>
      </c>
      <c r="BU10" s="223">
        <f ca="1">VLOOKUP(IF(ISBLANK(Txt_Sortiervariante.Resultate),St.Wert_Sortiervariante.Resultate,Txt_Sortiervariante.Resultate),Matrix_Sortiervariante.Resultate.Spaltennummer,2,FALSE)</f>
        <v>70</v>
      </c>
    </row>
    <row r="11" spans="1:73" x14ac:dyDescent="0.2">
      <c r="C11" s="222"/>
      <c r="D11" s="222"/>
      <c r="E11" s="207">
        <v>1</v>
      </c>
      <c r="F11" s="255">
        <f>E11+1</f>
        <v>2</v>
      </c>
      <c r="G11" s="255">
        <f t="shared" ref="G11:AE11" si="0">F11+1</f>
        <v>3</v>
      </c>
      <c r="H11" s="255">
        <f t="shared" si="0"/>
        <v>4</v>
      </c>
      <c r="I11" s="255">
        <f t="shared" si="0"/>
        <v>5</v>
      </c>
      <c r="J11" s="255">
        <f t="shared" si="0"/>
        <v>6</v>
      </c>
      <c r="K11" s="255">
        <f t="shared" si="0"/>
        <v>7</v>
      </c>
      <c r="L11" s="255">
        <f t="shared" si="0"/>
        <v>8</v>
      </c>
      <c r="M11" s="255">
        <f t="shared" si="0"/>
        <v>9</v>
      </c>
      <c r="N11" s="255">
        <f t="shared" si="0"/>
        <v>10</v>
      </c>
      <c r="O11" s="255">
        <f t="shared" si="0"/>
        <v>11</v>
      </c>
      <c r="P11" s="255">
        <f t="shared" si="0"/>
        <v>12</v>
      </c>
      <c r="Q11" s="255">
        <f t="shared" si="0"/>
        <v>13</v>
      </c>
      <c r="R11" s="255">
        <f t="shared" si="0"/>
        <v>14</v>
      </c>
      <c r="S11" s="255">
        <f t="shared" si="0"/>
        <v>15</v>
      </c>
      <c r="T11" s="255">
        <f t="shared" si="0"/>
        <v>16</v>
      </c>
      <c r="U11" s="255">
        <f t="shared" si="0"/>
        <v>17</v>
      </c>
      <c r="V11" s="255">
        <f t="shared" si="0"/>
        <v>18</v>
      </c>
      <c r="W11" s="255">
        <f t="shared" si="0"/>
        <v>19</v>
      </c>
      <c r="X11" s="255">
        <f t="shared" si="0"/>
        <v>20</v>
      </c>
      <c r="Y11" s="255">
        <f t="shared" si="0"/>
        <v>21</v>
      </c>
      <c r="Z11" s="255">
        <f t="shared" si="0"/>
        <v>22</v>
      </c>
      <c r="AA11" s="255">
        <f t="shared" si="0"/>
        <v>23</v>
      </c>
      <c r="AB11" s="255">
        <f t="shared" si="0"/>
        <v>24</v>
      </c>
      <c r="AC11" s="255">
        <f t="shared" si="0"/>
        <v>25</v>
      </c>
      <c r="AD11" s="255">
        <f t="shared" si="0"/>
        <v>26</v>
      </c>
      <c r="AE11" s="255">
        <f t="shared" si="0"/>
        <v>27</v>
      </c>
      <c r="AF11" s="255">
        <f t="shared" ref="AF11" si="1">AE11+1</f>
        <v>28</v>
      </c>
      <c r="AG11" s="255">
        <f t="shared" ref="AG11" si="2">AF11+1</f>
        <v>29</v>
      </c>
      <c r="AH11" s="255">
        <f t="shared" ref="AH11" si="3">AG11+1</f>
        <v>30</v>
      </c>
      <c r="AI11" s="255">
        <f t="shared" ref="AI11" si="4">AH11+1</f>
        <v>31</v>
      </c>
      <c r="AJ11" s="255">
        <f t="shared" ref="AJ11" si="5">AI11+1</f>
        <v>32</v>
      </c>
      <c r="AK11" s="255">
        <f t="shared" ref="AK11" si="6">AJ11+1</f>
        <v>33</v>
      </c>
      <c r="AL11" s="255">
        <f t="shared" ref="AL11" si="7">AK11+1</f>
        <v>34</v>
      </c>
      <c r="AM11" s="255">
        <f t="shared" ref="AM11" si="8">AL11+1</f>
        <v>35</v>
      </c>
      <c r="AN11" s="255">
        <f t="shared" ref="AN11" si="9">AM11+1</f>
        <v>36</v>
      </c>
      <c r="AO11" s="255">
        <f t="shared" ref="AO11" si="10">AN11+1</f>
        <v>37</v>
      </c>
      <c r="AP11" s="255">
        <f t="shared" ref="AP11" si="11">AO11+1</f>
        <v>38</v>
      </c>
      <c r="AQ11" s="255">
        <f t="shared" ref="AQ11" si="12">AP11+1</f>
        <v>39</v>
      </c>
      <c r="AR11" s="255">
        <f t="shared" ref="AR11" si="13">AQ11+1</f>
        <v>40</v>
      </c>
      <c r="AS11" s="255">
        <f t="shared" ref="AS11" si="14">AR11+1</f>
        <v>41</v>
      </c>
      <c r="AT11" s="255">
        <f t="shared" ref="AT11" si="15">AS11+1</f>
        <v>42</v>
      </c>
      <c r="AU11" s="255">
        <f t="shared" ref="AU11" si="16">AT11+1</f>
        <v>43</v>
      </c>
      <c r="AV11" s="255">
        <f t="shared" ref="AV11" si="17">AU11+1</f>
        <v>44</v>
      </c>
      <c r="AW11" s="255">
        <f t="shared" ref="AW11" si="18">AV11+1</f>
        <v>45</v>
      </c>
      <c r="AX11" s="255">
        <f t="shared" ref="AX11" si="19">AW11+1</f>
        <v>46</v>
      </c>
      <c r="AY11" s="255">
        <f t="shared" ref="AY11" si="20">AX11+1</f>
        <v>47</v>
      </c>
      <c r="AZ11" s="255">
        <f t="shared" ref="AZ11" si="21">AY11+1</f>
        <v>48</v>
      </c>
      <c r="BA11" s="255">
        <f t="shared" ref="BA11" si="22">AZ11+1</f>
        <v>49</v>
      </c>
      <c r="BB11" s="255">
        <f t="shared" ref="BB11" si="23">BA11+1</f>
        <v>50</v>
      </c>
      <c r="BC11" s="255">
        <f t="shared" ref="BC11" si="24">BB11+1</f>
        <v>51</v>
      </c>
      <c r="BD11" s="255">
        <f t="shared" ref="BD11" si="25">BC11+1</f>
        <v>52</v>
      </c>
      <c r="BE11" s="255">
        <f t="shared" ref="BE11" si="26">BD11+1</f>
        <v>53</v>
      </c>
      <c r="BF11" s="255">
        <f t="shared" ref="BF11" si="27">BE11+1</f>
        <v>54</v>
      </c>
      <c r="BG11" s="255">
        <f t="shared" ref="BG11" si="28">BF11+1</f>
        <v>55</v>
      </c>
      <c r="BH11" s="255">
        <f t="shared" ref="BH11" si="29">BG11+1</f>
        <v>56</v>
      </c>
      <c r="BI11" s="255">
        <f t="shared" ref="BI11" si="30">BH11+1</f>
        <v>57</v>
      </c>
      <c r="BJ11" s="255">
        <f t="shared" ref="BJ11" si="31">BI11+1</f>
        <v>58</v>
      </c>
      <c r="BK11" s="255">
        <f t="shared" ref="BK11" si="32">BJ11+1</f>
        <v>59</v>
      </c>
      <c r="BL11" s="255">
        <f t="shared" ref="BL11" si="33">BK11+1</f>
        <v>60</v>
      </c>
      <c r="BM11" s="255">
        <f t="shared" ref="BM11" si="34">BL11+1</f>
        <v>61</v>
      </c>
      <c r="BN11" s="255">
        <f t="shared" ref="BN11" si="35">BM11+1</f>
        <v>62</v>
      </c>
      <c r="BO11" s="255">
        <f t="shared" ref="BO11" si="36">BN11+1</f>
        <v>63</v>
      </c>
      <c r="BP11" s="255">
        <f t="shared" ref="BP11" si="37">BO11+1</f>
        <v>64</v>
      </c>
      <c r="BQ11" s="255">
        <f t="shared" ref="BQ11" si="38">BP11+1</f>
        <v>65</v>
      </c>
      <c r="BR11" s="255">
        <f t="shared" ref="BR11" si="39">BQ11+1</f>
        <v>66</v>
      </c>
      <c r="BS11" s="255">
        <f t="shared" ref="BS11" si="40">BR11+1</f>
        <v>67</v>
      </c>
      <c r="BT11" s="255">
        <f t="shared" ref="BT11" si="41">BS11+1</f>
        <v>68</v>
      </c>
      <c r="BU11" s="255">
        <f t="shared" ref="BU11" si="42">BT11+1</f>
        <v>69</v>
      </c>
    </row>
    <row r="12" spans="1:73" x14ac:dyDescent="0.2">
      <c r="D12" s="230" t="s">
        <v>396</v>
      </c>
      <c r="E12" s="207">
        <v>2</v>
      </c>
      <c r="F12" s="68"/>
      <c r="G12" s="68"/>
      <c r="H12" s="16"/>
      <c r="I12" s="16"/>
      <c r="BH12" s="222">
        <f>'Berechnungen 1'!AA9</f>
        <v>27</v>
      </c>
      <c r="BI12" s="222"/>
      <c r="BJ12" s="222"/>
      <c r="BQ12" s="447" t="s">
        <v>340</v>
      </c>
      <c r="BR12" s="448"/>
      <c r="BS12" s="448"/>
      <c r="BT12" s="448"/>
      <c r="BU12" s="449"/>
    </row>
    <row r="13" spans="1:73" x14ac:dyDescent="0.2">
      <c r="B13" s="450" t="s">
        <v>344</v>
      </c>
      <c r="C13" s="450"/>
      <c r="D13" s="450" t="s">
        <v>345</v>
      </c>
      <c r="E13" s="450"/>
      <c r="S13" s="423" t="s">
        <v>178</v>
      </c>
      <c r="T13" s="424"/>
      <c r="U13" s="424"/>
      <c r="V13" s="423" t="s">
        <v>1</v>
      </c>
      <c r="W13" s="424"/>
      <c r="X13" s="424"/>
      <c r="Y13" s="424"/>
      <c r="Z13" s="424"/>
      <c r="AA13" s="432"/>
      <c r="AB13" s="423" t="s">
        <v>179</v>
      </c>
      <c r="AC13" s="424"/>
      <c r="AD13" s="424"/>
      <c r="AE13" s="424"/>
      <c r="AF13" s="298" t="s">
        <v>492</v>
      </c>
      <c r="AG13" s="280"/>
      <c r="AH13" s="424" t="s">
        <v>274</v>
      </c>
      <c r="AI13" s="432"/>
      <c r="AJ13" s="451" t="s">
        <v>180</v>
      </c>
      <c r="AK13" s="452"/>
      <c r="AL13" s="452"/>
      <c r="AM13" s="452"/>
      <c r="AN13" s="452"/>
      <c r="AO13" s="452"/>
      <c r="AP13" s="452"/>
      <c r="AQ13" s="452"/>
      <c r="AR13" s="452"/>
      <c r="AS13" s="452"/>
      <c r="AT13" s="452"/>
      <c r="AU13" s="452"/>
      <c r="AV13" s="452"/>
      <c r="AW13" s="452"/>
      <c r="AX13" s="452"/>
      <c r="AY13" s="452"/>
      <c r="AZ13" s="452"/>
      <c r="BA13" s="452"/>
      <c r="BB13" s="452"/>
      <c r="BC13" s="452"/>
      <c r="BD13" s="452"/>
      <c r="BE13" s="452"/>
      <c r="BF13" s="452"/>
      <c r="BG13" s="452"/>
      <c r="BH13" s="452"/>
      <c r="BI13" s="452"/>
      <c r="BJ13" s="452"/>
      <c r="BK13" s="452"/>
      <c r="BL13" s="452"/>
      <c r="BM13" s="452"/>
      <c r="BN13" s="452"/>
      <c r="BO13" s="452"/>
      <c r="BP13" s="453"/>
      <c r="BQ13" s="213" t="s">
        <v>324</v>
      </c>
      <c r="BR13" s="213" t="s">
        <v>326</v>
      </c>
      <c r="BS13" s="214" t="s">
        <v>327</v>
      </c>
      <c r="BT13" s="214" t="s">
        <v>328</v>
      </c>
      <c r="BU13" s="213" t="s">
        <v>329</v>
      </c>
    </row>
    <row r="14" spans="1:73" ht="15" x14ac:dyDescent="0.25">
      <c r="A14" s="63" t="s">
        <v>38</v>
      </c>
      <c r="B14" s="224" t="s">
        <v>154</v>
      </c>
      <c r="C14" s="224" t="s">
        <v>45</v>
      </c>
      <c r="D14" s="224" t="s">
        <v>154</v>
      </c>
      <c r="E14" s="224" t="s">
        <v>45</v>
      </c>
      <c r="F14" s="63" t="s">
        <v>39</v>
      </c>
      <c r="G14" s="63" t="s">
        <v>288</v>
      </c>
      <c r="H14" s="63" t="s">
        <v>40</v>
      </c>
      <c r="I14" s="74" t="s">
        <v>186</v>
      </c>
      <c r="J14" s="74" t="s">
        <v>187</v>
      </c>
      <c r="K14" s="74" t="s">
        <v>157</v>
      </c>
      <c r="L14" s="64" t="s">
        <v>107</v>
      </c>
      <c r="M14" s="64" t="s">
        <v>147</v>
      </c>
      <c r="N14" s="194" t="s">
        <v>38</v>
      </c>
      <c r="O14" s="249" t="s">
        <v>431</v>
      </c>
      <c r="P14" s="249" t="s">
        <v>432</v>
      </c>
      <c r="Q14" s="74" t="s">
        <v>317</v>
      </c>
      <c r="R14" s="194" t="s">
        <v>318</v>
      </c>
      <c r="S14" s="74" t="s">
        <v>162</v>
      </c>
      <c r="T14" s="74" t="s">
        <v>166</v>
      </c>
      <c r="U14" s="74" t="s">
        <v>155</v>
      </c>
      <c r="V14" s="451" t="s">
        <v>156</v>
      </c>
      <c r="W14" s="452"/>
      <c r="X14" s="453"/>
      <c r="Y14" s="451" t="s">
        <v>175</v>
      </c>
      <c r="Z14" s="452"/>
      <c r="AA14" s="453"/>
      <c r="AB14" s="77">
        <v>0.25</v>
      </c>
      <c r="AC14" s="77">
        <v>0.5</v>
      </c>
      <c r="AD14" s="77">
        <v>0.75</v>
      </c>
      <c r="AE14" s="78">
        <v>1</v>
      </c>
      <c r="AF14" s="78" t="s">
        <v>494</v>
      </c>
      <c r="AG14" s="287" t="s">
        <v>469</v>
      </c>
      <c r="AH14" s="78" t="s">
        <v>285</v>
      </c>
      <c r="AI14" s="78" t="s">
        <v>9</v>
      </c>
      <c r="AJ14" s="451" t="s">
        <v>181</v>
      </c>
      <c r="AK14" s="452"/>
      <c r="AL14" s="452"/>
      <c r="AM14" s="452"/>
      <c r="AN14" s="452"/>
      <c r="AO14" s="452"/>
      <c r="AP14" s="452"/>
      <c r="AQ14" s="452"/>
      <c r="AR14" s="452"/>
      <c r="AS14" s="452"/>
      <c r="AT14" s="453"/>
      <c r="AU14" s="451" t="s">
        <v>182</v>
      </c>
      <c r="AV14" s="452"/>
      <c r="AW14" s="452"/>
      <c r="AX14" s="452"/>
      <c r="AY14" s="452"/>
      <c r="AZ14" s="452"/>
      <c r="BA14" s="452"/>
      <c r="BB14" s="452"/>
      <c r="BC14" s="452"/>
      <c r="BD14" s="452"/>
      <c r="BE14" s="452"/>
      <c r="BF14" s="452"/>
      <c r="BG14" s="453"/>
      <c r="BH14" s="454" t="s">
        <v>183</v>
      </c>
      <c r="BI14" s="454"/>
      <c r="BJ14" s="454"/>
      <c r="BK14" s="454"/>
      <c r="BL14" s="454"/>
      <c r="BM14" s="454"/>
      <c r="BN14" s="423" t="s">
        <v>274</v>
      </c>
      <c r="BO14" s="424"/>
      <c r="BP14" s="432"/>
      <c r="BQ14" s="2" t="s">
        <v>312</v>
      </c>
      <c r="BR14" s="2" t="s">
        <v>314</v>
      </c>
      <c r="BS14" s="2" t="s">
        <v>315</v>
      </c>
      <c r="BT14" s="2" t="s">
        <v>316</v>
      </c>
      <c r="BU14" s="4" t="s">
        <v>233</v>
      </c>
    </row>
    <row r="15" spans="1:73" ht="10.5" customHeight="1" x14ac:dyDescent="0.2">
      <c r="A15" s="65"/>
      <c r="B15" s="38"/>
      <c r="C15" s="38"/>
      <c r="D15" s="38"/>
      <c r="E15" s="38"/>
      <c r="F15" s="65"/>
      <c r="G15" s="65"/>
      <c r="H15" s="65"/>
      <c r="I15" s="75" t="s">
        <v>43</v>
      </c>
      <c r="J15" s="75" t="s">
        <v>44</v>
      </c>
      <c r="K15" s="75" t="s">
        <v>42</v>
      </c>
      <c r="L15" s="38"/>
      <c r="M15" s="38"/>
      <c r="N15" s="184"/>
      <c r="O15" s="75"/>
      <c r="P15" s="75"/>
      <c r="Q15" s="75"/>
      <c r="R15" s="184" t="s">
        <v>105</v>
      </c>
      <c r="S15" s="75" t="s">
        <v>188</v>
      </c>
      <c r="T15" s="75" t="s">
        <v>189</v>
      </c>
      <c r="U15" s="75" t="s">
        <v>158</v>
      </c>
      <c r="V15" s="75" t="s">
        <v>172</v>
      </c>
      <c r="W15" s="75" t="s">
        <v>173</v>
      </c>
      <c r="X15" s="152" t="s">
        <v>174</v>
      </c>
      <c r="Y15" s="88" t="s">
        <v>172</v>
      </c>
      <c r="Z15" s="75" t="s">
        <v>173</v>
      </c>
      <c r="AA15" s="152" t="s">
        <v>174</v>
      </c>
      <c r="AB15" s="75" t="s">
        <v>44</v>
      </c>
      <c r="AC15" s="75" t="s">
        <v>44</v>
      </c>
      <c r="AD15" s="75" t="s">
        <v>44</v>
      </c>
      <c r="AE15" s="79" t="s">
        <v>44</v>
      </c>
      <c r="AF15" s="79"/>
      <c r="AG15" s="79" t="s">
        <v>125</v>
      </c>
      <c r="AH15" s="75" t="s">
        <v>105</v>
      </c>
      <c r="AI15" s="75" t="s">
        <v>106</v>
      </c>
      <c r="AJ15" s="79" t="s">
        <v>87</v>
      </c>
      <c r="AK15" s="79" t="s">
        <v>83</v>
      </c>
      <c r="AL15" s="79" t="s">
        <v>72</v>
      </c>
      <c r="AM15" s="79" t="s">
        <v>190</v>
      </c>
      <c r="AN15" s="79" t="s">
        <v>114</v>
      </c>
      <c r="AO15" s="79" t="s">
        <v>113</v>
      </c>
      <c r="AP15" s="79" t="s">
        <v>115</v>
      </c>
      <c r="AQ15" s="79" t="s">
        <v>116</v>
      </c>
      <c r="AR15" s="75" t="s">
        <v>191</v>
      </c>
      <c r="AS15" s="75" t="s">
        <v>105</v>
      </c>
      <c r="AT15" s="75" t="s">
        <v>106</v>
      </c>
      <c r="AU15" s="75" t="s">
        <v>201</v>
      </c>
      <c r="AV15" s="75" t="s">
        <v>202</v>
      </c>
      <c r="AW15" s="75" t="s">
        <v>203</v>
      </c>
      <c r="AX15" s="75" t="s">
        <v>198</v>
      </c>
      <c r="AY15" s="75" t="s">
        <v>204</v>
      </c>
      <c r="AZ15" s="75" t="s">
        <v>162</v>
      </c>
      <c r="BA15" s="104">
        <v>0.25</v>
      </c>
      <c r="BB15" s="104">
        <v>0.5</v>
      </c>
      <c r="BC15" s="104">
        <v>0.75</v>
      </c>
      <c r="BD15" s="104">
        <v>1</v>
      </c>
      <c r="BE15" s="75" t="s">
        <v>125</v>
      </c>
      <c r="BF15" s="75" t="s">
        <v>105</v>
      </c>
      <c r="BG15" s="75" t="s">
        <v>106</v>
      </c>
      <c r="BH15" s="75" t="s">
        <v>102</v>
      </c>
      <c r="BI15" s="75" t="s">
        <v>437</v>
      </c>
      <c r="BJ15" s="75" t="s">
        <v>438</v>
      </c>
      <c r="BK15" s="75" t="s">
        <v>125</v>
      </c>
      <c r="BL15" s="75" t="s">
        <v>105</v>
      </c>
      <c r="BM15" s="75" t="s">
        <v>106</v>
      </c>
      <c r="BN15" s="75" t="s">
        <v>125</v>
      </c>
      <c r="BO15" s="75" t="s">
        <v>105</v>
      </c>
      <c r="BP15" s="75" t="s">
        <v>106</v>
      </c>
    </row>
    <row r="16" spans="1:73" x14ac:dyDescent="0.2">
      <c r="A16" s="87">
        <f ca="1">'Etape 2'!A13</f>
        <v>1</v>
      </c>
      <c r="B16" s="87">
        <f>'Etape 2'!B13</f>
        <v>1</v>
      </c>
      <c r="C16" s="87">
        <f ca="1">'Etape 2'!C13</f>
        <v>300</v>
      </c>
      <c r="D16" s="87"/>
      <c r="E16" s="61">
        <f ca="1">RANK(BU16,BU$16:BU$315,0)+COUNTIF(BU$16:BU16,BU16)-1</f>
        <v>299</v>
      </c>
      <c r="F16" s="87" t="str">
        <f ca="1">'Etape 2'!D13</f>
        <v>Pumpe 1</v>
      </c>
      <c r="G16" s="87" t="str">
        <f ca="1">'Etape 2'!E13</f>
        <v>A1</v>
      </c>
      <c r="H16" s="87" t="str">
        <f ca="1">'Etape 2'!F13</f>
        <v>Werkstatt</v>
      </c>
      <c r="I16" s="87">
        <f ca="1">'Etape 2'!G13</f>
        <v>10</v>
      </c>
      <c r="J16" s="87">
        <f ca="1">'Etape 2'!H13</f>
        <v>2000</v>
      </c>
      <c r="K16" s="87" t="str">
        <f ca="1">'Etape 2'!I13</f>
        <v/>
      </c>
      <c r="L16" s="87">
        <f ca="1">'Etape 2'!J13</f>
        <v>2.8595681160637056</v>
      </c>
      <c r="M16" s="87">
        <f ca="1">'Etape 2'!K13</f>
        <v>2</v>
      </c>
      <c r="N16" s="87">
        <f ca="1">'Etape 2'!L13</f>
        <v>1</v>
      </c>
      <c r="O16" s="259">
        <f t="shared" ref="O16:O79" ca="1" si="43">VLOOKUP(IF(U16=0,St.Wert_Regulierungsart,U16),Matrix_Regulierungsart.Einsparfaktor,3,FALSE)</f>
        <v>0.3</v>
      </c>
      <c r="P16" s="259">
        <f t="shared" ref="P16:P79" ca="1" si="44">VLOOKUP(IF(U16=0,St.Wert_Regulierungsart,U16),Matrix_Regulierungsart.Einsparfaktor,4,FALSE)</f>
        <v>1.1000000000000001</v>
      </c>
      <c r="Q16" s="260">
        <f t="shared" ref="Q16:Q79" ca="1" si="45">IF(AE16&lt;0,St.Wert_Lastfaktor,IF(SUM(AB16:AE16)=0,0,O16+(P16-O16)*SUMPRODUCT(AB$14:AE$14,AB16:AE16)/SUM(AB16:AE16)))</f>
        <v>0.5</v>
      </c>
      <c r="R16" s="261">
        <f ca="1">IF(ISERROR(Q16*I16*J16),0,Q16*I16*J16)</f>
        <v>10000</v>
      </c>
      <c r="S16" s="87">
        <f>IF(ISBLANK('Etape 2'!N13),0,VLOOKUP('Etape 2'!N13,Matrix_Uebersetzung,2,FALSE))</f>
        <v>0</v>
      </c>
      <c r="T16" s="87" t="str">
        <f ca="1">IF(ISBLANK('Etape 2'!O13),0,VLOOKUP('Etape 2'!O13,Matrix_Uebersetzung,2,FALSE))</f>
        <v>variable</v>
      </c>
      <c r="U16" s="87" t="str">
        <f ca="1">IF(ISBLANK('Etape 2'!P13),0,VLOOKUP('Etape 2'!P13,Matrix_Uebersetzung,2,FALSE))</f>
        <v>par étranglement, vanne</v>
      </c>
      <c r="V16" s="87">
        <f ca="1">'Etape 2'!Q13</f>
        <v>4</v>
      </c>
      <c r="W16" s="87">
        <f>'Etape 2'!R13</f>
        <v>0</v>
      </c>
      <c r="X16" s="87">
        <f ca="1">'Etape 2'!S13</f>
        <v>4</v>
      </c>
      <c r="Y16" s="89" t="str">
        <f ca="1">'Etape 2'!T13</f>
        <v>&lt;IE0</v>
      </c>
      <c r="Z16" s="87">
        <f>'Etape 2'!U13</f>
        <v>0</v>
      </c>
      <c r="AA16" s="87" t="str">
        <f ca="1">'Etape 2'!V13</f>
        <v>&lt;IE0</v>
      </c>
      <c r="AB16" s="87">
        <f>IF(ISNUMBER('Etape 2'!W13),'Etape 2'!W13,0)</f>
        <v>2000</v>
      </c>
      <c r="AC16" s="87">
        <f>IF(ISNUMBER('Etape 2'!X13),'Etape 2'!X13,0)</f>
        <v>0</v>
      </c>
      <c r="AD16" s="87">
        <f>IF(ISNUMBER('Etape 2'!Y13),'Etape 2'!Y13,0)</f>
        <v>0</v>
      </c>
      <c r="AE16" s="87">
        <f ca="1">IF(ISNUMBER('Etape 2'!Z13),'Etape 2'!Z13,0)</f>
        <v>0</v>
      </c>
      <c r="AF16" s="86">
        <f ca="1">IF(AE16&lt;0,-1,1)*M16</f>
        <v>2</v>
      </c>
      <c r="AG16" s="288">
        <f ca="1">IF(AE16=0,IF(AD16=0,IF(AC16=0,AB$14,AC$14),AD$14),AE$14)</f>
        <v>0.25</v>
      </c>
      <c r="AH16" s="181">
        <f t="shared" ref="AH16:AH79" ca="1" si="46">I16*J16</f>
        <v>20000</v>
      </c>
      <c r="AI16" s="181">
        <f t="shared" ref="AI16" ca="1" si="47">AH16*Preis_Strom.Schritt2/100</f>
        <v>3200</v>
      </c>
      <c r="AJ16" s="86">
        <f t="shared" ref="AJ16:AJ79" ca="1" si="48">IF(I16&lt;Wert_Motor.max.Leistung.fuer.Berechnung.Wirkungsgrad,I16,Wert_Motor.max.Leistung.fuer.Berechnung.Wirkungsgrad)</f>
        <v>10</v>
      </c>
      <c r="AK16" s="91">
        <f t="shared" ref="AK16:AK79" ca="1" si="49">VLOOKUP(I16,Matrix_Motor.LeistungsKl.ID,2,1)</f>
        <v>3</v>
      </c>
      <c r="AL16" s="91">
        <f t="shared" ref="AL16:AL47" ca="1" si="50">VLOOKUP(AA16,Matrix_Motor.EffKl.IEID,2,1)</f>
        <v>1</v>
      </c>
      <c r="AM16" s="91">
        <f t="shared" ref="AM16:AM47" si="51">Wert_Motor.IEID.neu.Schritt2</f>
        <v>6</v>
      </c>
      <c r="AN16" s="91" t="str">
        <f ca="1">CONCATENATE(AK16,AL16,X16)</f>
        <v>314</v>
      </c>
      <c r="AO16" s="91" t="str">
        <f ca="1">CONCATENATE(AK16,AM16,X16)</f>
        <v>364</v>
      </c>
      <c r="AP16" s="21">
        <f t="shared" ref="AP16:AP47" ca="1" si="52">(VLOOKUP(AN16,Matrix_Motor.KombiKl.EffParameter,3,0)*(LOG(AJ16))^3+VLOOKUP(AN16,Matrix_Motor.KombiKl.EffParameter,4,0)*(LOG(AJ16))^2+VLOOKUP(AN16,Matrix_Motor.KombiKl.EffParameter,5,0)*(LOG(AJ16))+VLOOKUP(AN16,Matrix_Motor.KombiKl.EffParameter,6,0))/100</f>
        <v>0.83310000000000006</v>
      </c>
      <c r="AQ16" s="21">
        <f t="shared" ref="AQ16:AQ47" ca="1" si="53">(VLOOKUP(AO16,Matrix_Motor.KombiKl.EffParameter,3,0)*(LOG(AJ16))^3+VLOOKUP(AO16,Matrix_Motor.KombiKl.EffParameter,4,0)*(LOG(AJ16))^2+VLOOKUP(AO16,Matrix_Motor.KombiKl.EffParameter,5,0)*(LOG(AJ16))+VLOOKUP(AO16,Matrix_Motor.KombiKl.EffParameter,6,0))/100</f>
        <v>0.931585</v>
      </c>
      <c r="AR16" s="92" t="str">
        <f ca="1">IF(AND(ISNUMBER(A16),ISNUMBER(K16+AP16+AQ16)),IF(ISERROR(1-AP16/AQ16),0,1-AP16/AQ16),"")</f>
        <v/>
      </c>
      <c r="AS16" s="21" t="str">
        <f ca="1">IF(AND(ISNUMBER(AR16),AE16&gt;=0),R16*AR16,"")</f>
        <v/>
      </c>
      <c r="AT16" s="59" t="str">
        <f t="shared" ref="AT16:AT79" ca="1" si="54">IF(AND(ISNUMBER(AR16),AE16&gt;=0),AS16*Preis_Strom.Schritt2/100,"")</f>
        <v/>
      </c>
      <c r="AU16" s="105">
        <f t="shared" ref="AU16:AU47" si="55">Wert_Netztyp.Zahl.Schritt2</f>
        <v>1</v>
      </c>
      <c r="AV16" s="105">
        <f t="shared" ref="AV16:AV47" si="56">IF(ISERROR(VLOOKUP(S16,Matrix_Kreislauf.Zahl,2,0)),Wert_Kreislauf.Zahl.Schritt2,VLOOKUP(S16,Matrix_Kreislauf.Zahl,2,0))</f>
        <v>1</v>
      </c>
      <c r="AW16" s="58">
        <f>AU16+AV16</f>
        <v>2</v>
      </c>
      <c r="AX16" s="58">
        <f t="shared" ref="AX16:AX47" si="57">VLOOKUP(AW16,Matrix_Netztyp.Kreislauf.Spalte,6,0)</f>
        <v>3</v>
      </c>
      <c r="AY16" s="58" t="str">
        <f t="shared" ref="AY16:AY47" si="58">VLOOKUP(AW16,Matrix_Netztyp.Kreislauf.Spalte,2,0)</f>
        <v>avec vannes</v>
      </c>
      <c r="AZ16" s="58" t="str">
        <f t="shared" ref="AZ16:AZ47" si="59">VLOOKUP(AW16,Matrix_Netztyp.Kreislauf.Spalte,4,0)</f>
        <v>fermé</v>
      </c>
      <c r="BA16" s="60">
        <f t="shared" ref="BA16:BD35" ca="1" si="60">IF(BA$15/$AG16&gt;1,0,VLOOKUP(BA$15/$AG16,Matrix_Regelung.Teilvolumenstrom.Einsparpotential.ID,$AX16,0))</f>
        <v>0</v>
      </c>
      <c r="BB16" s="60">
        <f t="shared" ca="1" si="60"/>
        <v>0</v>
      </c>
      <c r="BC16" s="60">
        <f t="shared" ca="1" si="60"/>
        <v>0</v>
      </c>
      <c r="BD16" s="60">
        <f t="shared" ca="1" si="60"/>
        <v>0</v>
      </c>
      <c r="BE16" s="286">
        <f t="shared" ref="BE16:BE79" ca="1" si="61">IF(AND(ISNUMBER(A16),AE16&gt;=0),IF(SUM(AB16:AE16)&gt;0,SUMPRODUCT(AB16:AE16,BA16:BD16)/SUM(AB16:AE16),0)*VLOOKUP(IF(U16=0,St.Wert_Regulierungsart,U16),Matrix_Regulierungsart.Einsparfaktor,2,FALSE),"")</f>
        <v>0</v>
      </c>
      <c r="BF16" s="58">
        <f ca="1">IF(AND(ISNUMBER(A16),AE16&gt;=0),R16*BE16,"")</f>
        <v>0</v>
      </c>
      <c r="BG16" s="59">
        <f t="shared" ref="BG16:BG79" ca="1" si="62">IF(AND(ISNUMBER(A16),AE16&gt;=0),BF16*Preis_Strom.Schritt2/100,"")</f>
        <v>0</v>
      </c>
      <c r="BH16" s="158">
        <f t="shared" ref="BH16:BH79" ca="1" si="63">VLOOKUP(C16,Matrix_Berechnungen1.Rang.Pumpendaten.Zwischenresultate,BH$12,0)</f>
        <v>1</v>
      </c>
      <c r="BI16" s="60">
        <f t="shared" ref="BI16:BI79" ca="1" si="64">VLOOKUP(BH16,Matrix_Anlage.AlterID.Einsparpotential.und.EnergieAnteil,5,0)</f>
        <v>0.15</v>
      </c>
      <c r="BJ16" s="60">
        <f t="shared" ref="BJ16:BJ79" ca="1" si="65">VLOOKUP(AG16,Matrix_Redim.Teilvolumenstrom.Einsparpotential.ID,2,0)</f>
        <v>0.2</v>
      </c>
      <c r="BK16" s="60">
        <f ca="1">IF(AND(ISNUMBER(A16),AE16&gt;=0),1-((1-BI16)*(1-BJ16)),"")</f>
        <v>0.31999999999999995</v>
      </c>
      <c r="BL16" s="21">
        <f ca="1">IF(AND(ISNUMBER(A16),AE16&gt;=0),R16*BK16,"")</f>
        <v>3199.9999999999995</v>
      </c>
      <c r="BM16" s="264">
        <f t="shared" ref="BM16:BM79" ca="1" si="66">IF(AND(ISNUMBER(A16),AE16&gt;=0),BL16*Preis_Strom.Schritt2/100,"")</f>
        <v>511.99999999999994</v>
      </c>
      <c r="BN16" s="60">
        <f ca="1">IF(AND(ISNUMBER(A16),AE16&gt;=0),(1-(1-IF(ISNUMBER(AR16),AR16,0))*(1-BE16)*(1-BK16)),"")</f>
        <v>0.31999999999999995</v>
      </c>
      <c r="BO16" s="136">
        <f ca="1">IF(AND(ISNUMBER(A16),AE16&gt;=0),R16*BN16,0)</f>
        <v>3199.9999999999995</v>
      </c>
      <c r="BP16" s="264">
        <f t="shared" ref="BP16" ca="1" si="67">BO16*Preis_Strom.Schritt2/100</f>
        <v>511.99999999999994</v>
      </c>
      <c r="BQ16" s="136">
        <f t="shared" ref="BQ16:BQ79" ca="1" si="68">VLOOKUP(M16,Matrix_Sortierung.Schritt2.Multiplikator.ID.BewertungSchritt1,2,FALSE)*MAX($N$16:$N$315)+$N16</f>
        <v>301</v>
      </c>
      <c r="BR16" s="136">
        <f t="shared" ref="BR16:BR79" ca="1" si="69">VLOOKUP(M16,Matrix_Sortierung.Schritt2.Multiplikator.ID.BewertungSchritt1,2,FALSE)*MAX($I$16:$I$315)-IF(ISNUMBER(I16),I16,0)+$N16/(MAX($N$16:$N$315)+1)</f>
        <v>240.00332225913621</v>
      </c>
      <c r="BS16" s="136">
        <f t="shared" ref="BS16:BS79" ca="1" si="70">VLOOKUP(M16,Matrix_Sortierung.Schritt2.Multiplikator.ID.BewertungSchritt1,2,FALSE)*MAX($R$16:$R$315)-R16+$N16/(MAX($N$16:$N$315)+1)</f>
        <v>357200.00332225912</v>
      </c>
      <c r="BT16" s="136">
        <f t="shared" ref="BT16:BT79" ca="1" si="71">VLOOKUP(M16,Matrix_Sortierung.Schritt2.Multiplikator.ID.BewertungSchritt1,2,FALSE)*MAX($BO$16:$BO$315)-BO16+$N16/(MAX($N$16:$N$315)+1)</f>
        <v>75268.734003698934</v>
      </c>
      <c r="BU16" s="136">
        <f t="shared" ref="BU16:BU79" ca="1" si="72">INDIRECT(ADDRESS(ROW(BU16),Wert_Sortiervariante.Resultate.SpaltenNr))</f>
        <v>240.00332225913621</v>
      </c>
    </row>
    <row r="17" spans="1:73" x14ac:dyDescent="0.2">
      <c r="A17" s="87">
        <f ca="1">'Etape 2'!A14</f>
        <v>2</v>
      </c>
      <c r="B17" s="87">
        <f>'Etape 2'!B14</f>
        <v>2</v>
      </c>
      <c r="C17" s="87">
        <f ca="1">'Etape 2'!C14</f>
        <v>299</v>
      </c>
      <c r="D17" s="87"/>
      <c r="E17" s="61">
        <f ca="1">RANK(BU17,BU$16:BU$315,0)+COUNTIF(BU$16:BU17,BU17)-1</f>
        <v>300</v>
      </c>
      <c r="F17" s="87" t="str">
        <f ca="1">'Etape 2'!D14</f>
        <v>Pumpe 2</v>
      </c>
      <c r="G17" s="87" t="str">
        <f ca="1">'Etape 2'!E14</f>
        <v>A2</v>
      </c>
      <c r="H17" s="87" t="str">
        <f ca="1">'Etape 2'!F14</f>
        <v>Heizzentrale</v>
      </c>
      <c r="I17" s="87">
        <f ca="1">'Etape 2'!G14</f>
        <v>136</v>
      </c>
      <c r="J17" s="87">
        <f ca="1">'Etape 2'!H14</f>
        <v>3000</v>
      </c>
      <c r="K17" s="87">
        <f ca="1">'Etape 2'!I14</f>
        <v>1900</v>
      </c>
      <c r="L17" s="87">
        <f ca="1">'Etape 2'!J14</f>
        <v>1.2199197860962567</v>
      </c>
      <c r="M17" s="87">
        <f ca="1">'Etape 2'!K14</f>
        <v>1</v>
      </c>
      <c r="N17" s="87">
        <f ca="1">'Etape 2'!L14</f>
        <v>2</v>
      </c>
      <c r="O17" s="259">
        <f t="shared" ca="1" si="43"/>
        <v>0.3</v>
      </c>
      <c r="P17" s="259">
        <f t="shared" ca="1" si="44"/>
        <v>1.1000000000000001</v>
      </c>
      <c r="Q17" s="260">
        <f t="shared" ca="1" si="45"/>
        <v>0.89999999999999991</v>
      </c>
      <c r="R17" s="261">
        <f t="shared" ref="R17:R23" ca="1" si="73">IF(ISERROR(Q17*I17*J17),0,Q17*I17*J17)</f>
        <v>367200</v>
      </c>
      <c r="S17" s="87">
        <f>IF(ISBLANK('Etape 2'!N14),0,VLOOKUP('Etape 2'!N14,Matrix_Uebersetzung,2,FALSE))</f>
        <v>0</v>
      </c>
      <c r="T17" s="87" t="str">
        <f ca="1">IF(ISBLANK('Etape 2'!O14),0,VLOOKUP('Etape 2'!O14,Matrix_Uebersetzung,2,FALSE))</f>
        <v>variable</v>
      </c>
      <c r="U17" s="87" t="str">
        <f ca="1">IF(ISBLANK('Etape 2'!P14),0,VLOOKUP('Etape 2'!P14,Matrix_Uebersetzung,2,FALSE))</f>
        <v>par étranglement, vanne</v>
      </c>
      <c r="V17" s="87">
        <f ca="1">'Etape 2'!Q14</f>
        <v>4</v>
      </c>
      <c r="W17" s="87">
        <f>'Etape 2'!R14</f>
        <v>0</v>
      </c>
      <c r="X17" s="87">
        <f ca="1">'Etape 2'!S14</f>
        <v>4</v>
      </c>
      <c r="Y17" s="89" t="str">
        <f ca="1">'Etape 2'!T14</f>
        <v>&lt;IE0</v>
      </c>
      <c r="Z17" s="87" t="str">
        <f>'Etape 2'!U14</f>
        <v>&lt;IE0</v>
      </c>
      <c r="AA17" s="87" t="str">
        <f>'Etape 2'!V14</f>
        <v>&lt;IE0</v>
      </c>
      <c r="AB17" s="87">
        <f>IF(ISNUMBER('Etape 2'!W14),'Etape 2'!W14,0)</f>
        <v>0</v>
      </c>
      <c r="AC17" s="87">
        <f>IF(ISNUMBER('Etape 2'!X14),'Etape 2'!X14,0)</f>
        <v>0</v>
      </c>
      <c r="AD17" s="87">
        <f>IF(ISNUMBER('Etape 2'!Y14),'Etape 2'!Y14,0)</f>
        <v>3000</v>
      </c>
      <c r="AE17" s="87">
        <f ca="1">IF(ISNUMBER('Etape 2'!Z14),'Etape 2'!Z14,0)</f>
        <v>0</v>
      </c>
      <c r="AF17" s="86">
        <f t="shared" ref="AF17:AF80" ca="1" si="74">IF(AE17&lt;0,-1,1)*M17</f>
        <v>1</v>
      </c>
      <c r="AG17" s="288">
        <f t="shared" ref="AG17:AG80" ca="1" si="75">IF(AE17=0,IF(AD17=0,IF(AC17=0,AB$14,AC$14),AD$14),AE$14)</f>
        <v>0.75</v>
      </c>
      <c r="AH17" s="181">
        <f t="shared" ca="1" si="46"/>
        <v>408000</v>
      </c>
      <c r="AI17" s="181">
        <f t="shared" ref="AI17:AI80" ca="1" si="76">AH17*Preis_Strom.Schritt2/100</f>
        <v>65280</v>
      </c>
      <c r="AJ17" s="86">
        <f t="shared" ca="1" si="48"/>
        <v>136</v>
      </c>
      <c r="AK17" s="91">
        <f t="shared" ca="1" si="49"/>
        <v>3</v>
      </c>
      <c r="AL17" s="91">
        <f t="shared" si="50"/>
        <v>1</v>
      </c>
      <c r="AM17" s="91">
        <f t="shared" si="51"/>
        <v>6</v>
      </c>
      <c r="AN17" s="91" t="str">
        <f t="shared" ref="AN17:AN80" ca="1" si="77">CONCATENATE(AK17,AL17,X17)</f>
        <v>314</v>
      </c>
      <c r="AO17" s="91" t="str">
        <f t="shared" ref="AO17:AO80" ca="1" si="78">CONCATENATE(AK17,AM17,X17)</f>
        <v>364</v>
      </c>
      <c r="AP17" s="21">
        <f t="shared" ca="1" si="52"/>
        <v>0.91041618346109909</v>
      </c>
      <c r="AQ17" s="21">
        <f t="shared" ca="1" si="53"/>
        <v>0.9644813249894153</v>
      </c>
      <c r="AR17" s="92">
        <f t="shared" ref="AR17:AR80" ca="1" si="79">IF(AND(ISNUMBER(A17),ISNUMBER(K17+AP17+AQ17)),IF(ISERROR(1-AP17/AQ17),0,1-AP17/AQ17),"")</f>
        <v>5.6056182870010018E-2</v>
      </c>
      <c r="AS17" s="21">
        <f t="shared" ref="AS17:AS80" ca="1" si="80">IF(AND(ISNUMBER(AR17),AE17&gt;=0),R17*AR17,"")</f>
        <v>20583.83034986768</v>
      </c>
      <c r="AT17" s="59">
        <f t="shared" ca="1" si="54"/>
        <v>3293.4128559788287</v>
      </c>
      <c r="AU17" s="105">
        <f t="shared" si="55"/>
        <v>1</v>
      </c>
      <c r="AV17" s="105">
        <f t="shared" si="56"/>
        <v>1</v>
      </c>
      <c r="AW17" s="58">
        <f t="shared" ref="AW17:AW19" si="81">AU17+AV17</f>
        <v>2</v>
      </c>
      <c r="AX17" s="58">
        <f t="shared" si="57"/>
        <v>3</v>
      </c>
      <c r="AY17" s="58" t="str">
        <f t="shared" si="58"/>
        <v>avec vannes</v>
      </c>
      <c r="AZ17" s="58" t="str">
        <f t="shared" si="59"/>
        <v>fermé</v>
      </c>
      <c r="BA17" s="60">
        <f t="shared" ca="1" si="60"/>
        <v>0.17333333333333334</v>
      </c>
      <c r="BB17" s="60">
        <f t="shared" ca="1" si="60"/>
        <v>9.3333333333333338E-2</v>
      </c>
      <c r="BC17" s="60">
        <f t="shared" ca="1" si="60"/>
        <v>0</v>
      </c>
      <c r="BD17" s="60">
        <f t="shared" ca="1" si="60"/>
        <v>0</v>
      </c>
      <c r="BE17" s="286">
        <f t="shared" ca="1" si="61"/>
        <v>0</v>
      </c>
      <c r="BF17" s="58">
        <f t="shared" ref="BF17:BF80" ca="1" si="82">IF(AND(ISNUMBER(A17),AE17&gt;=0),R17*BE17,"")</f>
        <v>0</v>
      </c>
      <c r="BG17" s="59">
        <f t="shared" ca="1" si="62"/>
        <v>0</v>
      </c>
      <c r="BH17" s="158">
        <f t="shared" ca="1" si="63"/>
        <v>1</v>
      </c>
      <c r="BI17" s="60">
        <f t="shared" ca="1" si="64"/>
        <v>0.15</v>
      </c>
      <c r="BJ17" s="60">
        <f t="shared" ca="1" si="65"/>
        <v>0.02</v>
      </c>
      <c r="BK17" s="60">
        <f t="shared" ref="BK17:BK80" ca="1" si="83">IF(AND(ISNUMBER(A17),AE17&gt;=0),1-((1-BI17)*(1-BJ17)),"")</f>
        <v>0.16700000000000004</v>
      </c>
      <c r="BL17" s="21">
        <f t="shared" ref="BL17:BL80" ca="1" si="84">IF(AND(ISNUMBER(A17),AE17&gt;=0),R17*BK17,"")</f>
        <v>61322.400000000016</v>
      </c>
      <c r="BM17" s="264">
        <f t="shared" ca="1" si="66"/>
        <v>9811.5840000000026</v>
      </c>
      <c r="BN17" s="60">
        <f t="shared" ref="BN17:BN80" ca="1" si="85">IF(AND(ISNUMBER(A17),AE17&gt;=0),(1-(1-IF(ISNUMBER(AR17),AR17,0))*(1-BE17)*(1-BK17)),"")</f>
        <v>0.21369480033071842</v>
      </c>
      <c r="BO17" s="136">
        <f t="shared" ref="BO17:BO80" ca="1" si="86">IF(AND(ISNUMBER(A17),AE17&gt;=0),R17*BN17,0)</f>
        <v>78468.730681439803</v>
      </c>
      <c r="BP17" s="59">
        <f t="shared" ref="BP17:BP80" ca="1" si="87">BO17*Preis_Strom.Schritt2/100</f>
        <v>12554.996909030369</v>
      </c>
      <c r="BQ17" s="136">
        <f t="shared" ca="1" si="68"/>
        <v>302</v>
      </c>
      <c r="BR17" s="136">
        <f t="shared" ca="1" si="69"/>
        <v>114.00664451827242</v>
      </c>
      <c r="BS17" s="136">
        <f t="shared" ca="1" si="70"/>
        <v>6.6445182724252493E-3</v>
      </c>
      <c r="BT17" s="136">
        <f t="shared" ca="1" si="71"/>
        <v>6.6445182724252493E-3</v>
      </c>
      <c r="BU17" s="136">
        <f t="shared" ca="1" si="72"/>
        <v>114.00664451827242</v>
      </c>
    </row>
    <row r="18" spans="1:73" x14ac:dyDescent="0.2">
      <c r="A18" s="87">
        <f ca="1">'Etape 2'!A15</f>
        <v>3</v>
      </c>
      <c r="B18" s="87">
        <f>'Etape 2'!B15</f>
        <v>3</v>
      </c>
      <c r="C18" s="87">
        <f ca="1">'Etape 2'!C15</f>
        <v>298</v>
      </c>
      <c r="D18" s="87"/>
      <c r="E18" s="61">
        <f ca="1">RANK(BU18,BU$16:BU$315,0)+COUNTIF(BU$16:BU18,BU18)-1</f>
        <v>298</v>
      </c>
      <c r="F18" s="87" t="str">
        <f ca="1">'Etape 2'!D15</f>
        <v>Pumpe 3</v>
      </c>
      <c r="G18" s="87" t="str">
        <f ca="1">'Etape 2'!E15</f>
        <v>A3</v>
      </c>
      <c r="H18" s="87" t="str">
        <f ca="1">'Etape 2'!F15</f>
        <v/>
      </c>
      <c r="I18" s="87">
        <f ca="1">'Etape 2'!G15</f>
        <v>250</v>
      </c>
      <c r="J18" s="87">
        <f ca="1">'Etape 2'!H15</f>
        <v>100</v>
      </c>
      <c r="K18" s="87">
        <f ca="1">'Etape 2'!I15</f>
        <v>1980</v>
      </c>
      <c r="L18" s="87">
        <f ca="1">'Etape 2'!J15</f>
        <v>35.454545454545453</v>
      </c>
      <c r="M18" s="87">
        <f ca="1">'Etape 2'!K15</f>
        <v>0</v>
      </c>
      <c r="N18" s="87">
        <f ca="1">'Etape 2'!L15</f>
        <v>3</v>
      </c>
      <c r="O18" s="259">
        <f t="shared" si="43"/>
        <v>0.3</v>
      </c>
      <c r="P18" s="259">
        <f t="shared" si="44"/>
        <v>1.1000000000000001</v>
      </c>
      <c r="Q18" s="260">
        <f t="shared" ca="1" si="45"/>
        <v>1.1000000000000001</v>
      </c>
      <c r="R18" s="261">
        <f t="shared" ca="1" si="73"/>
        <v>27500</v>
      </c>
      <c r="S18" s="87">
        <f>IF(ISBLANK('Etape 2'!N15),0,VLOOKUP('Etape 2'!N15,Matrix_Uebersetzung,2,FALSE))</f>
        <v>0</v>
      </c>
      <c r="T18" s="87">
        <f>IF(ISBLANK('Etape 2'!O15),0,VLOOKUP('Etape 2'!O15,Matrix_Uebersetzung,2,FALSE))</f>
        <v>0</v>
      </c>
      <c r="U18" s="87">
        <f>IF(ISBLANK('Etape 2'!P15),0,VLOOKUP('Etape 2'!P15,Matrix_Uebersetzung,2,FALSE))</f>
        <v>0</v>
      </c>
      <c r="V18" s="87">
        <f ca="1">'Etape 2'!Q15</f>
        <v>4</v>
      </c>
      <c r="W18" s="87">
        <f>'Etape 2'!R15</f>
        <v>0</v>
      </c>
      <c r="X18" s="87">
        <f ca="1">'Etape 2'!S15</f>
        <v>4</v>
      </c>
      <c r="Y18" s="89" t="str">
        <f ca="1">'Etape 2'!T15</f>
        <v>IE0 (Eff3)</v>
      </c>
      <c r="Z18" s="87">
        <f>'Etape 2'!U15</f>
        <v>0</v>
      </c>
      <c r="AA18" s="87" t="str">
        <f ca="1">'Etape 2'!V15</f>
        <v>IE0 (Eff3)</v>
      </c>
      <c r="AB18" s="87">
        <f>IF(ISNUMBER('Etape 2'!W15),'Etape 2'!W15,0)</f>
        <v>0</v>
      </c>
      <c r="AC18" s="87">
        <f>IF(ISNUMBER('Etape 2'!X15),'Etape 2'!X15,0)</f>
        <v>0</v>
      </c>
      <c r="AD18" s="87">
        <f>IF(ISNUMBER('Etape 2'!Y15),'Etape 2'!Y15,0)</f>
        <v>0</v>
      </c>
      <c r="AE18" s="87">
        <f ca="1">IF(ISNUMBER('Etape 2'!Z15),'Etape 2'!Z15,0)</f>
        <v>100</v>
      </c>
      <c r="AF18" s="86">
        <f t="shared" ca="1" si="74"/>
        <v>0</v>
      </c>
      <c r="AG18" s="288">
        <f t="shared" ca="1" si="75"/>
        <v>1</v>
      </c>
      <c r="AH18" s="181">
        <f t="shared" ca="1" si="46"/>
        <v>25000</v>
      </c>
      <c r="AI18" s="181">
        <f t="shared" ca="1" si="76"/>
        <v>4000</v>
      </c>
      <c r="AJ18" s="86">
        <f t="shared" ca="1" si="48"/>
        <v>200</v>
      </c>
      <c r="AK18" s="91">
        <f t="shared" ca="1" si="49"/>
        <v>3</v>
      </c>
      <c r="AL18" s="91">
        <f t="shared" ca="1" si="50"/>
        <v>2</v>
      </c>
      <c r="AM18" s="91">
        <f t="shared" si="51"/>
        <v>6</v>
      </c>
      <c r="AN18" s="91" t="str">
        <f t="shared" ca="1" si="77"/>
        <v>324</v>
      </c>
      <c r="AO18" s="91" t="str">
        <f t="shared" ca="1" si="78"/>
        <v>364</v>
      </c>
      <c r="AP18" s="21">
        <f t="shared" ca="1" si="52"/>
        <v>0.92809140342000607</v>
      </c>
      <c r="AQ18" s="21">
        <f t="shared" ca="1" si="53"/>
        <v>0.96705404244119875</v>
      </c>
      <c r="AR18" s="92">
        <f t="shared" ca="1" si="79"/>
        <v>4.0290032729542902E-2</v>
      </c>
      <c r="AS18" s="21">
        <f t="shared" ca="1" si="80"/>
        <v>1107.9759000624299</v>
      </c>
      <c r="AT18" s="59">
        <f t="shared" ca="1" si="54"/>
        <v>177.2761440099888</v>
      </c>
      <c r="AU18" s="105">
        <f t="shared" si="55"/>
        <v>1</v>
      </c>
      <c r="AV18" s="105">
        <f t="shared" si="56"/>
        <v>1</v>
      </c>
      <c r="AW18" s="58">
        <f t="shared" si="81"/>
        <v>2</v>
      </c>
      <c r="AX18" s="58">
        <f t="shared" si="57"/>
        <v>3</v>
      </c>
      <c r="AY18" s="58" t="str">
        <f t="shared" si="58"/>
        <v>avec vannes</v>
      </c>
      <c r="AZ18" s="58" t="str">
        <f t="shared" si="59"/>
        <v>fermé</v>
      </c>
      <c r="BA18" s="60">
        <f t="shared" ca="1" si="60"/>
        <v>0.2</v>
      </c>
      <c r="BB18" s="60">
        <f t="shared" ca="1" si="60"/>
        <v>0.12</v>
      </c>
      <c r="BC18" s="60">
        <f t="shared" ca="1" si="60"/>
        <v>0.08</v>
      </c>
      <c r="BD18" s="60">
        <f t="shared" ca="1" si="60"/>
        <v>0</v>
      </c>
      <c r="BE18" s="286">
        <f t="shared" ca="1" si="61"/>
        <v>0</v>
      </c>
      <c r="BF18" s="58">
        <f t="shared" ca="1" si="82"/>
        <v>0</v>
      </c>
      <c r="BG18" s="59">
        <f t="shared" ca="1" si="62"/>
        <v>0</v>
      </c>
      <c r="BH18" s="158">
        <f t="shared" ca="1" si="63"/>
        <v>1</v>
      </c>
      <c r="BI18" s="60">
        <f t="shared" ca="1" si="64"/>
        <v>0.15</v>
      </c>
      <c r="BJ18" s="60">
        <f t="shared" ca="1" si="65"/>
        <v>0</v>
      </c>
      <c r="BK18" s="60">
        <f t="shared" ca="1" si="83"/>
        <v>0.15000000000000002</v>
      </c>
      <c r="BL18" s="21">
        <f t="shared" ca="1" si="84"/>
        <v>4125.0000000000009</v>
      </c>
      <c r="BM18" s="264">
        <f t="shared" ca="1" si="66"/>
        <v>660.00000000000011</v>
      </c>
      <c r="BN18" s="60">
        <f t="shared" ca="1" si="85"/>
        <v>0.18424652782011153</v>
      </c>
      <c r="BO18" s="136">
        <f t="shared" ca="1" si="86"/>
        <v>5066.7795150530674</v>
      </c>
      <c r="BP18" s="59">
        <f t="shared" ca="1" si="87"/>
        <v>810.68472240849076</v>
      </c>
      <c r="BQ18" s="136">
        <f t="shared" ca="1" si="68"/>
        <v>903</v>
      </c>
      <c r="BR18" s="136">
        <f t="shared" ca="1" si="69"/>
        <v>500.00996677740864</v>
      </c>
      <c r="BS18" s="136">
        <f t="shared" ca="1" si="70"/>
        <v>1074100.0099667774</v>
      </c>
      <c r="BT18" s="136">
        <f t="shared" ca="1" si="71"/>
        <v>230339.42249604376</v>
      </c>
      <c r="BU18" s="136">
        <f t="shared" ca="1" si="72"/>
        <v>500.00996677740864</v>
      </c>
    </row>
    <row r="19" spans="1:73" x14ac:dyDescent="0.2">
      <c r="A19" s="87" t="str">
        <f>'Etape 2'!A16</f>
        <v/>
      </c>
      <c r="B19" s="87">
        <f>'Etape 2'!B16</f>
        <v>4</v>
      </c>
      <c r="C19" s="87">
        <f ca="1">'Etape 2'!C16</f>
        <v>297</v>
      </c>
      <c r="D19" s="87"/>
      <c r="E19" s="61">
        <f ca="1">RANK(BU19,BU$16:BU$315,0)+COUNTIF(BU$16:BU19,BU19)-1</f>
        <v>297</v>
      </c>
      <c r="F19" s="87" t="str">
        <f>'Etape 2'!D16</f>
        <v/>
      </c>
      <c r="G19" s="87" t="str">
        <f>'Etape 2'!E16</f>
        <v/>
      </c>
      <c r="H19" s="87" t="str">
        <f>'Etape 2'!F16</f>
        <v/>
      </c>
      <c r="I19" s="87" t="str">
        <f>'Etape 2'!G16</f>
        <v/>
      </c>
      <c r="J19" s="87" t="str">
        <f>'Etape 2'!H16</f>
        <v/>
      </c>
      <c r="K19" s="87" t="str">
        <f>'Etape 2'!I16</f>
        <v/>
      </c>
      <c r="L19" s="87">
        <f ca="1">'Etape 2'!J16</f>
        <v>999999</v>
      </c>
      <c r="M19" s="87">
        <f>'Etape 2'!K16</f>
        <v>999</v>
      </c>
      <c r="N19" s="87">
        <f ca="1">'Etape 2'!L16</f>
        <v>4</v>
      </c>
      <c r="O19" s="259">
        <f t="shared" si="43"/>
        <v>0.3</v>
      </c>
      <c r="P19" s="259">
        <f t="shared" si="44"/>
        <v>1.1000000000000001</v>
      </c>
      <c r="Q19" s="260">
        <f t="shared" si="45"/>
        <v>0</v>
      </c>
      <c r="R19" s="261">
        <f t="shared" si="73"/>
        <v>0</v>
      </c>
      <c r="S19" s="87">
        <f>IF(ISBLANK('Etape 2'!N16),0,VLOOKUP('Etape 2'!N16,Matrix_Uebersetzung,2,FALSE))</f>
        <v>0</v>
      </c>
      <c r="T19" s="87">
        <f>IF(ISBLANK('Etape 2'!O16),0,VLOOKUP('Etape 2'!O16,Matrix_Uebersetzung,2,FALSE))</f>
        <v>0</v>
      </c>
      <c r="U19" s="87">
        <f>IF(ISBLANK('Etape 2'!P16),0,VLOOKUP('Etape 2'!P16,Matrix_Uebersetzung,2,FALSE))</f>
        <v>0</v>
      </c>
      <c r="V19" s="87" t="str">
        <f>'Etape 2'!Q16</f>
        <v/>
      </c>
      <c r="W19" s="87">
        <f>'Etape 2'!R16</f>
        <v>0</v>
      </c>
      <c r="X19" s="87" t="str">
        <f>'Etape 2'!S16</f>
        <v/>
      </c>
      <c r="Y19" s="89" t="str">
        <f>'Etape 2'!T16</f>
        <v/>
      </c>
      <c r="Z19" s="87">
        <f>'Etape 2'!U16</f>
        <v>0</v>
      </c>
      <c r="AA19" s="87" t="str">
        <f>'Etape 2'!V16</f>
        <v/>
      </c>
      <c r="AB19" s="87">
        <f>IF(ISNUMBER('Etape 2'!W16),'Etape 2'!W16,0)</f>
        <v>0</v>
      </c>
      <c r="AC19" s="87">
        <f>IF(ISNUMBER('Etape 2'!X16),'Etape 2'!X16,0)</f>
        <v>0</v>
      </c>
      <c r="AD19" s="87">
        <f>IF(ISNUMBER('Etape 2'!Y16),'Etape 2'!Y16,0)</f>
        <v>0</v>
      </c>
      <c r="AE19" s="87">
        <f>IF(ISNUMBER('Etape 2'!Z16),'Etape 2'!Z16,0)</f>
        <v>0</v>
      </c>
      <c r="AF19" s="86">
        <f t="shared" si="74"/>
        <v>999</v>
      </c>
      <c r="AG19" s="288">
        <f>IF(AE19=0,IF(AD19=0,IF(AC19=0,AB$14,AC$14),AD$14),AE$14)</f>
        <v>0.25</v>
      </c>
      <c r="AH19" s="181" t="e">
        <f t="shared" si="46"/>
        <v>#VALUE!</v>
      </c>
      <c r="AI19" s="181" t="e">
        <f t="shared" si="76"/>
        <v>#VALUE!</v>
      </c>
      <c r="AJ19" s="86">
        <f t="shared" si="48"/>
        <v>200</v>
      </c>
      <c r="AK19" s="91" t="e">
        <f t="shared" si="49"/>
        <v>#N/A</v>
      </c>
      <c r="AL19" s="91" t="e">
        <f t="shared" si="50"/>
        <v>#N/A</v>
      </c>
      <c r="AM19" s="91">
        <f t="shared" si="51"/>
        <v>6</v>
      </c>
      <c r="AN19" s="91" t="e">
        <f t="shared" si="77"/>
        <v>#N/A</v>
      </c>
      <c r="AO19" s="91" t="e">
        <f t="shared" si="78"/>
        <v>#N/A</v>
      </c>
      <c r="AP19" s="21" t="e">
        <f t="shared" si="52"/>
        <v>#N/A</v>
      </c>
      <c r="AQ19" s="21" t="e">
        <f t="shared" si="53"/>
        <v>#N/A</v>
      </c>
      <c r="AR19" s="92" t="str">
        <f t="shared" si="79"/>
        <v/>
      </c>
      <c r="AS19" s="21" t="str">
        <f t="shared" si="80"/>
        <v/>
      </c>
      <c r="AT19" s="59" t="str">
        <f t="shared" si="54"/>
        <v/>
      </c>
      <c r="AU19" s="105">
        <f t="shared" si="55"/>
        <v>1</v>
      </c>
      <c r="AV19" s="105">
        <f t="shared" si="56"/>
        <v>1</v>
      </c>
      <c r="AW19" s="58">
        <f t="shared" si="81"/>
        <v>2</v>
      </c>
      <c r="AX19" s="58">
        <f t="shared" si="57"/>
        <v>3</v>
      </c>
      <c r="AY19" s="58" t="str">
        <f t="shared" si="58"/>
        <v>avec vannes</v>
      </c>
      <c r="AZ19" s="58" t="str">
        <f t="shared" si="59"/>
        <v>fermé</v>
      </c>
      <c r="BA19" s="60">
        <f t="shared" si="60"/>
        <v>0</v>
      </c>
      <c r="BB19" s="60">
        <f t="shared" si="60"/>
        <v>0</v>
      </c>
      <c r="BC19" s="60">
        <f t="shared" si="60"/>
        <v>0</v>
      </c>
      <c r="BD19" s="60">
        <f t="shared" si="60"/>
        <v>0</v>
      </c>
      <c r="BE19" s="286" t="str">
        <f t="shared" si="61"/>
        <v/>
      </c>
      <c r="BF19" s="58" t="str">
        <f t="shared" si="82"/>
        <v/>
      </c>
      <c r="BG19" s="59" t="str">
        <f t="shared" si="62"/>
        <v/>
      </c>
      <c r="BH19" s="158">
        <f t="shared" ca="1" si="63"/>
        <v>1</v>
      </c>
      <c r="BI19" s="60">
        <f t="shared" ca="1" si="64"/>
        <v>0.15</v>
      </c>
      <c r="BJ19" s="60">
        <f t="shared" si="65"/>
        <v>0.2</v>
      </c>
      <c r="BK19" s="60" t="str">
        <f t="shared" si="83"/>
        <v/>
      </c>
      <c r="BL19" s="21" t="str">
        <f t="shared" si="84"/>
        <v/>
      </c>
      <c r="BM19" s="264" t="str">
        <f t="shared" si="66"/>
        <v/>
      </c>
      <c r="BN19" s="60" t="str">
        <f t="shared" si="85"/>
        <v/>
      </c>
      <c r="BO19" s="136">
        <f t="shared" si="86"/>
        <v>0</v>
      </c>
      <c r="BP19" s="59">
        <f t="shared" si="87"/>
        <v>0</v>
      </c>
      <c r="BQ19" s="136">
        <f t="shared" ca="1" si="68"/>
        <v>1204</v>
      </c>
      <c r="BR19" s="136">
        <f t="shared" ca="1" si="69"/>
        <v>1000.0132890365448</v>
      </c>
      <c r="BS19" s="136">
        <f t="shared" ca="1" si="70"/>
        <v>1468800.0132890365</v>
      </c>
      <c r="BT19" s="136">
        <f t="shared" ca="1" si="71"/>
        <v>313874.93601479573</v>
      </c>
      <c r="BU19" s="136">
        <f t="shared" ca="1" si="72"/>
        <v>1000.0132890365448</v>
      </c>
    </row>
    <row r="20" spans="1:73" x14ac:dyDescent="0.2">
      <c r="A20" s="87" t="str">
        <f>'Etape 2'!A17</f>
        <v/>
      </c>
      <c r="B20" s="87">
        <f>'Etape 2'!B17</f>
        <v>5</v>
      </c>
      <c r="C20" s="87">
        <f ca="1">'Etape 2'!C17</f>
        <v>296</v>
      </c>
      <c r="D20" s="87"/>
      <c r="E20" s="61">
        <f ca="1">RANK(BU20,BU$16:BU$315,0)+COUNTIF(BU$16:BU20,BU20)-1</f>
        <v>296</v>
      </c>
      <c r="F20" s="87" t="str">
        <f>'Etape 2'!D17</f>
        <v/>
      </c>
      <c r="G20" s="87" t="str">
        <f>'Etape 2'!E17</f>
        <v/>
      </c>
      <c r="H20" s="87" t="str">
        <f>'Etape 2'!F17</f>
        <v/>
      </c>
      <c r="I20" s="87" t="str">
        <f>'Etape 2'!G17</f>
        <v/>
      </c>
      <c r="J20" s="87" t="str">
        <f>'Etape 2'!H17</f>
        <v/>
      </c>
      <c r="K20" s="87" t="str">
        <f>'Etape 2'!I17</f>
        <v/>
      </c>
      <c r="L20" s="87">
        <f ca="1">'Etape 2'!J17</f>
        <v>999999</v>
      </c>
      <c r="M20" s="87">
        <f>'Etape 2'!K17</f>
        <v>999</v>
      </c>
      <c r="N20" s="87">
        <f ca="1">'Etape 2'!L17</f>
        <v>5</v>
      </c>
      <c r="O20" s="259">
        <f t="shared" si="43"/>
        <v>0.3</v>
      </c>
      <c r="P20" s="259">
        <f t="shared" si="44"/>
        <v>1.1000000000000001</v>
      </c>
      <c r="Q20" s="260">
        <f t="shared" si="45"/>
        <v>0</v>
      </c>
      <c r="R20" s="261">
        <f t="shared" si="73"/>
        <v>0</v>
      </c>
      <c r="S20" s="87">
        <f>IF(ISBLANK('Etape 2'!N17),0,VLOOKUP('Etape 2'!N17,Matrix_Uebersetzung,2,FALSE))</f>
        <v>0</v>
      </c>
      <c r="T20" s="87">
        <f>IF(ISBLANK('Etape 2'!O17),0,VLOOKUP('Etape 2'!O17,Matrix_Uebersetzung,2,FALSE))</f>
        <v>0</v>
      </c>
      <c r="U20" s="87">
        <f>IF(ISBLANK('Etape 2'!P17),0,VLOOKUP('Etape 2'!P17,Matrix_Uebersetzung,2,FALSE))</f>
        <v>0</v>
      </c>
      <c r="V20" s="87" t="str">
        <f>'Etape 2'!Q17</f>
        <v/>
      </c>
      <c r="W20" s="87">
        <f>'Etape 2'!R17</f>
        <v>0</v>
      </c>
      <c r="X20" s="87" t="str">
        <f>'Etape 2'!S17</f>
        <v/>
      </c>
      <c r="Y20" s="89" t="str">
        <f>'Etape 2'!T17</f>
        <v/>
      </c>
      <c r="Z20" s="87">
        <f>'Etape 2'!U17</f>
        <v>0</v>
      </c>
      <c r="AA20" s="87" t="str">
        <f>'Etape 2'!V17</f>
        <v/>
      </c>
      <c r="AB20" s="87">
        <f>IF(ISNUMBER('Etape 2'!W17),'Etape 2'!W17,0)</f>
        <v>0</v>
      </c>
      <c r="AC20" s="87">
        <f>IF(ISNUMBER('Etape 2'!X17),'Etape 2'!X17,0)</f>
        <v>0</v>
      </c>
      <c r="AD20" s="87">
        <f>IF(ISNUMBER('Etape 2'!Y17),'Etape 2'!Y17,0)</f>
        <v>0</v>
      </c>
      <c r="AE20" s="87">
        <f>IF(ISNUMBER('Etape 2'!Z17),'Etape 2'!Z17,0)</f>
        <v>0</v>
      </c>
      <c r="AF20" s="86">
        <f t="shared" si="74"/>
        <v>999</v>
      </c>
      <c r="AG20" s="288">
        <f t="shared" si="75"/>
        <v>0.25</v>
      </c>
      <c r="AH20" s="181" t="e">
        <f t="shared" si="46"/>
        <v>#VALUE!</v>
      </c>
      <c r="AI20" s="181" t="e">
        <f t="shared" si="76"/>
        <v>#VALUE!</v>
      </c>
      <c r="AJ20" s="86">
        <f t="shared" si="48"/>
        <v>200</v>
      </c>
      <c r="AK20" s="91" t="e">
        <f t="shared" si="49"/>
        <v>#N/A</v>
      </c>
      <c r="AL20" s="91" t="e">
        <f t="shared" si="50"/>
        <v>#N/A</v>
      </c>
      <c r="AM20" s="91">
        <f t="shared" si="51"/>
        <v>6</v>
      </c>
      <c r="AN20" s="91" t="e">
        <f t="shared" si="77"/>
        <v>#N/A</v>
      </c>
      <c r="AO20" s="91" t="e">
        <f t="shared" si="78"/>
        <v>#N/A</v>
      </c>
      <c r="AP20" s="21" t="e">
        <f t="shared" si="52"/>
        <v>#N/A</v>
      </c>
      <c r="AQ20" s="21" t="e">
        <f t="shared" si="53"/>
        <v>#N/A</v>
      </c>
      <c r="AR20" s="92" t="str">
        <f t="shared" si="79"/>
        <v/>
      </c>
      <c r="AS20" s="21" t="str">
        <f t="shared" si="80"/>
        <v/>
      </c>
      <c r="AT20" s="59" t="str">
        <f t="shared" si="54"/>
        <v/>
      </c>
      <c r="AU20" s="105">
        <f t="shared" si="55"/>
        <v>1</v>
      </c>
      <c r="AV20" s="105">
        <f t="shared" si="56"/>
        <v>1</v>
      </c>
      <c r="AW20" s="58">
        <f t="shared" ref="AW20:AW83" si="88">AU20+AV20</f>
        <v>2</v>
      </c>
      <c r="AX20" s="58">
        <f t="shared" si="57"/>
        <v>3</v>
      </c>
      <c r="AY20" s="58" t="str">
        <f t="shared" si="58"/>
        <v>avec vannes</v>
      </c>
      <c r="AZ20" s="58" t="str">
        <f t="shared" si="59"/>
        <v>fermé</v>
      </c>
      <c r="BA20" s="60">
        <f t="shared" si="60"/>
        <v>0</v>
      </c>
      <c r="BB20" s="60">
        <f t="shared" si="60"/>
        <v>0</v>
      </c>
      <c r="BC20" s="60">
        <f t="shared" si="60"/>
        <v>0</v>
      </c>
      <c r="BD20" s="60">
        <f t="shared" si="60"/>
        <v>0</v>
      </c>
      <c r="BE20" s="286" t="str">
        <f t="shared" si="61"/>
        <v/>
      </c>
      <c r="BF20" s="58" t="str">
        <f t="shared" si="82"/>
        <v/>
      </c>
      <c r="BG20" s="59" t="str">
        <f t="shared" si="62"/>
        <v/>
      </c>
      <c r="BH20" s="158">
        <f t="shared" ca="1" si="63"/>
        <v>1</v>
      </c>
      <c r="BI20" s="60">
        <f t="shared" ca="1" si="64"/>
        <v>0.15</v>
      </c>
      <c r="BJ20" s="60">
        <f t="shared" si="65"/>
        <v>0.2</v>
      </c>
      <c r="BK20" s="60" t="str">
        <f t="shared" si="83"/>
        <v/>
      </c>
      <c r="BL20" s="21" t="str">
        <f t="shared" si="84"/>
        <v/>
      </c>
      <c r="BM20" s="264" t="str">
        <f t="shared" si="66"/>
        <v/>
      </c>
      <c r="BN20" s="60" t="str">
        <f t="shared" si="85"/>
        <v/>
      </c>
      <c r="BO20" s="136">
        <f t="shared" si="86"/>
        <v>0</v>
      </c>
      <c r="BP20" s="59">
        <f t="shared" si="87"/>
        <v>0</v>
      </c>
      <c r="BQ20" s="136">
        <f t="shared" ca="1" si="68"/>
        <v>1205</v>
      </c>
      <c r="BR20" s="136">
        <f t="shared" ca="1" si="69"/>
        <v>1000.0166112956811</v>
      </c>
      <c r="BS20" s="136">
        <f t="shared" ca="1" si="70"/>
        <v>1468800.0166112958</v>
      </c>
      <c r="BT20" s="136">
        <f t="shared" ca="1" si="71"/>
        <v>313874.93933705491</v>
      </c>
      <c r="BU20" s="136">
        <f t="shared" ca="1" si="72"/>
        <v>1000.0166112956811</v>
      </c>
    </row>
    <row r="21" spans="1:73" x14ac:dyDescent="0.2">
      <c r="A21" s="87" t="str">
        <f>'Etape 2'!A18</f>
        <v/>
      </c>
      <c r="B21" s="87">
        <f>'Etape 2'!B18</f>
        <v>6</v>
      </c>
      <c r="C21" s="87">
        <f ca="1">'Etape 2'!C18</f>
        <v>295</v>
      </c>
      <c r="D21" s="87"/>
      <c r="E21" s="61">
        <f ca="1">RANK(BU21,BU$16:BU$315,0)+COUNTIF(BU$16:BU21,BU21)-1</f>
        <v>295</v>
      </c>
      <c r="F21" s="87" t="str">
        <f>'Etape 2'!D18</f>
        <v/>
      </c>
      <c r="G21" s="87" t="str">
        <f>'Etape 2'!E18</f>
        <v/>
      </c>
      <c r="H21" s="87" t="str">
        <f>'Etape 2'!F18</f>
        <v/>
      </c>
      <c r="I21" s="87" t="str">
        <f>'Etape 2'!G18</f>
        <v/>
      </c>
      <c r="J21" s="87" t="str">
        <f>'Etape 2'!H18</f>
        <v/>
      </c>
      <c r="K21" s="87" t="str">
        <f>'Etape 2'!I18</f>
        <v/>
      </c>
      <c r="L21" s="87">
        <f ca="1">'Etape 2'!J18</f>
        <v>999999</v>
      </c>
      <c r="M21" s="87">
        <f>'Etape 2'!K18</f>
        <v>999</v>
      </c>
      <c r="N21" s="87">
        <f ca="1">'Etape 2'!L18</f>
        <v>6</v>
      </c>
      <c r="O21" s="259">
        <f t="shared" si="43"/>
        <v>0.3</v>
      </c>
      <c r="P21" s="259">
        <f t="shared" si="44"/>
        <v>1.1000000000000001</v>
      </c>
      <c r="Q21" s="260">
        <f t="shared" si="45"/>
        <v>0</v>
      </c>
      <c r="R21" s="261">
        <f t="shared" si="73"/>
        <v>0</v>
      </c>
      <c r="S21" s="87">
        <f>IF(ISBLANK('Etape 2'!N18),0,VLOOKUP('Etape 2'!N18,Matrix_Uebersetzung,2,FALSE))</f>
        <v>0</v>
      </c>
      <c r="T21" s="87">
        <f>IF(ISBLANK('Etape 2'!O18),0,VLOOKUP('Etape 2'!O18,Matrix_Uebersetzung,2,FALSE))</f>
        <v>0</v>
      </c>
      <c r="U21" s="87">
        <f>IF(ISBLANK('Etape 2'!P18),0,VLOOKUP('Etape 2'!P18,Matrix_Uebersetzung,2,FALSE))</f>
        <v>0</v>
      </c>
      <c r="V21" s="87" t="str">
        <f>'Etape 2'!Q18</f>
        <v/>
      </c>
      <c r="W21" s="87">
        <f>'Etape 2'!R18</f>
        <v>0</v>
      </c>
      <c r="X21" s="87" t="str">
        <f>'Etape 2'!S18</f>
        <v/>
      </c>
      <c r="Y21" s="89" t="str">
        <f>'Etape 2'!T18</f>
        <v/>
      </c>
      <c r="Z21" s="87">
        <f>'Etape 2'!U18</f>
        <v>0</v>
      </c>
      <c r="AA21" s="87" t="str">
        <f>'Etape 2'!V18</f>
        <v/>
      </c>
      <c r="AB21" s="87">
        <f>IF(ISNUMBER('Etape 2'!W18),'Etape 2'!W18,0)</f>
        <v>0</v>
      </c>
      <c r="AC21" s="87">
        <f>IF(ISNUMBER('Etape 2'!X18),'Etape 2'!X18,0)</f>
        <v>0</v>
      </c>
      <c r="AD21" s="87">
        <f>IF(ISNUMBER('Etape 2'!Y18),'Etape 2'!Y18,0)</f>
        <v>0</v>
      </c>
      <c r="AE21" s="87">
        <f>IF(ISNUMBER('Etape 2'!Z18),'Etape 2'!Z18,0)</f>
        <v>0</v>
      </c>
      <c r="AF21" s="86">
        <f t="shared" si="74"/>
        <v>999</v>
      </c>
      <c r="AG21" s="288">
        <f t="shared" si="75"/>
        <v>0.25</v>
      </c>
      <c r="AH21" s="181" t="e">
        <f t="shared" si="46"/>
        <v>#VALUE!</v>
      </c>
      <c r="AI21" s="181" t="e">
        <f t="shared" si="76"/>
        <v>#VALUE!</v>
      </c>
      <c r="AJ21" s="86">
        <f t="shared" si="48"/>
        <v>200</v>
      </c>
      <c r="AK21" s="91" t="e">
        <f t="shared" si="49"/>
        <v>#N/A</v>
      </c>
      <c r="AL21" s="91" t="e">
        <f t="shared" si="50"/>
        <v>#N/A</v>
      </c>
      <c r="AM21" s="91">
        <f t="shared" si="51"/>
        <v>6</v>
      </c>
      <c r="AN21" s="91" t="e">
        <f t="shared" si="77"/>
        <v>#N/A</v>
      </c>
      <c r="AO21" s="91" t="e">
        <f t="shared" si="78"/>
        <v>#N/A</v>
      </c>
      <c r="AP21" s="21" t="e">
        <f t="shared" si="52"/>
        <v>#N/A</v>
      </c>
      <c r="AQ21" s="21" t="e">
        <f t="shared" si="53"/>
        <v>#N/A</v>
      </c>
      <c r="AR21" s="92" t="str">
        <f t="shared" si="79"/>
        <v/>
      </c>
      <c r="AS21" s="21" t="str">
        <f t="shared" si="80"/>
        <v/>
      </c>
      <c r="AT21" s="59" t="str">
        <f t="shared" si="54"/>
        <v/>
      </c>
      <c r="AU21" s="105">
        <f t="shared" si="55"/>
        <v>1</v>
      </c>
      <c r="AV21" s="105">
        <f t="shared" si="56"/>
        <v>1</v>
      </c>
      <c r="AW21" s="58">
        <f t="shared" si="88"/>
        <v>2</v>
      </c>
      <c r="AX21" s="58">
        <f t="shared" si="57"/>
        <v>3</v>
      </c>
      <c r="AY21" s="58" t="str">
        <f t="shared" si="58"/>
        <v>avec vannes</v>
      </c>
      <c r="AZ21" s="58" t="str">
        <f t="shared" si="59"/>
        <v>fermé</v>
      </c>
      <c r="BA21" s="60">
        <f t="shared" si="60"/>
        <v>0</v>
      </c>
      <c r="BB21" s="60">
        <f t="shared" si="60"/>
        <v>0</v>
      </c>
      <c r="BC21" s="60">
        <f t="shared" si="60"/>
        <v>0</v>
      </c>
      <c r="BD21" s="60">
        <f t="shared" si="60"/>
        <v>0</v>
      </c>
      <c r="BE21" s="286" t="str">
        <f t="shared" si="61"/>
        <v/>
      </c>
      <c r="BF21" s="58" t="str">
        <f t="shared" si="82"/>
        <v/>
      </c>
      <c r="BG21" s="59" t="str">
        <f t="shared" si="62"/>
        <v/>
      </c>
      <c r="BH21" s="158">
        <f t="shared" ca="1" si="63"/>
        <v>1</v>
      </c>
      <c r="BI21" s="60">
        <f t="shared" ca="1" si="64"/>
        <v>0.15</v>
      </c>
      <c r="BJ21" s="60">
        <f t="shared" si="65"/>
        <v>0.2</v>
      </c>
      <c r="BK21" s="60" t="str">
        <f t="shared" si="83"/>
        <v/>
      </c>
      <c r="BL21" s="21" t="str">
        <f t="shared" si="84"/>
        <v/>
      </c>
      <c r="BM21" s="264" t="str">
        <f t="shared" si="66"/>
        <v/>
      </c>
      <c r="BN21" s="60" t="str">
        <f t="shared" si="85"/>
        <v/>
      </c>
      <c r="BO21" s="136">
        <f t="shared" si="86"/>
        <v>0</v>
      </c>
      <c r="BP21" s="59">
        <f t="shared" si="87"/>
        <v>0</v>
      </c>
      <c r="BQ21" s="136">
        <f t="shared" ca="1" si="68"/>
        <v>1206</v>
      </c>
      <c r="BR21" s="136">
        <f t="shared" ca="1" si="69"/>
        <v>1000.0199335548173</v>
      </c>
      <c r="BS21" s="136">
        <f t="shared" ca="1" si="70"/>
        <v>1468800.0199335548</v>
      </c>
      <c r="BT21" s="136">
        <f t="shared" ca="1" si="71"/>
        <v>313874.94265931402</v>
      </c>
      <c r="BU21" s="136">
        <f t="shared" ca="1" si="72"/>
        <v>1000.0199335548173</v>
      </c>
    </row>
    <row r="22" spans="1:73" x14ac:dyDescent="0.2">
      <c r="A22" s="87" t="str">
        <f>'Etape 2'!A19</f>
        <v/>
      </c>
      <c r="B22" s="87">
        <f>'Etape 2'!B19</f>
        <v>7</v>
      </c>
      <c r="C22" s="87">
        <f ca="1">'Etape 2'!C19</f>
        <v>294</v>
      </c>
      <c r="D22" s="87"/>
      <c r="E22" s="61">
        <f ca="1">RANK(BU22,BU$16:BU$315,0)+COUNTIF(BU$16:BU22,BU22)-1</f>
        <v>294</v>
      </c>
      <c r="F22" s="87" t="str">
        <f>'Etape 2'!D19</f>
        <v/>
      </c>
      <c r="G22" s="87" t="str">
        <f>'Etape 2'!E19</f>
        <v/>
      </c>
      <c r="H22" s="87" t="str">
        <f>'Etape 2'!F19</f>
        <v/>
      </c>
      <c r="I22" s="87" t="str">
        <f>'Etape 2'!G19</f>
        <v/>
      </c>
      <c r="J22" s="87" t="str">
        <f>'Etape 2'!H19</f>
        <v/>
      </c>
      <c r="K22" s="87" t="str">
        <f>'Etape 2'!I19</f>
        <v/>
      </c>
      <c r="L22" s="87">
        <f ca="1">'Etape 2'!J19</f>
        <v>999999</v>
      </c>
      <c r="M22" s="87">
        <f>'Etape 2'!K19</f>
        <v>999</v>
      </c>
      <c r="N22" s="87">
        <f ca="1">'Etape 2'!L19</f>
        <v>7</v>
      </c>
      <c r="O22" s="259">
        <f t="shared" si="43"/>
        <v>0.3</v>
      </c>
      <c r="P22" s="259">
        <f t="shared" si="44"/>
        <v>1.1000000000000001</v>
      </c>
      <c r="Q22" s="260">
        <f t="shared" si="45"/>
        <v>0</v>
      </c>
      <c r="R22" s="261">
        <f t="shared" si="73"/>
        <v>0</v>
      </c>
      <c r="S22" s="87">
        <f>IF(ISBLANK('Etape 2'!N19),0,VLOOKUP('Etape 2'!N19,Matrix_Uebersetzung,2,FALSE))</f>
        <v>0</v>
      </c>
      <c r="T22" s="87">
        <f>IF(ISBLANK('Etape 2'!O19),0,VLOOKUP('Etape 2'!O19,Matrix_Uebersetzung,2,FALSE))</f>
        <v>0</v>
      </c>
      <c r="U22" s="87">
        <f>IF(ISBLANK('Etape 2'!P19),0,VLOOKUP('Etape 2'!P19,Matrix_Uebersetzung,2,FALSE))</f>
        <v>0</v>
      </c>
      <c r="V22" s="87" t="str">
        <f>'Etape 2'!Q19</f>
        <v/>
      </c>
      <c r="W22" s="87">
        <f>'Etape 2'!R19</f>
        <v>0</v>
      </c>
      <c r="X22" s="87" t="str">
        <f>'Etape 2'!S19</f>
        <v/>
      </c>
      <c r="Y22" s="89" t="str">
        <f>'Etape 2'!T19</f>
        <v/>
      </c>
      <c r="Z22" s="87">
        <f>'Etape 2'!U19</f>
        <v>0</v>
      </c>
      <c r="AA22" s="87" t="str">
        <f>'Etape 2'!V19</f>
        <v/>
      </c>
      <c r="AB22" s="87">
        <f>IF(ISNUMBER('Etape 2'!W19),'Etape 2'!W19,0)</f>
        <v>0</v>
      </c>
      <c r="AC22" s="87">
        <f>IF(ISNUMBER('Etape 2'!X19),'Etape 2'!X19,0)</f>
        <v>0</v>
      </c>
      <c r="AD22" s="87">
        <f>IF(ISNUMBER('Etape 2'!Y19),'Etape 2'!Y19,0)</f>
        <v>0</v>
      </c>
      <c r="AE22" s="87">
        <f>IF(ISNUMBER('Etape 2'!Z19),'Etape 2'!Z19,0)</f>
        <v>0</v>
      </c>
      <c r="AF22" s="86">
        <f t="shared" si="74"/>
        <v>999</v>
      </c>
      <c r="AG22" s="288">
        <f t="shared" si="75"/>
        <v>0.25</v>
      </c>
      <c r="AH22" s="181" t="e">
        <f t="shared" si="46"/>
        <v>#VALUE!</v>
      </c>
      <c r="AI22" s="181" t="e">
        <f t="shared" si="76"/>
        <v>#VALUE!</v>
      </c>
      <c r="AJ22" s="86">
        <f t="shared" si="48"/>
        <v>200</v>
      </c>
      <c r="AK22" s="91" t="e">
        <f t="shared" si="49"/>
        <v>#N/A</v>
      </c>
      <c r="AL22" s="91" t="e">
        <f t="shared" si="50"/>
        <v>#N/A</v>
      </c>
      <c r="AM22" s="91">
        <f t="shared" si="51"/>
        <v>6</v>
      </c>
      <c r="AN22" s="91" t="e">
        <f t="shared" si="77"/>
        <v>#N/A</v>
      </c>
      <c r="AO22" s="91" t="e">
        <f t="shared" si="78"/>
        <v>#N/A</v>
      </c>
      <c r="AP22" s="21" t="e">
        <f t="shared" si="52"/>
        <v>#N/A</v>
      </c>
      <c r="AQ22" s="21" t="e">
        <f t="shared" si="53"/>
        <v>#N/A</v>
      </c>
      <c r="AR22" s="92" t="str">
        <f t="shared" si="79"/>
        <v/>
      </c>
      <c r="AS22" s="21" t="str">
        <f t="shared" si="80"/>
        <v/>
      </c>
      <c r="AT22" s="59" t="str">
        <f t="shared" si="54"/>
        <v/>
      </c>
      <c r="AU22" s="105">
        <f t="shared" si="55"/>
        <v>1</v>
      </c>
      <c r="AV22" s="105">
        <f t="shared" si="56"/>
        <v>1</v>
      </c>
      <c r="AW22" s="58">
        <f t="shared" si="88"/>
        <v>2</v>
      </c>
      <c r="AX22" s="58">
        <f t="shared" si="57"/>
        <v>3</v>
      </c>
      <c r="AY22" s="58" t="str">
        <f t="shared" si="58"/>
        <v>avec vannes</v>
      </c>
      <c r="AZ22" s="58" t="str">
        <f t="shared" si="59"/>
        <v>fermé</v>
      </c>
      <c r="BA22" s="60">
        <f t="shared" si="60"/>
        <v>0</v>
      </c>
      <c r="BB22" s="60">
        <f t="shared" si="60"/>
        <v>0</v>
      </c>
      <c r="BC22" s="60">
        <f t="shared" si="60"/>
        <v>0</v>
      </c>
      <c r="BD22" s="60">
        <f t="shared" si="60"/>
        <v>0</v>
      </c>
      <c r="BE22" s="286" t="str">
        <f t="shared" si="61"/>
        <v/>
      </c>
      <c r="BF22" s="58" t="str">
        <f t="shared" si="82"/>
        <v/>
      </c>
      <c r="BG22" s="59" t="str">
        <f t="shared" si="62"/>
        <v/>
      </c>
      <c r="BH22" s="158">
        <f t="shared" ca="1" si="63"/>
        <v>1</v>
      </c>
      <c r="BI22" s="60">
        <f t="shared" ca="1" si="64"/>
        <v>0.15</v>
      </c>
      <c r="BJ22" s="60">
        <f t="shared" si="65"/>
        <v>0.2</v>
      </c>
      <c r="BK22" s="60" t="str">
        <f t="shared" si="83"/>
        <v/>
      </c>
      <c r="BL22" s="21" t="str">
        <f t="shared" si="84"/>
        <v/>
      </c>
      <c r="BM22" s="264" t="str">
        <f t="shared" si="66"/>
        <v/>
      </c>
      <c r="BN22" s="60" t="str">
        <f t="shared" si="85"/>
        <v/>
      </c>
      <c r="BO22" s="136">
        <f t="shared" si="86"/>
        <v>0</v>
      </c>
      <c r="BP22" s="59">
        <f t="shared" si="87"/>
        <v>0</v>
      </c>
      <c r="BQ22" s="136">
        <f t="shared" ca="1" si="68"/>
        <v>1207</v>
      </c>
      <c r="BR22" s="136">
        <f t="shared" ca="1" si="69"/>
        <v>1000.0232558139535</v>
      </c>
      <c r="BS22" s="136">
        <f t="shared" ca="1" si="70"/>
        <v>1468800.0232558139</v>
      </c>
      <c r="BT22" s="136">
        <f t="shared" ca="1" si="71"/>
        <v>313874.94598157314</v>
      </c>
      <c r="BU22" s="136">
        <f t="shared" ca="1" si="72"/>
        <v>1000.0232558139535</v>
      </c>
    </row>
    <row r="23" spans="1:73" x14ac:dyDescent="0.2">
      <c r="A23" s="87" t="str">
        <f>'Etape 2'!A20</f>
        <v/>
      </c>
      <c r="B23" s="87">
        <f>'Etape 2'!B20</f>
        <v>8</v>
      </c>
      <c r="C23" s="87">
        <f ca="1">'Etape 2'!C20</f>
        <v>293</v>
      </c>
      <c r="D23" s="87"/>
      <c r="E23" s="61">
        <f ca="1">RANK(BU23,BU$16:BU$315,0)+COUNTIF(BU$16:BU23,BU23)-1</f>
        <v>293</v>
      </c>
      <c r="F23" s="87" t="str">
        <f>'Etape 2'!D20</f>
        <v/>
      </c>
      <c r="G23" s="87" t="str">
        <f>'Etape 2'!E20</f>
        <v/>
      </c>
      <c r="H23" s="87" t="str">
        <f>'Etape 2'!F20</f>
        <v/>
      </c>
      <c r="I23" s="87" t="str">
        <f>'Etape 2'!G20</f>
        <v/>
      </c>
      <c r="J23" s="87" t="str">
        <f>'Etape 2'!H20</f>
        <v/>
      </c>
      <c r="K23" s="87" t="str">
        <f>'Etape 2'!I20</f>
        <v/>
      </c>
      <c r="L23" s="87">
        <f ca="1">'Etape 2'!J20</f>
        <v>999999</v>
      </c>
      <c r="M23" s="87">
        <f>'Etape 2'!K20</f>
        <v>999</v>
      </c>
      <c r="N23" s="87">
        <f ca="1">'Etape 2'!L20</f>
        <v>8</v>
      </c>
      <c r="O23" s="259">
        <f t="shared" si="43"/>
        <v>0.3</v>
      </c>
      <c r="P23" s="259">
        <f t="shared" si="44"/>
        <v>1.1000000000000001</v>
      </c>
      <c r="Q23" s="260">
        <f t="shared" si="45"/>
        <v>0</v>
      </c>
      <c r="R23" s="261">
        <f t="shared" si="73"/>
        <v>0</v>
      </c>
      <c r="S23" s="87">
        <f>IF(ISBLANK('Etape 2'!N20),0,VLOOKUP('Etape 2'!N20,Matrix_Uebersetzung,2,FALSE))</f>
        <v>0</v>
      </c>
      <c r="T23" s="87">
        <f>IF(ISBLANK('Etape 2'!O20),0,VLOOKUP('Etape 2'!O20,Matrix_Uebersetzung,2,FALSE))</f>
        <v>0</v>
      </c>
      <c r="U23" s="87">
        <f>IF(ISBLANK('Etape 2'!P20),0,VLOOKUP('Etape 2'!P20,Matrix_Uebersetzung,2,FALSE))</f>
        <v>0</v>
      </c>
      <c r="V23" s="87" t="str">
        <f>'Etape 2'!Q20</f>
        <v/>
      </c>
      <c r="W23" s="87">
        <f>'Etape 2'!R20</f>
        <v>0</v>
      </c>
      <c r="X23" s="87" t="str">
        <f>'Etape 2'!S20</f>
        <v/>
      </c>
      <c r="Y23" s="89" t="str">
        <f>'Etape 2'!T20</f>
        <v/>
      </c>
      <c r="Z23" s="87">
        <f>'Etape 2'!U20</f>
        <v>0</v>
      </c>
      <c r="AA23" s="87" t="str">
        <f>'Etape 2'!V20</f>
        <v/>
      </c>
      <c r="AB23" s="87">
        <f>IF(ISNUMBER('Etape 2'!W20),'Etape 2'!W20,0)</f>
        <v>0</v>
      </c>
      <c r="AC23" s="87">
        <f>IF(ISNUMBER('Etape 2'!X20),'Etape 2'!X20,0)</f>
        <v>0</v>
      </c>
      <c r="AD23" s="87">
        <f>IF(ISNUMBER('Etape 2'!Y20),'Etape 2'!Y20,0)</f>
        <v>0</v>
      </c>
      <c r="AE23" s="87">
        <f>IF(ISNUMBER('Etape 2'!Z20),'Etape 2'!Z20,0)</f>
        <v>0</v>
      </c>
      <c r="AF23" s="86">
        <f t="shared" si="74"/>
        <v>999</v>
      </c>
      <c r="AG23" s="288">
        <f t="shared" si="75"/>
        <v>0.25</v>
      </c>
      <c r="AH23" s="181" t="e">
        <f t="shared" si="46"/>
        <v>#VALUE!</v>
      </c>
      <c r="AI23" s="181" t="e">
        <f t="shared" si="76"/>
        <v>#VALUE!</v>
      </c>
      <c r="AJ23" s="86">
        <f t="shared" si="48"/>
        <v>200</v>
      </c>
      <c r="AK23" s="91" t="e">
        <f t="shared" si="49"/>
        <v>#N/A</v>
      </c>
      <c r="AL23" s="91" t="e">
        <f t="shared" si="50"/>
        <v>#N/A</v>
      </c>
      <c r="AM23" s="91">
        <f t="shared" si="51"/>
        <v>6</v>
      </c>
      <c r="AN23" s="91" t="e">
        <f t="shared" si="77"/>
        <v>#N/A</v>
      </c>
      <c r="AO23" s="91" t="e">
        <f t="shared" si="78"/>
        <v>#N/A</v>
      </c>
      <c r="AP23" s="21" t="e">
        <f t="shared" si="52"/>
        <v>#N/A</v>
      </c>
      <c r="AQ23" s="21" t="e">
        <f t="shared" si="53"/>
        <v>#N/A</v>
      </c>
      <c r="AR23" s="92" t="str">
        <f t="shared" si="79"/>
        <v/>
      </c>
      <c r="AS23" s="21" t="str">
        <f t="shared" si="80"/>
        <v/>
      </c>
      <c r="AT23" s="59" t="str">
        <f t="shared" si="54"/>
        <v/>
      </c>
      <c r="AU23" s="105">
        <f t="shared" si="55"/>
        <v>1</v>
      </c>
      <c r="AV23" s="105">
        <f t="shared" si="56"/>
        <v>1</v>
      </c>
      <c r="AW23" s="58">
        <f t="shared" si="88"/>
        <v>2</v>
      </c>
      <c r="AX23" s="58">
        <f t="shared" si="57"/>
        <v>3</v>
      </c>
      <c r="AY23" s="58" t="str">
        <f t="shared" si="58"/>
        <v>avec vannes</v>
      </c>
      <c r="AZ23" s="58" t="str">
        <f t="shared" si="59"/>
        <v>fermé</v>
      </c>
      <c r="BA23" s="60">
        <f t="shared" si="60"/>
        <v>0</v>
      </c>
      <c r="BB23" s="60">
        <f t="shared" si="60"/>
        <v>0</v>
      </c>
      <c r="BC23" s="60">
        <f t="shared" si="60"/>
        <v>0</v>
      </c>
      <c r="BD23" s="60">
        <f t="shared" si="60"/>
        <v>0</v>
      </c>
      <c r="BE23" s="286" t="str">
        <f t="shared" si="61"/>
        <v/>
      </c>
      <c r="BF23" s="58" t="str">
        <f t="shared" si="82"/>
        <v/>
      </c>
      <c r="BG23" s="59" t="str">
        <f t="shared" si="62"/>
        <v/>
      </c>
      <c r="BH23" s="158">
        <f t="shared" ca="1" si="63"/>
        <v>1</v>
      </c>
      <c r="BI23" s="60">
        <f t="shared" ca="1" si="64"/>
        <v>0.15</v>
      </c>
      <c r="BJ23" s="60">
        <f t="shared" si="65"/>
        <v>0.2</v>
      </c>
      <c r="BK23" s="60" t="str">
        <f t="shared" si="83"/>
        <v/>
      </c>
      <c r="BL23" s="21" t="str">
        <f t="shared" si="84"/>
        <v/>
      </c>
      <c r="BM23" s="264" t="str">
        <f t="shared" si="66"/>
        <v/>
      </c>
      <c r="BN23" s="60" t="str">
        <f t="shared" si="85"/>
        <v/>
      </c>
      <c r="BO23" s="136">
        <f t="shared" si="86"/>
        <v>0</v>
      </c>
      <c r="BP23" s="59">
        <f t="shared" si="87"/>
        <v>0</v>
      </c>
      <c r="BQ23" s="136">
        <f t="shared" ca="1" si="68"/>
        <v>1208</v>
      </c>
      <c r="BR23" s="136">
        <f t="shared" ca="1" si="69"/>
        <v>1000.0265780730897</v>
      </c>
      <c r="BS23" s="136">
        <f t="shared" ca="1" si="70"/>
        <v>1468800.0265780732</v>
      </c>
      <c r="BT23" s="136">
        <f t="shared" ca="1" si="71"/>
        <v>313874.94930383231</v>
      </c>
      <c r="BU23" s="136">
        <f t="shared" ca="1" si="72"/>
        <v>1000.0265780730897</v>
      </c>
    </row>
    <row r="24" spans="1:73" x14ac:dyDescent="0.2">
      <c r="A24" s="87" t="str">
        <f>'Etape 2'!A21</f>
        <v/>
      </c>
      <c r="B24" s="87">
        <f>'Etape 2'!B21</f>
        <v>9</v>
      </c>
      <c r="C24" s="87">
        <f ca="1">'Etape 2'!C21</f>
        <v>292</v>
      </c>
      <c r="D24" s="87"/>
      <c r="E24" s="61">
        <f ca="1">RANK(BU24,BU$16:BU$315,0)+COUNTIF(BU$16:BU24,BU24)-1</f>
        <v>292</v>
      </c>
      <c r="F24" s="87" t="str">
        <f>'Etape 2'!D21</f>
        <v/>
      </c>
      <c r="G24" s="87" t="str">
        <f>'Etape 2'!E21</f>
        <v/>
      </c>
      <c r="H24" s="87" t="str">
        <f>'Etape 2'!F21</f>
        <v/>
      </c>
      <c r="I24" s="87" t="str">
        <f>'Etape 2'!G21</f>
        <v/>
      </c>
      <c r="J24" s="87" t="str">
        <f>'Etape 2'!H21</f>
        <v/>
      </c>
      <c r="K24" s="87" t="str">
        <f>'Etape 2'!I21</f>
        <v/>
      </c>
      <c r="L24" s="87">
        <f ca="1">'Etape 2'!J21</f>
        <v>999999</v>
      </c>
      <c r="M24" s="87">
        <f>'Etape 2'!K21</f>
        <v>999</v>
      </c>
      <c r="N24" s="87">
        <f ca="1">'Etape 2'!L21</f>
        <v>9</v>
      </c>
      <c r="O24" s="259">
        <f t="shared" si="43"/>
        <v>0.3</v>
      </c>
      <c r="P24" s="259">
        <f t="shared" si="44"/>
        <v>1.1000000000000001</v>
      </c>
      <c r="Q24" s="260">
        <f t="shared" si="45"/>
        <v>0</v>
      </c>
      <c r="R24" s="261">
        <f t="shared" ref="R24:R87" si="89">IF(ISERROR(Q24*I24*J24),0,Q24*I24*J24)</f>
        <v>0</v>
      </c>
      <c r="S24" s="87">
        <f>IF(ISBLANK('Etape 2'!N21),0,VLOOKUP('Etape 2'!N21,Matrix_Uebersetzung,2,FALSE))</f>
        <v>0</v>
      </c>
      <c r="T24" s="87">
        <f>IF(ISBLANK('Etape 2'!O21),0,VLOOKUP('Etape 2'!O21,Matrix_Uebersetzung,2,FALSE))</f>
        <v>0</v>
      </c>
      <c r="U24" s="87">
        <f>IF(ISBLANK('Etape 2'!P21),0,VLOOKUP('Etape 2'!P21,Matrix_Uebersetzung,2,FALSE))</f>
        <v>0</v>
      </c>
      <c r="V24" s="87" t="str">
        <f>'Etape 2'!Q21</f>
        <v/>
      </c>
      <c r="W24" s="87">
        <f>'Etape 2'!R21</f>
        <v>0</v>
      </c>
      <c r="X24" s="87" t="str">
        <f>'Etape 2'!S21</f>
        <v/>
      </c>
      <c r="Y24" s="89" t="str">
        <f>'Etape 2'!T21</f>
        <v/>
      </c>
      <c r="Z24" s="87">
        <f>'Etape 2'!U21</f>
        <v>0</v>
      </c>
      <c r="AA24" s="87" t="str">
        <f>'Etape 2'!V21</f>
        <v/>
      </c>
      <c r="AB24" s="87">
        <f>IF(ISNUMBER('Etape 2'!W21),'Etape 2'!W21,0)</f>
        <v>0</v>
      </c>
      <c r="AC24" s="87">
        <f>IF(ISNUMBER('Etape 2'!X21),'Etape 2'!X21,0)</f>
        <v>0</v>
      </c>
      <c r="AD24" s="87">
        <f>IF(ISNUMBER('Etape 2'!Y21),'Etape 2'!Y21,0)</f>
        <v>0</v>
      </c>
      <c r="AE24" s="87">
        <f>IF(ISNUMBER('Etape 2'!Z21),'Etape 2'!Z21,0)</f>
        <v>0</v>
      </c>
      <c r="AF24" s="86">
        <f t="shared" si="74"/>
        <v>999</v>
      </c>
      <c r="AG24" s="288">
        <f t="shared" si="75"/>
        <v>0.25</v>
      </c>
      <c r="AH24" s="181" t="e">
        <f t="shared" si="46"/>
        <v>#VALUE!</v>
      </c>
      <c r="AI24" s="181" t="e">
        <f t="shared" si="76"/>
        <v>#VALUE!</v>
      </c>
      <c r="AJ24" s="86">
        <f t="shared" si="48"/>
        <v>200</v>
      </c>
      <c r="AK24" s="91" t="e">
        <f t="shared" si="49"/>
        <v>#N/A</v>
      </c>
      <c r="AL24" s="91" t="e">
        <f t="shared" si="50"/>
        <v>#N/A</v>
      </c>
      <c r="AM24" s="91">
        <f t="shared" si="51"/>
        <v>6</v>
      </c>
      <c r="AN24" s="91" t="e">
        <f t="shared" si="77"/>
        <v>#N/A</v>
      </c>
      <c r="AO24" s="91" t="e">
        <f t="shared" si="78"/>
        <v>#N/A</v>
      </c>
      <c r="AP24" s="21" t="e">
        <f t="shared" si="52"/>
        <v>#N/A</v>
      </c>
      <c r="AQ24" s="21" t="e">
        <f t="shared" si="53"/>
        <v>#N/A</v>
      </c>
      <c r="AR24" s="92" t="str">
        <f t="shared" si="79"/>
        <v/>
      </c>
      <c r="AS24" s="21" t="str">
        <f t="shared" si="80"/>
        <v/>
      </c>
      <c r="AT24" s="59" t="str">
        <f t="shared" si="54"/>
        <v/>
      </c>
      <c r="AU24" s="105">
        <f t="shared" si="55"/>
        <v>1</v>
      </c>
      <c r="AV24" s="105">
        <f t="shared" si="56"/>
        <v>1</v>
      </c>
      <c r="AW24" s="58">
        <f t="shared" si="88"/>
        <v>2</v>
      </c>
      <c r="AX24" s="58">
        <f t="shared" si="57"/>
        <v>3</v>
      </c>
      <c r="AY24" s="58" t="str">
        <f t="shared" si="58"/>
        <v>avec vannes</v>
      </c>
      <c r="AZ24" s="58" t="str">
        <f t="shared" si="59"/>
        <v>fermé</v>
      </c>
      <c r="BA24" s="60">
        <f t="shared" si="60"/>
        <v>0</v>
      </c>
      <c r="BB24" s="60">
        <f t="shared" si="60"/>
        <v>0</v>
      </c>
      <c r="BC24" s="60">
        <f t="shared" si="60"/>
        <v>0</v>
      </c>
      <c r="BD24" s="60">
        <f t="shared" si="60"/>
        <v>0</v>
      </c>
      <c r="BE24" s="286" t="str">
        <f t="shared" si="61"/>
        <v/>
      </c>
      <c r="BF24" s="58" t="str">
        <f t="shared" si="82"/>
        <v/>
      </c>
      <c r="BG24" s="59" t="str">
        <f t="shared" si="62"/>
        <v/>
      </c>
      <c r="BH24" s="158">
        <f t="shared" ca="1" si="63"/>
        <v>1</v>
      </c>
      <c r="BI24" s="60">
        <f t="shared" ca="1" si="64"/>
        <v>0.15</v>
      </c>
      <c r="BJ24" s="60">
        <f t="shared" si="65"/>
        <v>0.2</v>
      </c>
      <c r="BK24" s="60" t="str">
        <f t="shared" si="83"/>
        <v/>
      </c>
      <c r="BL24" s="21" t="str">
        <f t="shared" si="84"/>
        <v/>
      </c>
      <c r="BM24" s="264" t="str">
        <f t="shared" si="66"/>
        <v/>
      </c>
      <c r="BN24" s="60" t="str">
        <f t="shared" si="85"/>
        <v/>
      </c>
      <c r="BO24" s="136">
        <f t="shared" si="86"/>
        <v>0</v>
      </c>
      <c r="BP24" s="59">
        <f t="shared" si="87"/>
        <v>0</v>
      </c>
      <c r="BQ24" s="136">
        <f t="shared" ca="1" si="68"/>
        <v>1209</v>
      </c>
      <c r="BR24" s="136">
        <f t="shared" ca="1" si="69"/>
        <v>1000.0299003322259</v>
      </c>
      <c r="BS24" s="136">
        <f t="shared" ca="1" si="70"/>
        <v>1468800.0299003322</v>
      </c>
      <c r="BT24" s="136">
        <f t="shared" ca="1" si="71"/>
        <v>313874.95262609143</v>
      </c>
      <c r="BU24" s="136">
        <f t="shared" ca="1" si="72"/>
        <v>1000.0299003322259</v>
      </c>
    </row>
    <row r="25" spans="1:73" x14ac:dyDescent="0.2">
      <c r="A25" s="87" t="str">
        <f>'Etape 2'!A22</f>
        <v/>
      </c>
      <c r="B25" s="87">
        <f>'Etape 2'!B22</f>
        <v>10</v>
      </c>
      <c r="C25" s="87">
        <f ca="1">'Etape 2'!C22</f>
        <v>291</v>
      </c>
      <c r="D25" s="87"/>
      <c r="E25" s="61">
        <f ca="1">RANK(BU25,BU$16:BU$315,0)+COUNTIF(BU$16:BU25,BU25)-1</f>
        <v>291</v>
      </c>
      <c r="F25" s="87" t="str">
        <f>'Etape 2'!D22</f>
        <v/>
      </c>
      <c r="G25" s="87" t="str">
        <f>'Etape 2'!E22</f>
        <v/>
      </c>
      <c r="H25" s="87" t="str">
        <f>'Etape 2'!F22</f>
        <v/>
      </c>
      <c r="I25" s="87" t="str">
        <f>'Etape 2'!G22</f>
        <v/>
      </c>
      <c r="J25" s="87" t="str">
        <f>'Etape 2'!H22</f>
        <v/>
      </c>
      <c r="K25" s="87" t="str">
        <f>'Etape 2'!I22</f>
        <v/>
      </c>
      <c r="L25" s="87">
        <f ca="1">'Etape 2'!J22</f>
        <v>999999</v>
      </c>
      <c r="M25" s="87">
        <f>'Etape 2'!K22</f>
        <v>999</v>
      </c>
      <c r="N25" s="87">
        <f ca="1">'Etape 2'!L22</f>
        <v>10</v>
      </c>
      <c r="O25" s="259">
        <f t="shared" si="43"/>
        <v>0.3</v>
      </c>
      <c r="P25" s="259">
        <f t="shared" si="44"/>
        <v>1.1000000000000001</v>
      </c>
      <c r="Q25" s="260">
        <f t="shared" si="45"/>
        <v>0</v>
      </c>
      <c r="R25" s="261">
        <f t="shared" si="89"/>
        <v>0</v>
      </c>
      <c r="S25" s="87">
        <f>IF(ISBLANK('Etape 2'!N22),0,VLOOKUP('Etape 2'!N22,Matrix_Uebersetzung,2,FALSE))</f>
        <v>0</v>
      </c>
      <c r="T25" s="87">
        <f>IF(ISBLANK('Etape 2'!O22),0,VLOOKUP('Etape 2'!O22,Matrix_Uebersetzung,2,FALSE))</f>
        <v>0</v>
      </c>
      <c r="U25" s="87">
        <f>IF(ISBLANK('Etape 2'!P22),0,VLOOKUP('Etape 2'!P22,Matrix_Uebersetzung,2,FALSE))</f>
        <v>0</v>
      </c>
      <c r="V25" s="87" t="str">
        <f>'Etape 2'!Q22</f>
        <v/>
      </c>
      <c r="W25" s="87">
        <f>'Etape 2'!R22</f>
        <v>0</v>
      </c>
      <c r="X25" s="87" t="str">
        <f>'Etape 2'!S22</f>
        <v/>
      </c>
      <c r="Y25" s="89" t="str">
        <f>'Etape 2'!T22</f>
        <v/>
      </c>
      <c r="Z25" s="87">
        <f>'Etape 2'!U22</f>
        <v>0</v>
      </c>
      <c r="AA25" s="87" t="str">
        <f>'Etape 2'!V22</f>
        <v/>
      </c>
      <c r="AB25" s="87">
        <f>IF(ISNUMBER('Etape 2'!W22),'Etape 2'!W22,0)</f>
        <v>0</v>
      </c>
      <c r="AC25" s="87">
        <f>IF(ISNUMBER('Etape 2'!X22),'Etape 2'!X22,0)</f>
        <v>0</v>
      </c>
      <c r="AD25" s="87">
        <f>IF(ISNUMBER('Etape 2'!Y22),'Etape 2'!Y22,0)</f>
        <v>0</v>
      </c>
      <c r="AE25" s="87">
        <f>IF(ISNUMBER('Etape 2'!Z22),'Etape 2'!Z22,0)</f>
        <v>0</v>
      </c>
      <c r="AF25" s="86">
        <f t="shared" si="74"/>
        <v>999</v>
      </c>
      <c r="AG25" s="288">
        <f t="shared" si="75"/>
        <v>0.25</v>
      </c>
      <c r="AH25" s="181" t="e">
        <f t="shared" si="46"/>
        <v>#VALUE!</v>
      </c>
      <c r="AI25" s="181" t="e">
        <f t="shared" si="76"/>
        <v>#VALUE!</v>
      </c>
      <c r="AJ25" s="86">
        <f t="shared" si="48"/>
        <v>200</v>
      </c>
      <c r="AK25" s="91" t="e">
        <f t="shared" si="49"/>
        <v>#N/A</v>
      </c>
      <c r="AL25" s="91" t="e">
        <f t="shared" si="50"/>
        <v>#N/A</v>
      </c>
      <c r="AM25" s="91">
        <f t="shared" si="51"/>
        <v>6</v>
      </c>
      <c r="AN25" s="91" t="e">
        <f t="shared" si="77"/>
        <v>#N/A</v>
      </c>
      <c r="AO25" s="91" t="e">
        <f t="shared" si="78"/>
        <v>#N/A</v>
      </c>
      <c r="AP25" s="21" t="e">
        <f t="shared" si="52"/>
        <v>#N/A</v>
      </c>
      <c r="AQ25" s="21" t="e">
        <f t="shared" si="53"/>
        <v>#N/A</v>
      </c>
      <c r="AR25" s="92" t="str">
        <f t="shared" si="79"/>
        <v/>
      </c>
      <c r="AS25" s="21" t="str">
        <f t="shared" si="80"/>
        <v/>
      </c>
      <c r="AT25" s="59" t="str">
        <f t="shared" si="54"/>
        <v/>
      </c>
      <c r="AU25" s="105">
        <f t="shared" si="55"/>
        <v>1</v>
      </c>
      <c r="AV25" s="105">
        <f t="shared" si="56"/>
        <v>1</v>
      </c>
      <c r="AW25" s="58">
        <f t="shared" si="88"/>
        <v>2</v>
      </c>
      <c r="AX25" s="58">
        <f t="shared" si="57"/>
        <v>3</v>
      </c>
      <c r="AY25" s="58" t="str">
        <f t="shared" si="58"/>
        <v>avec vannes</v>
      </c>
      <c r="AZ25" s="58" t="str">
        <f t="shared" si="59"/>
        <v>fermé</v>
      </c>
      <c r="BA25" s="60">
        <f t="shared" si="60"/>
        <v>0</v>
      </c>
      <c r="BB25" s="60">
        <f t="shared" si="60"/>
        <v>0</v>
      </c>
      <c r="BC25" s="60">
        <f t="shared" si="60"/>
        <v>0</v>
      </c>
      <c r="BD25" s="60">
        <f t="shared" si="60"/>
        <v>0</v>
      </c>
      <c r="BE25" s="286" t="str">
        <f t="shared" si="61"/>
        <v/>
      </c>
      <c r="BF25" s="58" t="str">
        <f t="shared" si="82"/>
        <v/>
      </c>
      <c r="BG25" s="59" t="str">
        <f t="shared" si="62"/>
        <v/>
      </c>
      <c r="BH25" s="158">
        <f t="shared" ca="1" si="63"/>
        <v>1</v>
      </c>
      <c r="BI25" s="60">
        <f t="shared" ca="1" si="64"/>
        <v>0.15</v>
      </c>
      <c r="BJ25" s="60">
        <f t="shared" si="65"/>
        <v>0.2</v>
      </c>
      <c r="BK25" s="60" t="str">
        <f t="shared" si="83"/>
        <v/>
      </c>
      <c r="BL25" s="21" t="str">
        <f t="shared" si="84"/>
        <v/>
      </c>
      <c r="BM25" s="264" t="str">
        <f t="shared" si="66"/>
        <v/>
      </c>
      <c r="BN25" s="60" t="str">
        <f t="shared" si="85"/>
        <v/>
      </c>
      <c r="BO25" s="136">
        <f t="shared" si="86"/>
        <v>0</v>
      </c>
      <c r="BP25" s="59">
        <f t="shared" si="87"/>
        <v>0</v>
      </c>
      <c r="BQ25" s="136">
        <f t="shared" ca="1" si="68"/>
        <v>1210</v>
      </c>
      <c r="BR25" s="136">
        <f t="shared" ca="1" si="69"/>
        <v>1000.0332225913621</v>
      </c>
      <c r="BS25" s="136">
        <f t="shared" ca="1" si="70"/>
        <v>1468800.0332225913</v>
      </c>
      <c r="BT25" s="136">
        <f t="shared" ca="1" si="71"/>
        <v>313874.9559483506</v>
      </c>
      <c r="BU25" s="136">
        <f t="shared" ca="1" si="72"/>
        <v>1000.0332225913621</v>
      </c>
    </row>
    <row r="26" spans="1:73" x14ac:dyDescent="0.2">
      <c r="A26" s="87" t="str">
        <f>'Etape 2'!A23</f>
        <v/>
      </c>
      <c r="B26" s="87">
        <f>'Etape 2'!B23</f>
        <v>11</v>
      </c>
      <c r="C26" s="87">
        <f ca="1">'Etape 2'!C23</f>
        <v>290</v>
      </c>
      <c r="D26" s="87"/>
      <c r="E26" s="61">
        <f ca="1">RANK(BU26,BU$16:BU$315,0)+COUNTIF(BU$16:BU26,BU26)-1</f>
        <v>290</v>
      </c>
      <c r="F26" s="87" t="str">
        <f>'Etape 2'!D23</f>
        <v/>
      </c>
      <c r="G26" s="87" t="str">
        <f>'Etape 2'!E23</f>
        <v/>
      </c>
      <c r="H26" s="87" t="str">
        <f>'Etape 2'!F23</f>
        <v/>
      </c>
      <c r="I26" s="87" t="str">
        <f>'Etape 2'!G23</f>
        <v/>
      </c>
      <c r="J26" s="87" t="str">
        <f>'Etape 2'!H23</f>
        <v/>
      </c>
      <c r="K26" s="87" t="str">
        <f>'Etape 2'!I23</f>
        <v/>
      </c>
      <c r="L26" s="87">
        <f ca="1">'Etape 2'!J23</f>
        <v>999999</v>
      </c>
      <c r="M26" s="87">
        <f>'Etape 2'!K23</f>
        <v>999</v>
      </c>
      <c r="N26" s="87">
        <f ca="1">'Etape 2'!L23</f>
        <v>11</v>
      </c>
      <c r="O26" s="259">
        <f t="shared" si="43"/>
        <v>0.3</v>
      </c>
      <c r="P26" s="259">
        <f t="shared" si="44"/>
        <v>1.1000000000000001</v>
      </c>
      <c r="Q26" s="260">
        <f t="shared" si="45"/>
        <v>0</v>
      </c>
      <c r="R26" s="261">
        <f t="shared" si="89"/>
        <v>0</v>
      </c>
      <c r="S26" s="87">
        <f>IF(ISBLANK('Etape 2'!N23),0,VLOOKUP('Etape 2'!N23,Matrix_Uebersetzung,2,FALSE))</f>
        <v>0</v>
      </c>
      <c r="T26" s="87">
        <f>IF(ISBLANK('Etape 2'!O23),0,VLOOKUP('Etape 2'!O23,Matrix_Uebersetzung,2,FALSE))</f>
        <v>0</v>
      </c>
      <c r="U26" s="87">
        <f>IF(ISBLANK('Etape 2'!P23),0,VLOOKUP('Etape 2'!P23,Matrix_Uebersetzung,2,FALSE))</f>
        <v>0</v>
      </c>
      <c r="V26" s="87" t="str">
        <f>'Etape 2'!Q23</f>
        <v/>
      </c>
      <c r="W26" s="87">
        <f>'Etape 2'!R23</f>
        <v>0</v>
      </c>
      <c r="X26" s="87" t="str">
        <f>'Etape 2'!S23</f>
        <v/>
      </c>
      <c r="Y26" s="89" t="str">
        <f>'Etape 2'!T23</f>
        <v/>
      </c>
      <c r="Z26" s="87">
        <f>'Etape 2'!U23</f>
        <v>0</v>
      </c>
      <c r="AA26" s="87" t="str">
        <f>'Etape 2'!V23</f>
        <v/>
      </c>
      <c r="AB26" s="87">
        <f>IF(ISNUMBER('Etape 2'!W23),'Etape 2'!W23,0)</f>
        <v>0</v>
      </c>
      <c r="AC26" s="87">
        <f>IF(ISNUMBER('Etape 2'!X23),'Etape 2'!X23,0)</f>
        <v>0</v>
      </c>
      <c r="AD26" s="87">
        <f>IF(ISNUMBER('Etape 2'!Y23),'Etape 2'!Y23,0)</f>
        <v>0</v>
      </c>
      <c r="AE26" s="87">
        <f>IF(ISNUMBER('Etape 2'!Z23),'Etape 2'!Z23,0)</f>
        <v>0</v>
      </c>
      <c r="AF26" s="86">
        <f t="shared" si="74"/>
        <v>999</v>
      </c>
      <c r="AG26" s="288">
        <f t="shared" si="75"/>
        <v>0.25</v>
      </c>
      <c r="AH26" s="181" t="e">
        <f t="shared" si="46"/>
        <v>#VALUE!</v>
      </c>
      <c r="AI26" s="181" t="e">
        <f t="shared" si="76"/>
        <v>#VALUE!</v>
      </c>
      <c r="AJ26" s="86">
        <f t="shared" si="48"/>
        <v>200</v>
      </c>
      <c r="AK26" s="91" t="e">
        <f t="shared" si="49"/>
        <v>#N/A</v>
      </c>
      <c r="AL26" s="91" t="e">
        <f t="shared" si="50"/>
        <v>#N/A</v>
      </c>
      <c r="AM26" s="91">
        <f t="shared" si="51"/>
        <v>6</v>
      </c>
      <c r="AN26" s="91" t="e">
        <f t="shared" si="77"/>
        <v>#N/A</v>
      </c>
      <c r="AO26" s="91" t="e">
        <f t="shared" si="78"/>
        <v>#N/A</v>
      </c>
      <c r="AP26" s="21" t="e">
        <f t="shared" si="52"/>
        <v>#N/A</v>
      </c>
      <c r="AQ26" s="21" t="e">
        <f t="shared" si="53"/>
        <v>#N/A</v>
      </c>
      <c r="AR26" s="92" t="str">
        <f t="shared" si="79"/>
        <v/>
      </c>
      <c r="AS26" s="21" t="str">
        <f t="shared" si="80"/>
        <v/>
      </c>
      <c r="AT26" s="59" t="str">
        <f t="shared" si="54"/>
        <v/>
      </c>
      <c r="AU26" s="105">
        <f t="shared" si="55"/>
        <v>1</v>
      </c>
      <c r="AV26" s="105">
        <f t="shared" si="56"/>
        <v>1</v>
      </c>
      <c r="AW26" s="58">
        <f t="shared" si="88"/>
        <v>2</v>
      </c>
      <c r="AX26" s="58">
        <f t="shared" si="57"/>
        <v>3</v>
      </c>
      <c r="AY26" s="58" t="str">
        <f t="shared" si="58"/>
        <v>avec vannes</v>
      </c>
      <c r="AZ26" s="58" t="str">
        <f t="shared" si="59"/>
        <v>fermé</v>
      </c>
      <c r="BA26" s="60">
        <f t="shared" si="60"/>
        <v>0</v>
      </c>
      <c r="BB26" s="60">
        <f t="shared" si="60"/>
        <v>0</v>
      </c>
      <c r="BC26" s="60">
        <f t="shared" si="60"/>
        <v>0</v>
      </c>
      <c r="BD26" s="60">
        <f t="shared" si="60"/>
        <v>0</v>
      </c>
      <c r="BE26" s="286" t="str">
        <f t="shared" si="61"/>
        <v/>
      </c>
      <c r="BF26" s="58" t="str">
        <f t="shared" si="82"/>
        <v/>
      </c>
      <c r="BG26" s="59" t="str">
        <f t="shared" si="62"/>
        <v/>
      </c>
      <c r="BH26" s="158">
        <f t="shared" ca="1" si="63"/>
        <v>1</v>
      </c>
      <c r="BI26" s="60">
        <f t="shared" ca="1" si="64"/>
        <v>0.15</v>
      </c>
      <c r="BJ26" s="60">
        <f t="shared" si="65"/>
        <v>0.2</v>
      </c>
      <c r="BK26" s="60" t="str">
        <f t="shared" si="83"/>
        <v/>
      </c>
      <c r="BL26" s="21" t="str">
        <f t="shared" si="84"/>
        <v/>
      </c>
      <c r="BM26" s="264" t="str">
        <f t="shared" si="66"/>
        <v/>
      </c>
      <c r="BN26" s="60" t="str">
        <f t="shared" si="85"/>
        <v/>
      </c>
      <c r="BO26" s="136">
        <f t="shared" si="86"/>
        <v>0</v>
      </c>
      <c r="BP26" s="59">
        <f t="shared" si="87"/>
        <v>0</v>
      </c>
      <c r="BQ26" s="136">
        <f t="shared" ca="1" si="68"/>
        <v>1211</v>
      </c>
      <c r="BR26" s="136">
        <f t="shared" ca="1" si="69"/>
        <v>1000.0365448504983</v>
      </c>
      <c r="BS26" s="136">
        <f t="shared" ca="1" si="70"/>
        <v>1468800.0365448506</v>
      </c>
      <c r="BT26" s="136">
        <f t="shared" ca="1" si="71"/>
        <v>313874.95927060972</v>
      </c>
      <c r="BU26" s="136">
        <f t="shared" ca="1" si="72"/>
        <v>1000.0365448504983</v>
      </c>
    </row>
    <row r="27" spans="1:73" x14ac:dyDescent="0.2">
      <c r="A27" s="87" t="str">
        <f>'Etape 2'!A24</f>
        <v/>
      </c>
      <c r="B27" s="87">
        <f>'Etape 2'!B24</f>
        <v>12</v>
      </c>
      <c r="C27" s="87">
        <f ca="1">'Etape 2'!C24</f>
        <v>289</v>
      </c>
      <c r="D27" s="87"/>
      <c r="E27" s="61">
        <f ca="1">RANK(BU27,BU$16:BU$315,0)+COUNTIF(BU$16:BU27,BU27)-1</f>
        <v>289</v>
      </c>
      <c r="F27" s="87" t="str">
        <f>'Etape 2'!D24</f>
        <v/>
      </c>
      <c r="G27" s="87" t="str">
        <f>'Etape 2'!E24</f>
        <v/>
      </c>
      <c r="H27" s="87" t="str">
        <f>'Etape 2'!F24</f>
        <v/>
      </c>
      <c r="I27" s="87" t="str">
        <f>'Etape 2'!G24</f>
        <v/>
      </c>
      <c r="J27" s="87" t="str">
        <f>'Etape 2'!H24</f>
        <v/>
      </c>
      <c r="K27" s="87" t="str">
        <f>'Etape 2'!I24</f>
        <v/>
      </c>
      <c r="L27" s="87">
        <f ca="1">'Etape 2'!J24</f>
        <v>999999</v>
      </c>
      <c r="M27" s="87">
        <f>'Etape 2'!K24</f>
        <v>999</v>
      </c>
      <c r="N27" s="87">
        <f ca="1">'Etape 2'!L24</f>
        <v>12</v>
      </c>
      <c r="O27" s="259">
        <f t="shared" si="43"/>
        <v>0.3</v>
      </c>
      <c r="P27" s="259">
        <f t="shared" si="44"/>
        <v>1.1000000000000001</v>
      </c>
      <c r="Q27" s="260">
        <f t="shared" si="45"/>
        <v>0</v>
      </c>
      <c r="R27" s="261">
        <f t="shared" si="89"/>
        <v>0</v>
      </c>
      <c r="S27" s="87">
        <f>IF(ISBLANK('Etape 2'!N24),0,VLOOKUP('Etape 2'!N24,Matrix_Uebersetzung,2,FALSE))</f>
        <v>0</v>
      </c>
      <c r="T27" s="87">
        <f>IF(ISBLANK('Etape 2'!O24),0,VLOOKUP('Etape 2'!O24,Matrix_Uebersetzung,2,FALSE))</f>
        <v>0</v>
      </c>
      <c r="U27" s="87">
        <f>IF(ISBLANK('Etape 2'!P24),0,VLOOKUP('Etape 2'!P24,Matrix_Uebersetzung,2,FALSE))</f>
        <v>0</v>
      </c>
      <c r="V27" s="87" t="str">
        <f>'Etape 2'!Q24</f>
        <v/>
      </c>
      <c r="W27" s="87">
        <f>'Etape 2'!R24</f>
        <v>0</v>
      </c>
      <c r="X27" s="87" t="str">
        <f>'Etape 2'!S24</f>
        <v/>
      </c>
      <c r="Y27" s="89" t="str">
        <f>'Etape 2'!T24</f>
        <v/>
      </c>
      <c r="Z27" s="87">
        <f>'Etape 2'!U24</f>
        <v>0</v>
      </c>
      <c r="AA27" s="87" t="str">
        <f>'Etape 2'!V24</f>
        <v/>
      </c>
      <c r="AB27" s="87">
        <f>IF(ISNUMBER('Etape 2'!W24),'Etape 2'!W24,0)</f>
        <v>0</v>
      </c>
      <c r="AC27" s="87">
        <f>IF(ISNUMBER('Etape 2'!X24),'Etape 2'!X24,0)</f>
        <v>0</v>
      </c>
      <c r="AD27" s="87">
        <f>IF(ISNUMBER('Etape 2'!Y24),'Etape 2'!Y24,0)</f>
        <v>0</v>
      </c>
      <c r="AE27" s="87">
        <f>IF(ISNUMBER('Etape 2'!Z24),'Etape 2'!Z24,0)</f>
        <v>0</v>
      </c>
      <c r="AF27" s="86">
        <f t="shared" si="74"/>
        <v>999</v>
      </c>
      <c r="AG27" s="288">
        <f t="shared" si="75"/>
        <v>0.25</v>
      </c>
      <c r="AH27" s="181" t="e">
        <f t="shared" si="46"/>
        <v>#VALUE!</v>
      </c>
      <c r="AI27" s="181" t="e">
        <f t="shared" si="76"/>
        <v>#VALUE!</v>
      </c>
      <c r="AJ27" s="86">
        <f t="shared" si="48"/>
        <v>200</v>
      </c>
      <c r="AK27" s="91" t="e">
        <f t="shared" si="49"/>
        <v>#N/A</v>
      </c>
      <c r="AL27" s="91" t="e">
        <f t="shared" si="50"/>
        <v>#N/A</v>
      </c>
      <c r="AM27" s="91">
        <f t="shared" si="51"/>
        <v>6</v>
      </c>
      <c r="AN27" s="91" t="e">
        <f t="shared" si="77"/>
        <v>#N/A</v>
      </c>
      <c r="AO27" s="91" t="e">
        <f t="shared" si="78"/>
        <v>#N/A</v>
      </c>
      <c r="AP27" s="21" t="e">
        <f t="shared" si="52"/>
        <v>#N/A</v>
      </c>
      <c r="AQ27" s="21" t="e">
        <f t="shared" si="53"/>
        <v>#N/A</v>
      </c>
      <c r="AR27" s="92" t="str">
        <f t="shared" si="79"/>
        <v/>
      </c>
      <c r="AS27" s="21" t="str">
        <f t="shared" si="80"/>
        <v/>
      </c>
      <c r="AT27" s="59" t="str">
        <f t="shared" si="54"/>
        <v/>
      </c>
      <c r="AU27" s="105">
        <f t="shared" si="55"/>
        <v>1</v>
      </c>
      <c r="AV27" s="105">
        <f t="shared" si="56"/>
        <v>1</v>
      </c>
      <c r="AW27" s="58">
        <f t="shared" si="88"/>
        <v>2</v>
      </c>
      <c r="AX27" s="58">
        <f t="shared" si="57"/>
        <v>3</v>
      </c>
      <c r="AY27" s="58" t="str">
        <f t="shared" si="58"/>
        <v>avec vannes</v>
      </c>
      <c r="AZ27" s="58" t="str">
        <f t="shared" si="59"/>
        <v>fermé</v>
      </c>
      <c r="BA27" s="60">
        <f t="shared" si="60"/>
        <v>0</v>
      </c>
      <c r="BB27" s="60">
        <f t="shared" si="60"/>
        <v>0</v>
      </c>
      <c r="BC27" s="60">
        <f t="shared" si="60"/>
        <v>0</v>
      </c>
      <c r="BD27" s="60">
        <f t="shared" si="60"/>
        <v>0</v>
      </c>
      <c r="BE27" s="286" t="str">
        <f t="shared" si="61"/>
        <v/>
      </c>
      <c r="BF27" s="58" t="str">
        <f t="shared" si="82"/>
        <v/>
      </c>
      <c r="BG27" s="59" t="str">
        <f t="shared" si="62"/>
        <v/>
      </c>
      <c r="BH27" s="158">
        <f t="shared" ca="1" si="63"/>
        <v>1</v>
      </c>
      <c r="BI27" s="60">
        <f t="shared" ca="1" si="64"/>
        <v>0.15</v>
      </c>
      <c r="BJ27" s="60">
        <f t="shared" si="65"/>
        <v>0.2</v>
      </c>
      <c r="BK27" s="60" t="str">
        <f t="shared" si="83"/>
        <v/>
      </c>
      <c r="BL27" s="21" t="str">
        <f t="shared" si="84"/>
        <v/>
      </c>
      <c r="BM27" s="264" t="str">
        <f t="shared" si="66"/>
        <v/>
      </c>
      <c r="BN27" s="60" t="str">
        <f t="shared" si="85"/>
        <v/>
      </c>
      <c r="BO27" s="136">
        <f t="shared" si="86"/>
        <v>0</v>
      </c>
      <c r="BP27" s="59">
        <f t="shared" si="87"/>
        <v>0</v>
      </c>
      <c r="BQ27" s="136">
        <f t="shared" ca="1" si="68"/>
        <v>1212</v>
      </c>
      <c r="BR27" s="136">
        <f t="shared" ca="1" si="69"/>
        <v>1000.0398671096345</v>
      </c>
      <c r="BS27" s="136">
        <f t="shared" ca="1" si="70"/>
        <v>1468800.0398671096</v>
      </c>
      <c r="BT27" s="136">
        <f t="shared" ca="1" si="71"/>
        <v>313874.96259286883</v>
      </c>
      <c r="BU27" s="136">
        <f t="shared" ca="1" si="72"/>
        <v>1000.0398671096345</v>
      </c>
    </row>
    <row r="28" spans="1:73" x14ac:dyDescent="0.2">
      <c r="A28" s="87" t="str">
        <f>'Etape 2'!A25</f>
        <v/>
      </c>
      <c r="B28" s="87">
        <f>'Etape 2'!B25</f>
        <v>13</v>
      </c>
      <c r="C28" s="87">
        <f ca="1">'Etape 2'!C25</f>
        <v>288</v>
      </c>
      <c r="D28" s="87"/>
      <c r="E28" s="61">
        <f ca="1">RANK(BU28,BU$16:BU$315,0)+COUNTIF(BU$16:BU28,BU28)-1</f>
        <v>288</v>
      </c>
      <c r="F28" s="87" t="str">
        <f>'Etape 2'!D25</f>
        <v/>
      </c>
      <c r="G28" s="87" t="str">
        <f>'Etape 2'!E25</f>
        <v/>
      </c>
      <c r="H28" s="87" t="str">
        <f>'Etape 2'!F25</f>
        <v/>
      </c>
      <c r="I28" s="87" t="str">
        <f>'Etape 2'!G25</f>
        <v/>
      </c>
      <c r="J28" s="87" t="str">
        <f>'Etape 2'!H25</f>
        <v/>
      </c>
      <c r="K28" s="87" t="str">
        <f>'Etape 2'!I25</f>
        <v/>
      </c>
      <c r="L28" s="87">
        <f ca="1">'Etape 2'!J25</f>
        <v>999999</v>
      </c>
      <c r="M28" s="87">
        <f>'Etape 2'!K25</f>
        <v>999</v>
      </c>
      <c r="N28" s="87">
        <f ca="1">'Etape 2'!L25</f>
        <v>13</v>
      </c>
      <c r="O28" s="259">
        <f t="shared" si="43"/>
        <v>0.3</v>
      </c>
      <c r="P28" s="259">
        <f t="shared" si="44"/>
        <v>1.1000000000000001</v>
      </c>
      <c r="Q28" s="260">
        <f t="shared" si="45"/>
        <v>0</v>
      </c>
      <c r="R28" s="261">
        <f t="shared" si="89"/>
        <v>0</v>
      </c>
      <c r="S28" s="87">
        <f>IF(ISBLANK('Etape 2'!N25),0,VLOOKUP('Etape 2'!N25,Matrix_Uebersetzung,2,FALSE))</f>
        <v>0</v>
      </c>
      <c r="T28" s="87">
        <f>IF(ISBLANK('Etape 2'!O25),0,VLOOKUP('Etape 2'!O25,Matrix_Uebersetzung,2,FALSE))</f>
        <v>0</v>
      </c>
      <c r="U28" s="87">
        <f>IF(ISBLANK('Etape 2'!P25),0,VLOOKUP('Etape 2'!P25,Matrix_Uebersetzung,2,FALSE))</f>
        <v>0</v>
      </c>
      <c r="V28" s="87" t="str">
        <f>'Etape 2'!Q25</f>
        <v/>
      </c>
      <c r="W28" s="87">
        <f>'Etape 2'!R25</f>
        <v>0</v>
      </c>
      <c r="X28" s="87" t="str">
        <f>'Etape 2'!S25</f>
        <v/>
      </c>
      <c r="Y28" s="89" t="str">
        <f>'Etape 2'!T25</f>
        <v/>
      </c>
      <c r="Z28" s="87">
        <f>'Etape 2'!U25</f>
        <v>0</v>
      </c>
      <c r="AA28" s="87" t="str">
        <f>'Etape 2'!V25</f>
        <v/>
      </c>
      <c r="AB28" s="87">
        <f>IF(ISNUMBER('Etape 2'!W25),'Etape 2'!W25,0)</f>
        <v>0</v>
      </c>
      <c r="AC28" s="87">
        <f>IF(ISNUMBER('Etape 2'!X25),'Etape 2'!X25,0)</f>
        <v>0</v>
      </c>
      <c r="AD28" s="87">
        <f>IF(ISNUMBER('Etape 2'!Y25),'Etape 2'!Y25,0)</f>
        <v>0</v>
      </c>
      <c r="AE28" s="87">
        <f>IF(ISNUMBER('Etape 2'!Z25),'Etape 2'!Z25,0)</f>
        <v>0</v>
      </c>
      <c r="AF28" s="86">
        <f t="shared" si="74"/>
        <v>999</v>
      </c>
      <c r="AG28" s="288">
        <f t="shared" si="75"/>
        <v>0.25</v>
      </c>
      <c r="AH28" s="181" t="e">
        <f t="shared" si="46"/>
        <v>#VALUE!</v>
      </c>
      <c r="AI28" s="181" t="e">
        <f t="shared" si="76"/>
        <v>#VALUE!</v>
      </c>
      <c r="AJ28" s="86">
        <f t="shared" si="48"/>
        <v>200</v>
      </c>
      <c r="AK28" s="91" t="e">
        <f t="shared" si="49"/>
        <v>#N/A</v>
      </c>
      <c r="AL28" s="91" t="e">
        <f t="shared" si="50"/>
        <v>#N/A</v>
      </c>
      <c r="AM28" s="91">
        <f t="shared" si="51"/>
        <v>6</v>
      </c>
      <c r="AN28" s="91" t="e">
        <f t="shared" si="77"/>
        <v>#N/A</v>
      </c>
      <c r="AO28" s="91" t="e">
        <f t="shared" si="78"/>
        <v>#N/A</v>
      </c>
      <c r="AP28" s="21" t="e">
        <f t="shared" si="52"/>
        <v>#N/A</v>
      </c>
      <c r="AQ28" s="21" t="e">
        <f t="shared" si="53"/>
        <v>#N/A</v>
      </c>
      <c r="AR28" s="92" t="str">
        <f t="shared" si="79"/>
        <v/>
      </c>
      <c r="AS28" s="21" t="str">
        <f t="shared" si="80"/>
        <v/>
      </c>
      <c r="AT28" s="59" t="str">
        <f t="shared" si="54"/>
        <v/>
      </c>
      <c r="AU28" s="105">
        <f t="shared" si="55"/>
        <v>1</v>
      </c>
      <c r="AV28" s="105">
        <f t="shared" si="56"/>
        <v>1</v>
      </c>
      <c r="AW28" s="58">
        <f t="shared" si="88"/>
        <v>2</v>
      </c>
      <c r="AX28" s="58">
        <f t="shared" si="57"/>
        <v>3</v>
      </c>
      <c r="AY28" s="58" t="str">
        <f t="shared" si="58"/>
        <v>avec vannes</v>
      </c>
      <c r="AZ28" s="58" t="str">
        <f t="shared" si="59"/>
        <v>fermé</v>
      </c>
      <c r="BA28" s="60">
        <f t="shared" si="60"/>
        <v>0</v>
      </c>
      <c r="BB28" s="60">
        <f t="shared" si="60"/>
        <v>0</v>
      </c>
      <c r="BC28" s="60">
        <f t="shared" si="60"/>
        <v>0</v>
      </c>
      <c r="BD28" s="60">
        <f t="shared" si="60"/>
        <v>0</v>
      </c>
      <c r="BE28" s="286" t="str">
        <f t="shared" si="61"/>
        <v/>
      </c>
      <c r="BF28" s="58" t="str">
        <f t="shared" si="82"/>
        <v/>
      </c>
      <c r="BG28" s="59" t="str">
        <f t="shared" si="62"/>
        <v/>
      </c>
      <c r="BH28" s="158">
        <f t="shared" ca="1" si="63"/>
        <v>1</v>
      </c>
      <c r="BI28" s="60">
        <f t="shared" ca="1" si="64"/>
        <v>0.15</v>
      </c>
      <c r="BJ28" s="60">
        <f t="shared" si="65"/>
        <v>0.2</v>
      </c>
      <c r="BK28" s="60" t="str">
        <f t="shared" si="83"/>
        <v/>
      </c>
      <c r="BL28" s="21" t="str">
        <f t="shared" si="84"/>
        <v/>
      </c>
      <c r="BM28" s="264" t="str">
        <f t="shared" si="66"/>
        <v/>
      </c>
      <c r="BN28" s="60" t="str">
        <f t="shared" si="85"/>
        <v/>
      </c>
      <c r="BO28" s="136">
        <f t="shared" si="86"/>
        <v>0</v>
      </c>
      <c r="BP28" s="59">
        <f t="shared" si="87"/>
        <v>0</v>
      </c>
      <c r="BQ28" s="136">
        <f t="shared" ca="1" si="68"/>
        <v>1213</v>
      </c>
      <c r="BR28" s="136">
        <f t="shared" ca="1" si="69"/>
        <v>1000.0431893687708</v>
      </c>
      <c r="BS28" s="136">
        <f t="shared" ca="1" si="70"/>
        <v>1468800.0431893687</v>
      </c>
      <c r="BT28" s="136">
        <f t="shared" ca="1" si="71"/>
        <v>313874.96591512801</v>
      </c>
      <c r="BU28" s="136">
        <f t="shared" ca="1" si="72"/>
        <v>1000.0431893687708</v>
      </c>
    </row>
    <row r="29" spans="1:73" x14ac:dyDescent="0.2">
      <c r="A29" s="87" t="str">
        <f>'Etape 2'!A26</f>
        <v/>
      </c>
      <c r="B29" s="87">
        <f>'Etape 2'!B26</f>
        <v>14</v>
      </c>
      <c r="C29" s="87">
        <f ca="1">'Etape 2'!C26</f>
        <v>287</v>
      </c>
      <c r="D29" s="87"/>
      <c r="E29" s="61">
        <f ca="1">RANK(BU29,BU$16:BU$315,0)+COUNTIF(BU$16:BU29,BU29)-1</f>
        <v>287</v>
      </c>
      <c r="F29" s="87" t="str">
        <f>'Etape 2'!D26</f>
        <v/>
      </c>
      <c r="G29" s="87" t="str">
        <f>'Etape 2'!E26</f>
        <v/>
      </c>
      <c r="H29" s="87" t="str">
        <f>'Etape 2'!F26</f>
        <v/>
      </c>
      <c r="I29" s="87" t="str">
        <f>'Etape 2'!G26</f>
        <v/>
      </c>
      <c r="J29" s="87" t="str">
        <f>'Etape 2'!H26</f>
        <v/>
      </c>
      <c r="K29" s="87" t="str">
        <f>'Etape 2'!I26</f>
        <v/>
      </c>
      <c r="L29" s="87">
        <f ca="1">'Etape 2'!J26</f>
        <v>999999</v>
      </c>
      <c r="M29" s="87">
        <f>'Etape 2'!K26</f>
        <v>999</v>
      </c>
      <c r="N29" s="87">
        <f ca="1">'Etape 2'!L26</f>
        <v>14</v>
      </c>
      <c r="O29" s="259">
        <f t="shared" si="43"/>
        <v>0.3</v>
      </c>
      <c r="P29" s="259">
        <f t="shared" si="44"/>
        <v>1.1000000000000001</v>
      </c>
      <c r="Q29" s="260">
        <f t="shared" si="45"/>
        <v>0</v>
      </c>
      <c r="R29" s="261">
        <f t="shared" si="89"/>
        <v>0</v>
      </c>
      <c r="S29" s="87">
        <f>IF(ISBLANK('Etape 2'!N26),0,VLOOKUP('Etape 2'!N26,Matrix_Uebersetzung,2,FALSE))</f>
        <v>0</v>
      </c>
      <c r="T29" s="87">
        <f>IF(ISBLANK('Etape 2'!O26),0,VLOOKUP('Etape 2'!O26,Matrix_Uebersetzung,2,FALSE))</f>
        <v>0</v>
      </c>
      <c r="U29" s="87">
        <f>IF(ISBLANK('Etape 2'!P26),0,VLOOKUP('Etape 2'!P26,Matrix_Uebersetzung,2,FALSE))</f>
        <v>0</v>
      </c>
      <c r="V29" s="87" t="str">
        <f>'Etape 2'!Q26</f>
        <v/>
      </c>
      <c r="W29" s="87">
        <f>'Etape 2'!R26</f>
        <v>0</v>
      </c>
      <c r="X29" s="87" t="str">
        <f>'Etape 2'!S26</f>
        <v/>
      </c>
      <c r="Y29" s="89" t="str">
        <f>'Etape 2'!T26</f>
        <v/>
      </c>
      <c r="Z29" s="87">
        <f>'Etape 2'!U26</f>
        <v>0</v>
      </c>
      <c r="AA29" s="87" t="str">
        <f>'Etape 2'!V26</f>
        <v/>
      </c>
      <c r="AB29" s="87">
        <f>IF(ISNUMBER('Etape 2'!W26),'Etape 2'!W26,0)</f>
        <v>0</v>
      </c>
      <c r="AC29" s="87">
        <f>IF(ISNUMBER('Etape 2'!X26),'Etape 2'!X26,0)</f>
        <v>0</v>
      </c>
      <c r="AD29" s="87">
        <f>IF(ISNUMBER('Etape 2'!Y26),'Etape 2'!Y26,0)</f>
        <v>0</v>
      </c>
      <c r="AE29" s="87">
        <f>IF(ISNUMBER('Etape 2'!Z26),'Etape 2'!Z26,0)</f>
        <v>0</v>
      </c>
      <c r="AF29" s="86">
        <f t="shared" si="74"/>
        <v>999</v>
      </c>
      <c r="AG29" s="288">
        <f t="shared" si="75"/>
        <v>0.25</v>
      </c>
      <c r="AH29" s="181" t="e">
        <f t="shared" si="46"/>
        <v>#VALUE!</v>
      </c>
      <c r="AI29" s="181" t="e">
        <f t="shared" si="76"/>
        <v>#VALUE!</v>
      </c>
      <c r="AJ29" s="86">
        <f t="shared" si="48"/>
        <v>200</v>
      </c>
      <c r="AK29" s="91" t="e">
        <f t="shared" si="49"/>
        <v>#N/A</v>
      </c>
      <c r="AL29" s="91" t="e">
        <f t="shared" si="50"/>
        <v>#N/A</v>
      </c>
      <c r="AM29" s="91">
        <f t="shared" si="51"/>
        <v>6</v>
      </c>
      <c r="AN29" s="91" t="e">
        <f t="shared" si="77"/>
        <v>#N/A</v>
      </c>
      <c r="AO29" s="91" t="e">
        <f t="shared" si="78"/>
        <v>#N/A</v>
      </c>
      <c r="AP29" s="21" t="e">
        <f t="shared" si="52"/>
        <v>#N/A</v>
      </c>
      <c r="AQ29" s="21" t="e">
        <f t="shared" si="53"/>
        <v>#N/A</v>
      </c>
      <c r="AR29" s="92" t="str">
        <f t="shared" si="79"/>
        <v/>
      </c>
      <c r="AS29" s="21" t="str">
        <f t="shared" si="80"/>
        <v/>
      </c>
      <c r="AT29" s="59" t="str">
        <f t="shared" si="54"/>
        <v/>
      </c>
      <c r="AU29" s="105">
        <f t="shared" si="55"/>
        <v>1</v>
      </c>
      <c r="AV29" s="105">
        <f t="shared" si="56"/>
        <v>1</v>
      </c>
      <c r="AW29" s="58">
        <f t="shared" si="88"/>
        <v>2</v>
      </c>
      <c r="AX29" s="58">
        <f t="shared" si="57"/>
        <v>3</v>
      </c>
      <c r="AY29" s="58" t="str">
        <f t="shared" si="58"/>
        <v>avec vannes</v>
      </c>
      <c r="AZ29" s="58" t="str">
        <f t="shared" si="59"/>
        <v>fermé</v>
      </c>
      <c r="BA29" s="60">
        <f t="shared" si="60"/>
        <v>0</v>
      </c>
      <c r="BB29" s="60">
        <f t="shared" si="60"/>
        <v>0</v>
      </c>
      <c r="BC29" s="60">
        <f t="shared" si="60"/>
        <v>0</v>
      </c>
      <c r="BD29" s="60">
        <f t="shared" si="60"/>
        <v>0</v>
      </c>
      <c r="BE29" s="286" t="str">
        <f t="shared" si="61"/>
        <v/>
      </c>
      <c r="BF29" s="58" t="str">
        <f t="shared" si="82"/>
        <v/>
      </c>
      <c r="BG29" s="59" t="str">
        <f t="shared" si="62"/>
        <v/>
      </c>
      <c r="BH29" s="158">
        <f t="shared" ca="1" si="63"/>
        <v>1</v>
      </c>
      <c r="BI29" s="60">
        <f t="shared" ca="1" si="64"/>
        <v>0.15</v>
      </c>
      <c r="BJ29" s="60">
        <f t="shared" si="65"/>
        <v>0.2</v>
      </c>
      <c r="BK29" s="60" t="str">
        <f t="shared" si="83"/>
        <v/>
      </c>
      <c r="BL29" s="21" t="str">
        <f t="shared" si="84"/>
        <v/>
      </c>
      <c r="BM29" s="264" t="str">
        <f t="shared" si="66"/>
        <v/>
      </c>
      <c r="BN29" s="60" t="str">
        <f t="shared" si="85"/>
        <v/>
      </c>
      <c r="BO29" s="136">
        <f t="shared" si="86"/>
        <v>0</v>
      </c>
      <c r="BP29" s="59">
        <f t="shared" si="87"/>
        <v>0</v>
      </c>
      <c r="BQ29" s="136">
        <f t="shared" ca="1" si="68"/>
        <v>1214</v>
      </c>
      <c r="BR29" s="136">
        <f t="shared" ca="1" si="69"/>
        <v>1000.046511627907</v>
      </c>
      <c r="BS29" s="136">
        <f t="shared" ca="1" si="70"/>
        <v>1468800.046511628</v>
      </c>
      <c r="BT29" s="136">
        <f t="shared" ca="1" si="71"/>
        <v>313874.96923738712</v>
      </c>
      <c r="BU29" s="136">
        <f t="shared" ca="1" si="72"/>
        <v>1000.046511627907</v>
      </c>
    </row>
    <row r="30" spans="1:73" x14ac:dyDescent="0.2">
      <c r="A30" s="87" t="str">
        <f>'Etape 2'!A27</f>
        <v/>
      </c>
      <c r="B30" s="87">
        <f>'Etape 2'!B27</f>
        <v>15</v>
      </c>
      <c r="C30" s="87">
        <f ca="1">'Etape 2'!C27</f>
        <v>286</v>
      </c>
      <c r="D30" s="87"/>
      <c r="E30" s="61">
        <f ca="1">RANK(BU30,BU$16:BU$315,0)+COUNTIF(BU$16:BU30,BU30)-1</f>
        <v>286</v>
      </c>
      <c r="F30" s="87" t="str">
        <f>'Etape 2'!D27</f>
        <v/>
      </c>
      <c r="G30" s="87" t="str">
        <f>'Etape 2'!E27</f>
        <v/>
      </c>
      <c r="H30" s="87" t="str">
        <f>'Etape 2'!F27</f>
        <v/>
      </c>
      <c r="I30" s="87" t="str">
        <f>'Etape 2'!G27</f>
        <v/>
      </c>
      <c r="J30" s="87" t="str">
        <f>'Etape 2'!H27</f>
        <v/>
      </c>
      <c r="K30" s="87" t="str">
        <f>'Etape 2'!I27</f>
        <v/>
      </c>
      <c r="L30" s="87">
        <f ca="1">'Etape 2'!J27</f>
        <v>999999</v>
      </c>
      <c r="M30" s="87">
        <f>'Etape 2'!K27</f>
        <v>999</v>
      </c>
      <c r="N30" s="87">
        <f ca="1">'Etape 2'!L27</f>
        <v>15</v>
      </c>
      <c r="O30" s="259">
        <f t="shared" si="43"/>
        <v>0.3</v>
      </c>
      <c r="P30" s="259">
        <f t="shared" si="44"/>
        <v>1.1000000000000001</v>
      </c>
      <c r="Q30" s="260">
        <f t="shared" si="45"/>
        <v>0</v>
      </c>
      <c r="R30" s="261">
        <f t="shared" si="89"/>
        <v>0</v>
      </c>
      <c r="S30" s="87">
        <f>IF(ISBLANK('Etape 2'!N27),0,VLOOKUP('Etape 2'!N27,Matrix_Uebersetzung,2,FALSE))</f>
        <v>0</v>
      </c>
      <c r="T30" s="87">
        <f>IF(ISBLANK('Etape 2'!O27),0,VLOOKUP('Etape 2'!O27,Matrix_Uebersetzung,2,FALSE))</f>
        <v>0</v>
      </c>
      <c r="U30" s="87">
        <f>IF(ISBLANK('Etape 2'!P27),0,VLOOKUP('Etape 2'!P27,Matrix_Uebersetzung,2,FALSE))</f>
        <v>0</v>
      </c>
      <c r="V30" s="87" t="str">
        <f>'Etape 2'!Q27</f>
        <v/>
      </c>
      <c r="W30" s="87">
        <f>'Etape 2'!R27</f>
        <v>0</v>
      </c>
      <c r="X30" s="87" t="str">
        <f>'Etape 2'!S27</f>
        <v/>
      </c>
      <c r="Y30" s="89" t="str">
        <f>'Etape 2'!T27</f>
        <v/>
      </c>
      <c r="Z30" s="87">
        <f>'Etape 2'!U27</f>
        <v>0</v>
      </c>
      <c r="AA30" s="87" t="str">
        <f>'Etape 2'!V27</f>
        <v/>
      </c>
      <c r="AB30" s="87">
        <f>IF(ISNUMBER('Etape 2'!W27),'Etape 2'!W27,0)</f>
        <v>0</v>
      </c>
      <c r="AC30" s="87">
        <f>IF(ISNUMBER('Etape 2'!X27),'Etape 2'!X27,0)</f>
        <v>0</v>
      </c>
      <c r="AD30" s="87">
        <f>IF(ISNUMBER('Etape 2'!Y27),'Etape 2'!Y27,0)</f>
        <v>0</v>
      </c>
      <c r="AE30" s="87">
        <f>IF(ISNUMBER('Etape 2'!Z27),'Etape 2'!Z27,0)</f>
        <v>0</v>
      </c>
      <c r="AF30" s="86">
        <f t="shared" si="74"/>
        <v>999</v>
      </c>
      <c r="AG30" s="288">
        <f t="shared" si="75"/>
        <v>0.25</v>
      </c>
      <c r="AH30" s="181" t="e">
        <f t="shared" si="46"/>
        <v>#VALUE!</v>
      </c>
      <c r="AI30" s="181" t="e">
        <f t="shared" si="76"/>
        <v>#VALUE!</v>
      </c>
      <c r="AJ30" s="86">
        <f t="shared" si="48"/>
        <v>200</v>
      </c>
      <c r="AK30" s="91" t="e">
        <f t="shared" si="49"/>
        <v>#N/A</v>
      </c>
      <c r="AL30" s="91" t="e">
        <f t="shared" si="50"/>
        <v>#N/A</v>
      </c>
      <c r="AM30" s="91">
        <f t="shared" si="51"/>
        <v>6</v>
      </c>
      <c r="AN30" s="91" t="e">
        <f t="shared" si="77"/>
        <v>#N/A</v>
      </c>
      <c r="AO30" s="91" t="e">
        <f t="shared" si="78"/>
        <v>#N/A</v>
      </c>
      <c r="AP30" s="21" t="e">
        <f t="shared" si="52"/>
        <v>#N/A</v>
      </c>
      <c r="AQ30" s="21" t="e">
        <f t="shared" si="53"/>
        <v>#N/A</v>
      </c>
      <c r="AR30" s="92" t="str">
        <f t="shared" si="79"/>
        <v/>
      </c>
      <c r="AS30" s="21" t="str">
        <f t="shared" si="80"/>
        <v/>
      </c>
      <c r="AT30" s="59" t="str">
        <f t="shared" si="54"/>
        <v/>
      </c>
      <c r="AU30" s="105">
        <f t="shared" si="55"/>
        <v>1</v>
      </c>
      <c r="AV30" s="105">
        <f t="shared" si="56"/>
        <v>1</v>
      </c>
      <c r="AW30" s="58">
        <f t="shared" si="88"/>
        <v>2</v>
      </c>
      <c r="AX30" s="58">
        <f t="shared" si="57"/>
        <v>3</v>
      </c>
      <c r="AY30" s="58" t="str">
        <f t="shared" si="58"/>
        <v>avec vannes</v>
      </c>
      <c r="AZ30" s="58" t="str">
        <f t="shared" si="59"/>
        <v>fermé</v>
      </c>
      <c r="BA30" s="60">
        <f t="shared" si="60"/>
        <v>0</v>
      </c>
      <c r="BB30" s="60">
        <f t="shared" si="60"/>
        <v>0</v>
      </c>
      <c r="BC30" s="60">
        <f t="shared" si="60"/>
        <v>0</v>
      </c>
      <c r="BD30" s="60">
        <f t="shared" si="60"/>
        <v>0</v>
      </c>
      <c r="BE30" s="286" t="str">
        <f t="shared" si="61"/>
        <v/>
      </c>
      <c r="BF30" s="58" t="str">
        <f t="shared" si="82"/>
        <v/>
      </c>
      <c r="BG30" s="59" t="str">
        <f t="shared" si="62"/>
        <v/>
      </c>
      <c r="BH30" s="158">
        <f t="shared" ca="1" si="63"/>
        <v>1</v>
      </c>
      <c r="BI30" s="60">
        <f t="shared" ca="1" si="64"/>
        <v>0.15</v>
      </c>
      <c r="BJ30" s="60">
        <f t="shared" si="65"/>
        <v>0.2</v>
      </c>
      <c r="BK30" s="60" t="str">
        <f t="shared" si="83"/>
        <v/>
      </c>
      <c r="BL30" s="21" t="str">
        <f t="shared" si="84"/>
        <v/>
      </c>
      <c r="BM30" s="264" t="str">
        <f t="shared" si="66"/>
        <v/>
      </c>
      <c r="BN30" s="60" t="str">
        <f t="shared" si="85"/>
        <v/>
      </c>
      <c r="BO30" s="136">
        <f t="shared" si="86"/>
        <v>0</v>
      </c>
      <c r="BP30" s="59">
        <f t="shared" si="87"/>
        <v>0</v>
      </c>
      <c r="BQ30" s="136">
        <f t="shared" ca="1" si="68"/>
        <v>1215</v>
      </c>
      <c r="BR30" s="136">
        <f t="shared" ca="1" si="69"/>
        <v>1000.0498338870432</v>
      </c>
      <c r="BS30" s="136">
        <f t="shared" ca="1" si="70"/>
        <v>1468800.049833887</v>
      </c>
      <c r="BT30" s="136">
        <f t="shared" ca="1" si="71"/>
        <v>313874.97255964624</v>
      </c>
      <c r="BU30" s="136">
        <f t="shared" ca="1" si="72"/>
        <v>1000.0498338870432</v>
      </c>
    </row>
    <row r="31" spans="1:73" x14ac:dyDescent="0.2">
      <c r="A31" s="87" t="str">
        <f>'Etape 2'!A28</f>
        <v/>
      </c>
      <c r="B31" s="87">
        <f>'Etape 2'!B28</f>
        <v>16</v>
      </c>
      <c r="C31" s="87">
        <f ca="1">'Etape 2'!C28</f>
        <v>285</v>
      </c>
      <c r="D31" s="87"/>
      <c r="E31" s="61">
        <f ca="1">RANK(BU31,BU$16:BU$315,0)+COUNTIF(BU$16:BU31,BU31)-1</f>
        <v>285</v>
      </c>
      <c r="F31" s="87" t="str">
        <f>'Etape 2'!D28</f>
        <v/>
      </c>
      <c r="G31" s="87" t="str">
        <f>'Etape 2'!E28</f>
        <v/>
      </c>
      <c r="H31" s="87" t="str">
        <f>'Etape 2'!F28</f>
        <v/>
      </c>
      <c r="I31" s="87" t="str">
        <f>'Etape 2'!G28</f>
        <v/>
      </c>
      <c r="J31" s="87" t="str">
        <f>'Etape 2'!H28</f>
        <v/>
      </c>
      <c r="K31" s="87" t="str">
        <f>'Etape 2'!I28</f>
        <v/>
      </c>
      <c r="L31" s="87">
        <f ca="1">'Etape 2'!J28</f>
        <v>999999</v>
      </c>
      <c r="M31" s="87">
        <f>'Etape 2'!K28</f>
        <v>999</v>
      </c>
      <c r="N31" s="87">
        <f ca="1">'Etape 2'!L28</f>
        <v>16</v>
      </c>
      <c r="O31" s="259">
        <f t="shared" si="43"/>
        <v>0.3</v>
      </c>
      <c r="P31" s="259">
        <f t="shared" si="44"/>
        <v>1.1000000000000001</v>
      </c>
      <c r="Q31" s="260">
        <f t="shared" si="45"/>
        <v>0</v>
      </c>
      <c r="R31" s="261">
        <f t="shared" si="89"/>
        <v>0</v>
      </c>
      <c r="S31" s="87">
        <f>IF(ISBLANK('Etape 2'!N28),0,VLOOKUP('Etape 2'!N28,Matrix_Uebersetzung,2,FALSE))</f>
        <v>0</v>
      </c>
      <c r="T31" s="87">
        <f>IF(ISBLANK('Etape 2'!O28),0,VLOOKUP('Etape 2'!O28,Matrix_Uebersetzung,2,FALSE))</f>
        <v>0</v>
      </c>
      <c r="U31" s="87">
        <f>IF(ISBLANK('Etape 2'!P28),0,VLOOKUP('Etape 2'!P28,Matrix_Uebersetzung,2,FALSE))</f>
        <v>0</v>
      </c>
      <c r="V31" s="87" t="str">
        <f>'Etape 2'!Q28</f>
        <v/>
      </c>
      <c r="W31" s="87">
        <f>'Etape 2'!R28</f>
        <v>0</v>
      </c>
      <c r="X31" s="87" t="str">
        <f>'Etape 2'!S28</f>
        <v/>
      </c>
      <c r="Y31" s="89" t="str">
        <f>'Etape 2'!T28</f>
        <v/>
      </c>
      <c r="Z31" s="87">
        <f>'Etape 2'!U28</f>
        <v>0</v>
      </c>
      <c r="AA31" s="87" t="str">
        <f>'Etape 2'!V28</f>
        <v/>
      </c>
      <c r="AB31" s="87">
        <f>IF(ISNUMBER('Etape 2'!W28),'Etape 2'!W28,0)</f>
        <v>0</v>
      </c>
      <c r="AC31" s="87">
        <f>IF(ISNUMBER('Etape 2'!X28),'Etape 2'!X28,0)</f>
        <v>0</v>
      </c>
      <c r="AD31" s="87">
        <f>IF(ISNUMBER('Etape 2'!Y28),'Etape 2'!Y28,0)</f>
        <v>0</v>
      </c>
      <c r="AE31" s="87">
        <f>IF(ISNUMBER('Etape 2'!Z28),'Etape 2'!Z28,0)</f>
        <v>0</v>
      </c>
      <c r="AF31" s="86">
        <f t="shared" si="74"/>
        <v>999</v>
      </c>
      <c r="AG31" s="288">
        <f t="shared" si="75"/>
        <v>0.25</v>
      </c>
      <c r="AH31" s="181" t="e">
        <f t="shared" si="46"/>
        <v>#VALUE!</v>
      </c>
      <c r="AI31" s="181" t="e">
        <f t="shared" si="76"/>
        <v>#VALUE!</v>
      </c>
      <c r="AJ31" s="86">
        <f t="shared" si="48"/>
        <v>200</v>
      </c>
      <c r="AK31" s="91" t="e">
        <f t="shared" si="49"/>
        <v>#N/A</v>
      </c>
      <c r="AL31" s="91" t="e">
        <f t="shared" si="50"/>
        <v>#N/A</v>
      </c>
      <c r="AM31" s="91">
        <f t="shared" si="51"/>
        <v>6</v>
      </c>
      <c r="AN31" s="91" t="e">
        <f t="shared" si="77"/>
        <v>#N/A</v>
      </c>
      <c r="AO31" s="91" t="e">
        <f t="shared" si="78"/>
        <v>#N/A</v>
      </c>
      <c r="AP31" s="21" t="e">
        <f t="shared" si="52"/>
        <v>#N/A</v>
      </c>
      <c r="AQ31" s="21" t="e">
        <f t="shared" si="53"/>
        <v>#N/A</v>
      </c>
      <c r="AR31" s="92" t="str">
        <f t="shared" si="79"/>
        <v/>
      </c>
      <c r="AS31" s="21" t="str">
        <f t="shared" si="80"/>
        <v/>
      </c>
      <c r="AT31" s="59" t="str">
        <f t="shared" si="54"/>
        <v/>
      </c>
      <c r="AU31" s="105">
        <f t="shared" si="55"/>
        <v>1</v>
      </c>
      <c r="AV31" s="105">
        <f t="shared" si="56"/>
        <v>1</v>
      </c>
      <c r="AW31" s="58">
        <f t="shared" si="88"/>
        <v>2</v>
      </c>
      <c r="AX31" s="58">
        <f t="shared" si="57"/>
        <v>3</v>
      </c>
      <c r="AY31" s="58" t="str">
        <f t="shared" si="58"/>
        <v>avec vannes</v>
      </c>
      <c r="AZ31" s="58" t="str">
        <f t="shared" si="59"/>
        <v>fermé</v>
      </c>
      <c r="BA31" s="60">
        <f t="shared" si="60"/>
        <v>0</v>
      </c>
      <c r="BB31" s="60">
        <f t="shared" si="60"/>
        <v>0</v>
      </c>
      <c r="BC31" s="60">
        <f t="shared" si="60"/>
        <v>0</v>
      </c>
      <c r="BD31" s="60">
        <f t="shared" si="60"/>
        <v>0</v>
      </c>
      <c r="BE31" s="286" t="str">
        <f t="shared" si="61"/>
        <v/>
      </c>
      <c r="BF31" s="58" t="str">
        <f t="shared" si="82"/>
        <v/>
      </c>
      <c r="BG31" s="59" t="str">
        <f t="shared" si="62"/>
        <v/>
      </c>
      <c r="BH31" s="158">
        <f t="shared" ca="1" si="63"/>
        <v>1</v>
      </c>
      <c r="BI31" s="60">
        <f t="shared" ca="1" si="64"/>
        <v>0.15</v>
      </c>
      <c r="BJ31" s="60">
        <f t="shared" si="65"/>
        <v>0.2</v>
      </c>
      <c r="BK31" s="60" t="str">
        <f t="shared" si="83"/>
        <v/>
      </c>
      <c r="BL31" s="21" t="str">
        <f t="shared" si="84"/>
        <v/>
      </c>
      <c r="BM31" s="264" t="str">
        <f t="shared" si="66"/>
        <v/>
      </c>
      <c r="BN31" s="60" t="str">
        <f t="shared" si="85"/>
        <v/>
      </c>
      <c r="BO31" s="136">
        <f t="shared" si="86"/>
        <v>0</v>
      </c>
      <c r="BP31" s="59">
        <f t="shared" si="87"/>
        <v>0</v>
      </c>
      <c r="BQ31" s="136">
        <f t="shared" ca="1" si="68"/>
        <v>1216</v>
      </c>
      <c r="BR31" s="136">
        <f t="shared" ca="1" si="69"/>
        <v>1000.0531561461794</v>
      </c>
      <c r="BS31" s="136">
        <f t="shared" ca="1" si="70"/>
        <v>1468800.0531561461</v>
      </c>
      <c r="BT31" s="136">
        <f t="shared" ca="1" si="71"/>
        <v>313874.97588190541</v>
      </c>
      <c r="BU31" s="136">
        <f t="shared" ca="1" si="72"/>
        <v>1000.0531561461794</v>
      </c>
    </row>
    <row r="32" spans="1:73" x14ac:dyDescent="0.2">
      <c r="A32" s="87" t="str">
        <f>'Etape 2'!A29</f>
        <v/>
      </c>
      <c r="B32" s="87">
        <f>'Etape 2'!B29</f>
        <v>17</v>
      </c>
      <c r="C32" s="87">
        <f ca="1">'Etape 2'!C29</f>
        <v>284</v>
      </c>
      <c r="D32" s="87"/>
      <c r="E32" s="61">
        <f ca="1">RANK(BU32,BU$16:BU$315,0)+COUNTIF(BU$16:BU32,BU32)-1</f>
        <v>284</v>
      </c>
      <c r="F32" s="87" t="str">
        <f>'Etape 2'!D29</f>
        <v/>
      </c>
      <c r="G32" s="87" t="str">
        <f>'Etape 2'!E29</f>
        <v/>
      </c>
      <c r="H32" s="87" t="str">
        <f>'Etape 2'!F29</f>
        <v/>
      </c>
      <c r="I32" s="87" t="str">
        <f>'Etape 2'!G29</f>
        <v/>
      </c>
      <c r="J32" s="87" t="str">
        <f>'Etape 2'!H29</f>
        <v/>
      </c>
      <c r="K32" s="87" t="str">
        <f>'Etape 2'!I29</f>
        <v/>
      </c>
      <c r="L32" s="87">
        <f ca="1">'Etape 2'!J29</f>
        <v>999999</v>
      </c>
      <c r="M32" s="87">
        <f>'Etape 2'!K29</f>
        <v>999</v>
      </c>
      <c r="N32" s="87">
        <f ca="1">'Etape 2'!L29</f>
        <v>17</v>
      </c>
      <c r="O32" s="259">
        <f t="shared" si="43"/>
        <v>0.3</v>
      </c>
      <c r="P32" s="259">
        <f t="shared" si="44"/>
        <v>1.1000000000000001</v>
      </c>
      <c r="Q32" s="260">
        <f t="shared" si="45"/>
        <v>0</v>
      </c>
      <c r="R32" s="261">
        <f t="shared" si="89"/>
        <v>0</v>
      </c>
      <c r="S32" s="87">
        <f>IF(ISBLANK('Etape 2'!N29),0,VLOOKUP('Etape 2'!N29,Matrix_Uebersetzung,2,FALSE))</f>
        <v>0</v>
      </c>
      <c r="T32" s="87">
        <f>IF(ISBLANK('Etape 2'!O29),0,VLOOKUP('Etape 2'!O29,Matrix_Uebersetzung,2,FALSE))</f>
        <v>0</v>
      </c>
      <c r="U32" s="87">
        <f>IF(ISBLANK('Etape 2'!P29),0,VLOOKUP('Etape 2'!P29,Matrix_Uebersetzung,2,FALSE))</f>
        <v>0</v>
      </c>
      <c r="V32" s="87" t="str">
        <f>'Etape 2'!Q29</f>
        <v/>
      </c>
      <c r="W32" s="87">
        <f>'Etape 2'!R29</f>
        <v>0</v>
      </c>
      <c r="X32" s="87" t="str">
        <f>'Etape 2'!S29</f>
        <v/>
      </c>
      <c r="Y32" s="89" t="str">
        <f>'Etape 2'!T29</f>
        <v/>
      </c>
      <c r="Z32" s="87">
        <f>'Etape 2'!U29</f>
        <v>0</v>
      </c>
      <c r="AA32" s="87" t="str">
        <f>'Etape 2'!V29</f>
        <v/>
      </c>
      <c r="AB32" s="87">
        <f>IF(ISNUMBER('Etape 2'!W29),'Etape 2'!W29,0)</f>
        <v>0</v>
      </c>
      <c r="AC32" s="87">
        <f>IF(ISNUMBER('Etape 2'!X29),'Etape 2'!X29,0)</f>
        <v>0</v>
      </c>
      <c r="AD32" s="87">
        <f>IF(ISNUMBER('Etape 2'!Y29),'Etape 2'!Y29,0)</f>
        <v>0</v>
      </c>
      <c r="AE32" s="87">
        <f>IF(ISNUMBER('Etape 2'!Z29),'Etape 2'!Z29,0)</f>
        <v>0</v>
      </c>
      <c r="AF32" s="86">
        <f t="shared" si="74"/>
        <v>999</v>
      </c>
      <c r="AG32" s="288">
        <f t="shared" si="75"/>
        <v>0.25</v>
      </c>
      <c r="AH32" s="181" t="e">
        <f t="shared" si="46"/>
        <v>#VALUE!</v>
      </c>
      <c r="AI32" s="181" t="e">
        <f t="shared" si="76"/>
        <v>#VALUE!</v>
      </c>
      <c r="AJ32" s="86">
        <f t="shared" si="48"/>
        <v>200</v>
      </c>
      <c r="AK32" s="91" t="e">
        <f t="shared" si="49"/>
        <v>#N/A</v>
      </c>
      <c r="AL32" s="91" t="e">
        <f t="shared" si="50"/>
        <v>#N/A</v>
      </c>
      <c r="AM32" s="91">
        <f t="shared" si="51"/>
        <v>6</v>
      </c>
      <c r="AN32" s="91" t="e">
        <f t="shared" si="77"/>
        <v>#N/A</v>
      </c>
      <c r="AO32" s="91" t="e">
        <f t="shared" si="78"/>
        <v>#N/A</v>
      </c>
      <c r="AP32" s="21" t="e">
        <f t="shared" si="52"/>
        <v>#N/A</v>
      </c>
      <c r="AQ32" s="21" t="e">
        <f t="shared" si="53"/>
        <v>#N/A</v>
      </c>
      <c r="AR32" s="92" t="str">
        <f t="shared" si="79"/>
        <v/>
      </c>
      <c r="AS32" s="21" t="str">
        <f t="shared" si="80"/>
        <v/>
      </c>
      <c r="AT32" s="59" t="str">
        <f t="shared" si="54"/>
        <v/>
      </c>
      <c r="AU32" s="105">
        <f t="shared" si="55"/>
        <v>1</v>
      </c>
      <c r="AV32" s="105">
        <f t="shared" si="56"/>
        <v>1</v>
      </c>
      <c r="AW32" s="58">
        <f t="shared" si="88"/>
        <v>2</v>
      </c>
      <c r="AX32" s="58">
        <f t="shared" si="57"/>
        <v>3</v>
      </c>
      <c r="AY32" s="58" t="str">
        <f t="shared" si="58"/>
        <v>avec vannes</v>
      </c>
      <c r="AZ32" s="58" t="str">
        <f t="shared" si="59"/>
        <v>fermé</v>
      </c>
      <c r="BA32" s="60">
        <f t="shared" si="60"/>
        <v>0</v>
      </c>
      <c r="BB32" s="60">
        <f t="shared" si="60"/>
        <v>0</v>
      </c>
      <c r="BC32" s="60">
        <f t="shared" si="60"/>
        <v>0</v>
      </c>
      <c r="BD32" s="60">
        <f t="shared" si="60"/>
        <v>0</v>
      </c>
      <c r="BE32" s="286" t="str">
        <f t="shared" si="61"/>
        <v/>
      </c>
      <c r="BF32" s="58" t="str">
        <f t="shared" si="82"/>
        <v/>
      </c>
      <c r="BG32" s="59" t="str">
        <f t="shared" si="62"/>
        <v/>
      </c>
      <c r="BH32" s="158">
        <f t="shared" ca="1" si="63"/>
        <v>1</v>
      </c>
      <c r="BI32" s="60">
        <f t="shared" ca="1" si="64"/>
        <v>0.15</v>
      </c>
      <c r="BJ32" s="60">
        <f t="shared" si="65"/>
        <v>0.2</v>
      </c>
      <c r="BK32" s="60" t="str">
        <f t="shared" si="83"/>
        <v/>
      </c>
      <c r="BL32" s="21" t="str">
        <f t="shared" si="84"/>
        <v/>
      </c>
      <c r="BM32" s="264" t="str">
        <f t="shared" si="66"/>
        <v/>
      </c>
      <c r="BN32" s="60" t="str">
        <f t="shared" si="85"/>
        <v/>
      </c>
      <c r="BO32" s="136">
        <f t="shared" si="86"/>
        <v>0</v>
      </c>
      <c r="BP32" s="59">
        <f t="shared" si="87"/>
        <v>0</v>
      </c>
      <c r="BQ32" s="136">
        <f t="shared" ca="1" si="68"/>
        <v>1217</v>
      </c>
      <c r="BR32" s="136">
        <f t="shared" ca="1" si="69"/>
        <v>1000.0564784053156</v>
      </c>
      <c r="BS32" s="136">
        <f t="shared" ca="1" si="70"/>
        <v>1468800.0564784054</v>
      </c>
      <c r="BT32" s="136">
        <f t="shared" ca="1" si="71"/>
        <v>313874.97920416453</v>
      </c>
      <c r="BU32" s="136">
        <f t="shared" ca="1" si="72"/>
        <v>1000.0564784053156</v>
      </c>
    </row>
    <row r="33" spans="1:73" x14ac:dyDescent="0.2">
      <c r="A33" s="87" t="str">
        <f>'Etape 2'!A30</f>
        <v/>
      </c>
      <c r="B33" s="87">
        <f>'Etape 2'!B30</f>
        <v>18</v>
      </c>
      <c r="C33" s="87">
        <f ca="1">'Etape 2'!C30</f>
        <v>283</v>
      </c>
      <c r="D33" s="87"/>
      <c r="E33" s="61">
        <f ca="1">RANK(BU33,BU$16:BU$315,0)+COUNTIF(BU$16:BU33,BU33)-1</f>
        <v>283</v>
      </c>
      <c r="F33" s="87" t="str">
        <f>'Etape 2'!D30</f>
        <v/>
      </c>
      <c r="G33" s="87" t="str">
        <f>'Etape 2'!E30</f>
        <v/>
      </c>
      <c r="H33" s="87" t="str">
        <f>'Etape 2'!F30</f>
        <v/>
      </c>
      <c r="I33" s="87" t="str">
        <f>'Etape 2'!G30</f>
        <v/>
      </c>
      <c r="J33" s="87" t="str">
        <f>'Etape 2'!H30</f>
        <v/>
      </c>
      <c r="K33" s="87" t="str">
        <f>'Etape 2'!I30</f>
        <v/>
      </c>
      <c r="L33" s="87">
        <f ca="1">'Etape 2'!J30</f>
        <v>999999</v>
      </c>
      <c r="M33" s="87">
        <f>'Etape 2'!K30</f>
        <v>999</v>
      </c>
      <c r="N33" s="87">
        <f ca="1">'Etape 2'!L30</f>
        <v>18</v>
      </c>
      <c r="O33" s="259">
        <f t="shared" si="43"/>
        <v>0.3</v>
      </c>
      <c r="P33" s="259">
        <f t="shared" si="44"/>
        <v>1.1000000000000001</v>
      </c>
      <c r="Q33" s="260">
        <f t="shared" si="45"/>
        <v>0</v>
      </c>
      <c r="R33" s="261">
        <f t="shared" si="89"/>
        <v>0</v>
      </c>
      <c r="S33" s="87">
        <f>IF(ISBLANK('Etape 2'!N30),0,VLOOKUP('Etape 2'!N30,Matrix_Uebersetzung,2,FALSE))</f>
        <v>0</v>
      </c>
      <c r="T33" s="87">
        <f>IF(ISBLANK('Etape 2'!O30),0,VLOOKUP('Etape 2'!O30,Matrix_Uebersetzung,2,FALSE))</f>
        <v>0</v>
      </c>
      <c r="U33" s="87">
        <f>IF(ISBLANK('Etape 2'!P30),0,VLOOKUP('Etape 2'!P30,Matrix_Uebersetzung,2,FALSE))</f>
        <v>0</v>
      </c>
      <c r="V33" s="87" t="str">
        <f>'Etape 2'!Q30</f>
        <v/>
      </c>
      <c r="W33" s="87">
        <f>'Etape 2'!R30</f>
        <v>0</v>
      </c>
      <c r="X33" s="87" t="str">
        <f>'Etape 2'!S30</f>
        <v/>
      </c>
      <c r="Y33" s="89" t="str">
        <f>'Etape 2'!T30</f>
        <v/>
      </c>
      <c r="Z33" s="87">
        <f>'Etape 2'!U30</f>
        <v>0</v>
      </c>
      <c r="AA33" s="87" t="str">
        <f>'Etape 2'!V30</f>
        <v/>
      </c>
      <c r="AB33" s="87">
        <f>IF(ISNUMBER('Etape 2'!W30),'Etape 2'!W30,0)</f>
        <v>0</v>
      </c>
      <c r="AC33" s="87">
        <f>IF(ISNUMBER('Etape 2'!X30),'Etape 2'!X30,0)</f>
        <v>0</v>
      </c>
      <c r="AD33" s="87">
        <f>IF(ISNUMBER('Etape 2'!Y30),'Etape 2'!Y30,0)</f>
        <v>0</v>
      </c>
      <c r="AE33" s="87">
        <f>IF(ISNUMBER('Etape 2'!Z30),'Etape 2'!Z30,0)</f>
        <v>0</v>
      </c>
      <c r="AF33" s="86">
        <f t="shared" si="74"/>
        <v>999</v>
      </c>
      <c r="AG33" s="288">
        <f t="shared" si="75"/>
        <v>0.25</v>
      </c>
      <c r="AH33" s="181" t="e">
        <f t="shared" si="46"/>
        <v>#VALUE!</v>
      </c>
      <c r="AI33" s="181" t="e">
        <f t="shared" si="76"/>
        <v>#VALUE!</v>
      </c>
      <c r="AJ33" s="86">
        <f t="shared" si="48"/>
        <v>200</v>
      </c>
      <c r="AK33" s="91" t="e">
        <f t="shared" si="49"/>
        <v>#N/A</v>
      </c>
      <c r="AL33" s="91" t="e">
        <f t="shared" si="50"/>
        <v>#N/A</v>
      </c>
      <c r="AM33" s="91">
        <f t="shared" si="51"/>
        <v>6</v>
      </c>
      <c r="AN33" s="91" t="e">
        <f t="shared" si="77"/>
        <v>#N/A</v>
      </c>
      <c r="AO33" s="91" t="e">
        <f t="shared" si="78"/>
        <v>#N/A</v>
      </c>
      <c r="AP33" s="21" t="e">
        <f t="shared" si="52"/>
        <v>#N/A</v>
      </c>
      <c r="AQ33" s="21" t="e">
        <f t="shared" si="53"/>
        <v>#N/A</v>
      </c>
      <c r="AR33" s="92" t="str">
        <f t="shared" si="79"/>
        <v/>
      </c>
      <c r="AS33" s="21" t="str">
        <f t="shared" si="80"/>
        <v/>
      </c>
      <c r="AT33" s="59" t="str">
        <f t="shared" si="54"/>
        <v/>
      </c>
      <c r="AU33" s="105">
        <f t="shared" si="55"/>
        <v>1</v>
      </c>
      <c r="AV33" s="105">
        <f t="shared" si="56"/>
        <v>1</v>
      </c>
      <c r="AW33" s="58">
        <f t="shared" si="88"/>
        <v>2</v>
      </c>
      <c r="AX33" s="58">
        <f t="shared" si="57"/>
        <v>3</v>
      </c>
      <c r="AY33" s="58" t="str">
        <f t="shared" si="58"/>
        <v>avec vannes</v>
      </c>
      <c r="AZ33" s="58" t="str">
        <f t="shared" si="59"/>
        <v>fermé</v>
      </c>
      <c r="BA33" s="60">
        <f t="shared" si="60"/>
        <v>0</v>
      </c>
      <c r="BB33" s="60">
        <f t="shared" si="60"/>
        <v>0</v>
      </c>
      <c r="BC33" s="60">
        <f t="shared" si="60"/>
        <v>0</v>
      </c>
      <c r="BD33" s="60">
        <f t="shared" si="60"/>
        <v>0</v>
      </c>
      <c r="BE33" s="286" t="str">
        <f t="shared" si="61"/>
        <v/>
      </c>
      <c r="BF33" s="58" t="str">
        <f t="shared" si="82"/>
        <v/>
      </c>
      <c r="BG33" s="59" t="str">
        <f t="shared" si="62"/>
        <v/>
      </c>
      <c r="BH33" s="158">
        <f t="shared" ca="1" si="63"/>
        <v>1</v>
      </c>
      <c r="BI33" s="60">
        <f t="shared" ca="1" si="64"/>
        <v>0.15</v>
      </c>
      <c r="BJ33" s="60">
        <f t="shared" si="65"/>
        <v>0.2</v>
      </c>
      <c r="BK33" s="60" t="str">
        <f t="shared" si="83"/>
        <v/>
      </c>
      <c r="BL33" s="21" t="str">
        <f t="shared" si="84"/>
        <v/>
      </c>
      <c r="BM33" s="264" t="str">
        <f t="shared" si="66"/>
        <v/>
      </c>
      <c r="BN33" s="60" t="str">
        <f t="shared" si="85"/>
        <v/>
      </c>
      <c r="BO33" s="136">
        <f t="shared" si="86"/>
        <v>0</v>
      </c>
      <c r="BP33" s="59">
        <f t="shared" si="87"/>
        <v>0</v>
      </c>
      <c r="BQ33" s="136">
        <f t="shared" ca="1" si="68"/>
        <v>1218</v>
      </c>
      <c r="BR33" s="136">
        <f t="shared" ca="1" si="69"/>
        <v>1000.0598006644518</v>
      </c>
      <c r="BS33" s="136">
        <f t="shared" ca="1" si="70"/>
        <v>1468800.0598006644</v>
      </c>
      <c r="BT33" s="136">
        <f t="shared" ca="1" si="71"/>
        <v>313874.98252642364</v>
      </c>
      <c r="BU33" s="136">
        <f t="shared" ca="1" si="72"/>
        <v>1000.0598006644518</v>
      </c>
    </row>
    <row r="34" spans="1:73" x14ac:dyDescent="0.2">
      <c r="A34" s="87" t="str">
        <f>'Etape 2'!A31</f>
        <v/>
      </c>
      <c r="B34" s="87">
        <f>'Etape 2'!B31</f>
        <v>19</v>
      </c>
      <c r="C34" s="87">
        <f ca="1">'Etape 2'!C31</f>
        <v>282</v>
      </c>
      <c r="D34" s="87"/>
      <c r="E34" s="61">
        <f ca="1">RANK(BU34,BU$16:BU$315,0)+COUNTIF(BU$16:BU34,BU34)-1</f>
        <v>282</v>
      </c>
      <c r="F34" s="87" t="str">
        <f>'Etape 2'!D31</f>
        <v/>
      </c>
      <c r="G34" s="87" t="str">
        <f>'Etape 2'!E31</f>
        <v/>
      </c>
      <c r="H34" s="87" t="str">
        <f>'Etape 2'!F31</f>
        <v/>
      </c>
      <c r="I34" s="87" t="str">
        <f>'Etape 2'!G31</f>
        <v/>
      </c>
      <c r="J34" s="87" t="str">
        <f>'Etape 2'!H31</f>
        <v/>
      </c>
      <c r="K34" s="87" t="str">
        <f>'Etape 2'!I31</f>
        <v/>
      </c>
      <c r="L34" s="87">
        <f ca="1">'Etape 2'!J31</f>
        <v>999999</v>
      </c>
      <c r="M34" s="87">
        <f>'Etape 2'!K31</f>
        <v>999</v>
      </c>
      <c r="N34" s="87">
        <f ca="1">'Etape 2'!L31</f>
        <v>19</v>
      </c>
      <c r="O34" s="259">
        <f t="shared" si="43"/>
        <v>0.3</v>
      </c>
      <c r="P34" s="259">
        <f t="shared" si="44"/>
        <v>1.1000000000000001</v>
      </c>
      <c r="Q34" s="260">
        <f t="shared" si="45"/>
        <v>0</v>
      </c>
      <c r="R34" s="261">
        <f t="shared" si="89"/>
        <v>0</v>
      </c>
      <c r="S34" s="87">
        <f>IF(ISBLANK('Etape 2'!N31),0,VLOOKUP('Etape 2'!N31,Matrix_Uebersetzung,2,FALSE))</f>
        <v>0</v>
      </c>
      <c r="T34" s="87">
        <f>IF(ISBLANK('Etape 2'!O31),0,VLOOKUP('Etape 2'!O31,Matrix_Uebersetzung,2,FALSE))</f>
        <v>0</v>
      </c>
      <c r="U34" s="87">
        <f>IF(ISBLANK('Etape 2'!P31),0,VLOOKUP('Etape 2'!P31,Matrix_Uebersetzung,2,FALSE))</f>
        <v>0</v>
      </c>
      <c r="V34" s="87" t="str">
        <f>'Etape 2'!Q31</f>
        <v/>
      </c>
      <c r="W34" s="87">
        <f>'Etape 2'!R31</f>
        <v>0</v>
      </c>
      <c r="X34" s="87" t="str">
        <f>'Etape 2'!S31</f>
        <v/>
      </c>
      <c r="Y34" s="89" t="str">
        <f>'Etape 2'!T31</f>
        <v/>
      </c>
      <c r="Z34" s="87">
        <f>'Etape 2'!U31</f>
        <v>0</v>
      </c>
      <c r="AA34" s="87" t="str">
        <f>'Etape 2'!V31</f>
        <v/>
      </c>
      <c r="AB34" s="87">
        <f>IF(ISNUMBER('Etape 2'!W31),'Etape 2'!W31,0)</f>
        <v>0</v>
      </c>
      <c r="AC34" s="87">
        <f>IF(ISNUMBER('Etape 2'!X31),'Etape 2'!X31,0)</f>
        <v>0</v>
      </c>
      <c r="AD34" s="87">
        <f>IF(ISNUMBER('Etape 2'!Y31),'Etape 2'!Y31,0)</f>
        <v>0</v>
      </c>
      <c r="AE34" s="87">
        <f>IF(ISNUMBER('Etape 2'!Z31),'Etape 2'!Z31,0)</f>
        <v>0</v>
      </c>
      <c r="AF34" s="86">
        <f t="shared" si="74"/>
        <v>999</v>
      </c>
      <c r="AG34" s="288">
        <f t="shared" si="75"/>
        <v>0.25</v>
      </c>
      <c r="AH34" s="181" t="e">
        <f t="shared" si="46"/>
        <v>#VALUE!</v>
      </c>
      <c r="AI34" s="181" t="e">
        <f t="shared" si="76"/>
        <v>#VALUE!</v>
      </c>
      <c r="AJ34" s="86">
        <f t="shared" si="48"/>
        <v>200</v>
      </c>
      <c r="AK34" s="91" t="e">
        <f t="shared" si="49"/>
        <v>#N/A</v>
      </c>
      <c r="AL34" s="91" t="e">
        <f t="shared" si="50"/>
        <v>#N/A</v>
      </c>
      <c r="AM34" s="91">
        <f t="shared" si="51"/>
        <v>6</v>
      </c>
      <c r="AN34" s="91" t="e">
        <f t="shared" si="77"/>
        <v>#N/A</v>
      </c>
      <c r="AO34" s="91" t="e">
        <f t="shared" si="78"/>
        <v>#N/A</v>
      </c>
      <c r="AP34" s="21" t="e">
        <f t="shared" si="52"/>
        <v>#N/A</v>
      </c>
      <c r="AQ34" s="21" t="e">
        <f t="shared" si="53"/>
        <v>#N/A</v>
      </c>
      <c r="AR34" s="92" t="str">
        <f t="shared" si="79"/>
        <v/>
      </c>
      <c r="AS34" s="21" t="str">
        <f t="shared" si="80"/>
        <v/>
      </c>
      <c r="AT34" s="59" t="str">
        <f t="shared" si="54"/>
        <v/>
      </c>
      <c r="AU34" s="105">
        <f t="shared" si="55"/>
        <v>1</v>
      </c>
      <c r="AV34" s="105">
        <f t="shared" si="56"/>
        <v>1</v>
      </c>
      <c r="AW34" s="58">
        <f t="shared" si="88"/>
        <v>2</v>
      </c>
      <c r="AX34" s="58">
        <f t="shared" si="57"/>
        <v>3</v>
      </c>
      <c r="AY34" s="58" t="str">
        <f t="shared" si="58"/>
        <v>avec vannes</v>
      </c>
      <c r="AZ34" s="58" t="str">
        <f t="shared" si="59"/>
        <v>fermé</v>
      </c>
      <c r="BA34" s="60">
        <f t="shared" si="60"/>
        <v>0</v>
      </c>
      <c r="BB34" s="60">
        <f t="shared" si="60"/>
        <v>0</v>
      </c>
      <c r="BC34" s="60">
        <f t="shared" si="60"/>
        <v>0</v>
      </c>
      <c r="BD34" s="60">
        <f t="shared" si="60"/>
        <v>0</v>
      </c>
      <c r="BE34" s="286" t="str">
        <f t="shared" si="61"/>
        <v/>
      </c>
      <c r="BF34" s="58" t="str">
        <f t="shared" si="82"/>
        <v/>
      </c>
      <c r="BG34" s="59" t="str">
        <f t="shared" si="62"/>
        <v/>
      </c>
      <c r="BH34" s="158">
        <f t="shared" ca="1" si="63"/>
        <v>1</v>
      </c>
      <c r="BI34" s="60">
        <f t="shared" ca="1" si="64"/>
        <v>0.15</v>
      </c>
      <c r="BJ34" s="60">
        <f t="shared" si="65"/>
        <v>0.2</v>
      </c>
      <c r="BK34" s="60" t="str">
        <f t="shared" si="83"/>
        <v/>
      </c>
      <c r="BL34" s="21" t="str">
        <f t="shared" si="84"/>
        <v/>
      </c>
      <c r="BM34" s="264" t="str">
        <f t="shared" si="66"/>
        <v/>
      </c>
      <c r="BN34" s="60" t="str">
        <f t="shared" si="85"/>
        <v/>
      </c>
      <c r="BO34" s="136">
        <f t="shared" si="86"/>
        <v>0</v>
      </c>
      <c r="BP34" s="59">
        <f t="shared" si="87"/>
        <v>0</v>
      </c>
      <c r="BQ34" s="136">
        <f t="shared" ca="1" si="68"/>
        <v>1219</v>
      </c>
      <c r="BR34" s="136">
        <f t="shared" ca="1" si="69"/>
        <v>1000.063122923588</v>
      </c>
      <c r="BS34" s="136">
        <f t="shared" ca="1" si="70"/>
        <v>1468800.0631229235</v>
      </c>
      <c r="BT34" s="136">
        <f t="shared" ca="1" si="71"/>
        <v>313874.98584868282</v>
      </c>
      <c r="BU34" s="136">
        <f t="shared" ca="1" si="72"/>
        <v>1000.063122923588</v>
      </c>
    </row>
    <row r="35" spans="1:73" x14ac:dyDescent="0.2">
      <c r="A35" s="87" t="str">
        <f>'Etape 2'!A32</f>
        <v/>
      </c>
      <c r="B35" s="87">
        <f>'Etape 2'!B32</f>
        <v>20</v>
      </c>
      <c r="C35" s="87">
        <f ca="1">'Etape 2'!C32</f>
        <v>281</v>
      </c>
      <c r="D35" s="87"/>
      <c r="E35" s="61">
        <f ca="1">RANK(BU35,BU$16:BU$315,0)+COUNTIF(BU$16:BU35,BU35)-1</f>
        <v>281</v>
      </c>
      <c r="F35" s="87" t="str">
        <f>'Etape 2'!D32</f>
        <v/>
      </c>
      <c r="G35" s="87" t="str">
        <f>'Etape 2'!E32</f>
        <v/>
      </c>
      <c r="H35" s="87" t="str">
        <f>'Etape 2'!F32</f>
        <v/>
      </c>
      <c r="I35" s="87" t="str">
        <f>'Etape 2'!G32</f>
        <v/>
      </c>
      <c r="J35" s="87" t="str">
        <f>'Etape 2'!H32</f>
        <v/>
      </c>
      <c r="K35" s="87" t="str">
        <f>'Etape 2'!I32</f>
        <v/>
      </c>
      <c r="L35" s="87">
        <f ca="1">'Etape 2'!J32</f>
        <v>999999</v>
      </c>
      <c r="M35" s="87">
        <f>'Etape 2'!K32</f>
        <v>999</v>
      </c>
      <c r="N35" s="87">
        <f ca="1">'Etape 2'!L32</f>
        <v>20</v>
      </c>
      <c r="O35" s="259">
        <f t="shared" si="43"/>
        <v>0.3</v>
      </c>
      <c r="P35" s="259">
        <f t="shared" si="44"/>
        <v>1.1000000000000001</v>
      </c>
      <c r="Q35" s="260">
        <f t="shared" si="45"/>
        <v>0</v>
      </c>
      <c r="R35" s="261">
        <f t="shared" si="89"/>
        <v>0</v>
      </c>
      <c r="S35" s="87">
        <f>IF(ISBLANK('Etape 2'!N32),0,VLOOKUP('Etape 2'!N32,Matrix_Uebersetzung,2,FALSE))</f>
        <v>0</v>
      </c>
      <c r="T35" s="87">
        <f>IF(ISBLANK('Etape 2'!O32),0,VLOOKUP('Etape 2'!O32,Matrix_Uebersetzung,2,FALSE))</f>
        <v>0</v>
      </c>
      <c r="U35" s="87">
        <f>IF(ISBLANK('Etape 2'!P32),0,VLOOKUP('Etape 2'!P32,Matrix_Uebersetzung,2,FALSE))</f>
        <v>0</v>
      </c>
      <c r="V35" s="87" t="str">
        <f>'Etape 2'!Q32</f>
        <v/>
      </c>
      <c r="W35" s="87">
        <f>'Etape 2'!R32</f>
        <v>0</v>
      </c>
      <c r="X35" s="87" t="str">
        <f>'Etape 2'!S32</f>
        <v/>
      </c>
      <c r="Y35" s="89" t="str">
        <f>'Etape 2'!T32</f>
        <v/>
      </c>
      <c r="Z35" s="87">
        <f>'Etape 2'!U32</f>
        <v>0</v>
      </c>
      <c r="AA35" s="87" t="str">
        <f>'Etape 2'!V32</f>
        <v/>
      </c>
      <c r="AB35" s="87">
        <f>IF(ISNUMBER('Etape 2'!W32),'Etape 2'!W32,0)</f>
        <v>0</v>
      </c>
      <c r="AC35" s="87">
        <f>IF(ISNUMBER('Etape 2'!X32),'Etape 2'!X32,0)</f>
        <v>0</v>
      </c>
      <c r="AD35" s="87">
        <f>IF(ISNUMBER('Etape 2'!Y32),'Etape 2'!Y32,0)</f>
        <v>0</v>
      </c>
      <c r="AE35" s="87">
        <f>IF(ISNUMBER('Etape 2'!Z32),'Etape 2'!Z32,0)</f>
        <v>0</v>
      </c>
      <c r="AF35" s="86">
        <f t="shared" si="74"/>
        <v>999</v>
      </c>
      <c r="AG35" s="288">
        <f t="shared" si="75"/>
        <v>0.25</v>
      </c>
      <c r="AH35" s="181" t="e">
        <f t="shared" si="46"/>
        <v>#VALUE!</v>
      </c>
      <c r="AI35" s="181" t="e">
        <f t="shared" si="76"/>
        <v>#VALUE!</v>
      </c>
      <c r="AJ35" s="86">
        <f t="shared" si="48"/>
        <v>200</v>
      </c>
      <c r="AK35" s="91" t="e">
        <f t="shared" si="49"/>
        <v>#N/A</v>
      </c>
      <c r="AL35" s="91" t="e">
        <f t="shared" si="50"/>
        <v>#N/A</v>
      </c>
      <c r="AM35" s="91">
        <f t="shared" si="51"/>
        <v>6</v>
      </c>
      <c r="AN35" s="91" t="e">
        <f t="shared" si="77"/>
        <v>#N/A</v>
      </c>
      <c r="AO35" s="91" t="e">
        <f t="shared" si="78"/>
        <v>#N/A</v>
      </c>
      <c r="AP35" s="21" t="e">
        <f t="shared" si="52"/>
        <v>#N/A</v>
      </c>
      <c r="AQ35" s="21" t="e">
        <f t="shared" si="53"/>
        <v>#N/A</v>
      </c>
      <c r="AR35" s="92" t="str">
        <f t="shared" si="79"/>
        <v/>
      </c>
      <c r="AS35" s="21" t="str">
        <f t="shared" si="80"/>
        <v/>
      </c>
      <c r="AT35" s="59" t="str">
        <f t="shared" si="54"/>
        <v/>
      </c>
      <c r="AU35" s="105">
        <f t="shared" si="55"/>
        <v>1</v>
      </c>
      <c r="AV35" s="105">
        <f t="shared" si="56"/>
        <v>1</v>
      </c>
      <c r="AW35" s="58">
        <f t="shared" si="88"/>
        <v>2</v>
      </c>
      <c r="AX35" s="58">
        <f t="shared" si="57"/>
        <v>3</v>
      </c>
      <c r="AY35" s="58" t="str">
        <f t="shared" si="58"/>
        <v>avec vannes</v>
      </c>
      <c r="AZ35" s="58" t="str">
        <f t="shared" si="59"/>
        <v>fermé</v>
      </c>
      <c r="BA35" s="60">
        <f t="shared" si="60"/>
        <v>0</v>
      </c>
      <c r="BB35" s="60">
        <f t="shared" si="60"/>
        <v>0</v>
      </c>
      <c r="BC35" s="60">
        <f t="shared" si="60"/>
        <v>0</v>
      </c>
      <c r="BD35" s="60">
        <f t="shared" si="60"/>
        <v>0</v>
      </c>
      <c r="BE35" s="286" t="str">
        <f t="shared" si="61"/>
        <v/>
      </c>
      <c r="BF35" s="58" t="str">
        <f t="shared" si="82"/>
        <v/>
      </c>
      <c r="BG35" s="59" t="str">
        <f t="shared" si="62"/>
        <v/>
      </c>
      <c r="BH35" s="158">
        <f t="shared" ca="1" si="63"/>
        <v>1</v>
      </c>
      <c r="BI35" s="60">
        <f t="shared" ca="1" si="64"/>
        <v>0.15</v>
      </c>
      <c r="BJ35" s="60">
        <f t="shared" si="65"/>
        <v>0.2</v>
      </c>
      <c r="BK35" s="60" t="str">
        <f t="shared" si="83"/>
        <v/>
      </c>
      <c r="BL35" s="21" t="str">
        <f t="shared" si="84"/>
        <v/>
      </c>
      <c r="BM35" s="264" t="str">
        <f t="shared" si="66"/>
        <v/>
      </c>
      <c r="BN35" s="60" t="str">
        <f t="shared" si="85"/>
        <v/>
      </c>
      <c r="BO35" s="136">
        <f t="shared" si="86"/>
        <v>0</v>
      </c>
      <c r="BP35" s="59">
        <f t="shared" si="87"/>
        <v>0</v>
      </c>
      <c r="BQ35" s="136">
        <f t="shared" ca="1" si="68"/>
        <v>1220</v>
      </c>
      <c r="BR35" s="136">
        <f t="shared" ca="1" si="69"/>
        <v>1000.0664451827242</v>
      </c>
      <c r="BS35" s="136">
        <f t="shared" ca="1" si="70"/>
        <v>1468800.0664451828</v>
      </c>
      <c r="BT35" s="136">
        <f t="shared" ca="1" si="71"/>
        <v>313874.98917094193</v>
      </c>
      <c r="BU35" s="136">
        <f t="shared" ca="1" si="72"/>
        <v>1000.0664451827242</v>
      </c>
    </row>
    <row r="36" spans="1:73" x14ac:dyDescent="0.2">
      <c r="A36" s="87" t="str">
        <f>'Etape 2'!A33</f>
        <v/>
      </c>
      <c r="B36" s="87">
        <f>'Etape 2'!B33</f>
        <v>21</v>
      </c>
      <c r="C36" s="87">
        <f ca="1">'Etape 2'!C33</f>
        <v>280</v>
      </c>
      <c r="D36" s="87"/>
      <c r="E36" s="61">
        <f ca="1">RANK(BU36,BU$16:BU$315,0)+COUNTIF(BU$16:BU36,BU36)-1</f>
        <v>280</v>
      </c>
      <c r="F36" s="87" t="str">
        <f>'Etape 2'!D33</f>
        <v/>
      </c>
      <c r="G36" s="87" t="str">
        <f>'Etape 2'!E33</f>
        <v/>
      </c>
      <c r="H36" s="87" t="str">
        <f>'Etape 2'!F33</f>
        <v/>
      </c>
      <c r="I36" s="87" t="str">
        <f>'Etape 2'!G33</f>
        <v/>
      </c>
      <c r="J36" s="87" t="str">
        <f>'Etape 2'!H33</f>
        <v/>
      </c>
      <c r="K36" s="87" t="str">
        <f>'Etape 2'!I33</f>
        <v/>
      </c>
      <c r="L36" s="87">
        <f ca="1">'Etape 2'!J33</f>
        <v>999999</v>
      </c>
      <c r="M36" s="87">
        <f>'Etape 2'!K33</f>
        <v>999</v>
      </c>
      <c r="N36" s="87">
        <f ca="1">'Etape 2'!L33</f>
        <v>21</v>
      </c>
      <c r="O36" s="259">
        <f t="shared" si="43"/>
        <v>0.3</v>
      </c>
      <c r="P36" s="259">
        <f t="shared" si="44"/>
        <v>1.1000000000000001</v>
      </c>
      <c r="Q36" s="260">
        <f t="shared" si="45"/>
        <v>0</v>
      </c>
      <c r="R36" s="261">
        <f t="shared" si="89"/>
        <v>0</v>
      </c>
      <c r="S36" s="87">
        <f>IF(ISBLANK('Etape 2'!N33),0,VLOOKUP('Etape 2'!N33,Matrix_Uebersetzung,2,FALSE))</f>
        <v>0</v>
      </c>
      <c r="T36" s="87">
        <f>IF(ISBLANK('Etape 2'!O33),0,VLOOKUP('Etape 2'!O33,Matrix_Uebersetzung,2,FALSE))</f>
        <v>0</v>
      </c>
      <c r="U36" s="87">
        <f>IF(ISBLANK('Etape 2'!P33),0,VLOOKUP('Etape 2'!P33,Matrix_Uebersetzung,2,FALSE))</f>
        <v>0</v>
      </c>
      <c r="V36" s="87" t="str">
        <f>'Etape 2'!Q33</f>
        <v/>
      </c>
      <c r="W36" s="87">
        <f>'Etape 2'!R33</f>
        <v>0</v>
      </c>
      <c r="X36" s="87" t="str">
        <f>'Etape 2'!S33</f>
        <v/>
      </c>
      <c r="Y36" s="89" t="str">
        <f>'Etape 2'!T33</f>
        <v/>
      </c>
      <c r="Z36" s="87">
        <f>'Etape 2'!U33</f>
        <v>0</v>
      </c>
      <c r="AA36" s="87" t="str">
        <f>'Etape 2'!V33</f>
        <v/>
      </c>
      <c r="AB36" s="87">
        <f>IF(ISNUMBER('Etape 2'!W33),'Etape 2'!W33,0)</f>
        <v>0</v>
      </c>
      <c r="AC36" s="87">
        <f>IF(ISNUMBER('Etape 2'!X33),'Etape 2'!X33,0)</f>
        <v>0</v>
      </c>
      <c r="AD36" s="87">
        <f>IF(ISNUMBER('Etape 2'!Y33),'Etape 2'!Y33,0)</f>
        <v>0</v>
      </c>
      <c r="AE36" s="87">
        <f>IF(ISNUMBER('Etape 2'!Z33),'Etape 2'!Z33,0)</f>
        <v>0</v>
      </c>
      <c r="AF36" s="86">
        <f t="shared" si="74"/>
        <v>999</v>
      </c>
      <c r="AG36" s="288">
        <f t="shared" si="75"/>
        <v>0.25</v>
      </c>
      <c r="AH36" s="181" t="e">
        <f t="shared" si="46"/>
        <v>#VALUE!</v>
      </c>
      <c r="AI36" s="181" t="e">
        <f t="shared" si="76"/>
        <v>#VALUE!</v>
      </c>
      <c r="AJ36" s="86">
        <f t="shared" si="48"/>
        <v>200</v>
      </c>
      <c r="AK36" s="91" t="e">
        <f t="shared" si="49"/>
        <v>#N/A</v>
      </c>
      <c r="AL36" s="91" t="e">
        <f t="shared" si="50"/>
        <v>#N/A</v>
      </c>
      <c r="AM36" s="91">
        <f t="shared" si="51"/>
        <v>6</v>
      </c>
      <c r="AN36" s="91" t="e">
        <f t="shared" si="77"/>
        <v>#N/A</v>
      </c>
      <c r="AO36" s="91" t="e">
        <f t="shared" si="78"/>
        <v>#N/A</v>
      </c>
      <c r="AP36" s="21" t="e">
        <f t="shared" si="52"/>
        <v>#N/A</v>
      </c>
      <c r="AQ36" s="21" t="e">
        <f t="shared" si="53"/>
        <v>#N/A</v>
      </c>
      <c r="AR36" s="92" t="str">
        <f t="shared" si="79"/>
        <v/>
      </c>
      <c r="AS36" s="21" t="str">
        <f t="shared" si="80"/>
        <v/>
      </c>
      <c r="AT36" s="59" t="str">
        <f t="shared" si="54"/>
        <v/>
      </c>
      <c r="AU36" s="105">
        <f t="shared" si="55"/>
        <v>1</v>
      </c>
      <c r="AV36" s="105">
        <f t="shared" si="56"/>
        <v>1</v>
      </c>
      <c r="AW36" s="58">
        <f t="shared" si="88"/>
        <v>2</v>
      </c>
      <c r="AX36" s="58">
        <f t="shared" si="57"/>
        <v>3</v>
      </c>
      <c r="AY36" s="58" t="str">
        <f t="shared" si="58"/>
        <v>avec vannes</v>
      </c>
      <c r="AZ36" s="58" t="str">
        <f t="shared" si="59"/>
        <v>fermé</v>
      </c>
      <c r="BA36" s="60">
        <f t="shared" ref="BA36:BD55" si="90">IF(BA$15/$AG36&gt;1,0,VLOOKUP(BA$15/$AG36,Matrix_Regelung.Teilvolumenstrom.Einsparpotential.ID,$AX36,0))</f>
        <v>0</v>
      </c>
      <c r="BB36" s="60">
        <f t="shared" si="90"/>
        <v>0</v>
      </c>
      <c r="BC36" s="60">
        <f t="shared" si="90"/>
        <v>0</v>
      </c>
      <c r="BD36" s="60">
        <f t="shared" si="90"/>
        <v>0</v>
      </c>
      <c r="BE36" s="286" t="str">
        <f t="shared" si="61"/>
        <v/>
      </c>
      <c r="BF36" s="58" t="str">
        <f t="shared" si="82"/>
        <v/>
      </c>
      <c r="BG36" s="59" t="str">
        <f t="shared" si="62"/>
        <v/>
      </c>
      <c r="BH36" s="158">
        <f t="shared" ca="1" si="63"/>
        <v>1</v>
      </c>
      <c r="BI36" s="60">
        <f t="shared" ca="1" si="64"/>
        <v>0.15</v>
      </c>
      <c r="BJ36" s="60">
        <f t="shared" si="65"/>
        <v>0.2</v>
      </c>
      <c r="BK36" s="60" t="str">
        <f t="shared" si="83"/>
        <v/>
      </c>
      <c r="BL36" s="21" t="str">
        <f t="shared" si="84"/>
        <v/>
      </c>
      <c r="BM36" s="264" t="str">
        <f t="shared" si="66"/>
        <v/>
      </c>
      <c r="BN36" s="60" t="str">
        <f t="shared" si="85"/>
        <v/>
      </c>
      <c r="BO36" s="136">
        <f t="shared" si="86"/>
        <v>0</v>
      </c>
      <c r="BP36" s="59">
        <f t="shared" si="87"/>
        <v>0</v>
      </c>
      <c r="BQ36" s="136">
        <f t="shared" ca="1" si="68"/>
        <v>1221</v>
      </c>
      <c r="BR36" s="136">
        <f t="shared" ca="1" si="69"/>
        <v>1000.0697674418604</v>
      </c>
      <c r="BS36" s="136">
        <f t="shared" ca="1" si="70"/>
        <v>1468800.0697674418</v>
      </c>
      <c r="BT36" s="136">
        <f t="shared" ca="1" si="71"/>
        <v>313874.99249320105</v>
      </c>
      <c r="BU36" s="136">
        <f t="shared" ca="1" si="72"/>
        <v>1000.0697674418604</v>
      </c>
    </row>
    <row r="37" spans="1:73" x14ac:dyDescent="0.2">
      <c r="A37" s="87" t="str">
        <f>'Etape 2'!A34</f>
        <v/>
      </c>
      <c r="B37" s="87">
        <f>'Etape 2'!B34</f>
        <v>22</v>
      </c>
      <c r="C37" s="87">
        <f ca="1">'Etape 2'!C34</f>
        <v>279</v>
      </c>
      <c r="D37" s="87"/>
      <c r="E37" s="61">
        <f ca="1">RANK(BU37,BU$16:BU$315,0)+COUNTIF(BU$16:BU37,BU37)-1</f>
        <v>279</v>
      </c>
      <c r="F37" s="87" t="str">
        <f>'Etape 2'!D34</f>
        <v/>
      </c>
      <c r="G37" s="87" t="str">
        <f>'Etape 2'!E34</f>
        <v/>
      </c>
      <c r="H37" s="87" t="str">
        <f>'Etape 2'!F34</f>
        <v/>
      </c>
      <c r="I37" s="87" t="str">
        <f>'Etape 2'!G34</f>
        <v/>
      </c>
      <c r="J37" s="87" t="str">
        <f>'Etape 2'!H34</f>
        <v/>
      </c>
      <c r="K37" s="87" t="str">
        <f>'Etape 2'!I34</f>
        <v/>
      </c>
      <c r="L37" s="87">
        <f ca="1">'Etape 2'!J34</f>
        <v>999999</v>
      </c>
      <c r="M37" s="87">
        <f>'Etape 2'!K34</f>
        <v>999</v>
      </c>
      <c r="N37" s="87">
        <f ca="1">'Etape 2'!L34</f>
        <v>22</v>
      </c>
      <c r="O37" s="259">
        <f t="shared" si="43"/>
        <v>0.3</v>
      </c>
      <c r="P37" s="259">
        <f t="shared" si="44"/>
        <v>1.1000000000000001</v>
      </c>
      <c r="Q37" s="260">
        <f t="shared" si="45"/>
        <v>0</v>
      </c>
      <c r="R37" s="261">
        <f t="shared" si="89"/>
        <v>0</v>
      </c>
      <c r="S37" s="87">
        <f>IF(ISBLANK('Etape 2'!N34),0,VLOOKUP('Etape 2'!N34,Matrix_Uebersetzung,2,FALSE))</f>
        <v>0</v>
      </c>
      <c r="T37" s="87">
        <f>IF(ISBLANK('Etape 2'!O34),0,VLOOKUP('Etape 2'!O34,Matrix_Uebersetzung,2,FALSE))</f>
        <v>0</v>
      </c>
      <c r="U37" s="87">
        <f>IF(ISBLANK('Etape 2'!P34),0,VLOOKUP('Etape 2'!P34,Matrix_Uebersetzung,2,FALSE))</f>
        <v>0</v>
      </c>
      <c r="V37" s="87" t="str">
        <f>'Etape 2'!Q34</f>
        <v/>
      </c>
      <c r="W37" s="87">
        <f>'Etape 2'!R34</f>
        <v>0</v>
      </c>
      <c r="X37" s="87" t="str">
        <f>'Etape 2'!S34</f>
        <v/>
      </c>
      <c r="Y37" s="89" t="str">
        <f>'Etape 2'!T34</f>
        <v/>
      </c>
      <c r="Z37" s="87">
        <f>'Etape 2'!U34</f>
        <v>0</v>
      </c>
      <c r="AA37" s="87" t="str">
        <f>'Etape 2'!V34</f>
        <v/>
      </c>
      <c r="AB37" s="87">
        <f>IF(ISNUMBER('Etape 2'!W34),'Etape 2'!W34,0)</f>
        <v>0</v>
      </c>
      <c r="AC37" s="87">
        <f>IF(ISNUMBER('Etape 2'!X34),'Etape 2'!X34,0)</f>
        <v>0</v>
      </c>
      <c r="AD37" s="87">
        <f>IF(ISNUMBER('Etape 2'!Y34),'Etape 2'!Y34,0)</f>
        <v>0</v>
      </c>
      <c r="AE37" s="87">
        <f>IF(ISNUMBER('Etape 2'!Z34),'Etape 2'!Z34,0)</f>
        <v>0</v>
      </c>
      <c r="AF37" s="86">
        <f t="shared" si="74"/>
        <v>999</v>
      </c>
      <c r="AG37" s="288">
        <f t="shared" si="75"/>
        <v>0.25</v>
      </c>
      <c r="AH37" s="181" t="e">
        <f t="shared" si="46"/>
        <v>#VALUE!</v>
      </c>
      <c r="AI37" s="181" t="e">
        <f t="shared" si="76"/>
        <v>#VALUE!</v>
      </c>
      <c r="AJ37" s="86">
        <f t="shared" si="48"/>
        <v>200</v>
      </c>
      <c r="AK37" s="91" t="e">
        <f t="shared" si="49"/>
        <v>#N/A</v>
      </c>
      <c r="AL37" s="91" t="e">
        <f t="shared" si="50"/>
        <v>#N/A</v>
      </c>
      <c r="AM37" s="91">
        <f t="shared" si="51"/>
        <v>6</v>
      </c>
      <c r="AN37" s="91" t="e">
        <f t="shared" si="77"/>
        <v>#N/A</v>
      </c>
      <c r="AO37" s="91" t="e">
        <f t="shared" si="78"/>
        <v>#N/A</v>
      </c>
      <c r="AP37" s="21" t="e">
        <f t="shared" si="52"/>
        <v>#N/A</v>
      </c>
      <c r="AQ37" s="21" t="e">
        <f t="shared" si="53"/>
        <v>#N/A</v>
      </c>
      <c r="AR37" s="92" t="str">
        <f t="shared" si="79"/>
        <v/>
      </c>
      <c r="AS37" s="21" t="str">
        <f t="shared" si="80"/>
        <v/>
      </c>
      <c r="AT37" s="59" t="str">
        <f t="shared" si="54"/>
        <v/>
      </c>
      <c r="AU37" s="105">
        <f t="shared" si="55"/>
        <v>1</v>
      </c>
      <c r="AV37" s="105">
        <f t="shared" si="56"/>
        <v>1</v>
      </c>
      <c r="AW37" s="58">
        <f t="shared" si="88"/>
        <v>2</v>
      </c>
      <c r="AX37" s="58">
        <f t="shared" si="57"/>
        <v>3</v>
      </c>
      <c r="AY37" s="58" t="str">
        <f t="shared" si="58"/>
        <v>avec vannes</v>
      </c>
      <c r="AZ37" s="58" t="str">
        <f t="shared" si="59"/>
        <v>fermé</v>
      </c>
      <c r="BA37" s="60">
        <f t="shared" si="90"/>
        <v>0</v>
      </c>
      <c r="BB37" s="60">
        <f t="shared" si="90"/>
        <v>0</v>
      </c>
      <c r="BC37" s="60">
        <f t="shared" si="90"/>
        <v>0</v>
      </c>
      <c r="BD37" s="60">
        <f t="shared" si="90"/>
        <v>0</v>
      </c>
      <c r="BE37" s="286" t="str">
        <f t="shared" si="61"/>
        <v/>
      </c>
      <c r="BF37" s="58" t="str">
        <f t="shared" si="82"/>
        <v/>
      </c>
      <c r="BG37" s="59" t="str">
        <f t="shared" si="62"/>
        <v/>
      </c>
      <c r="BH37" s="158">
        <f t="shared" ca="1" si="63"/>
        <v>1</v>
      </c>
      <c r="BI37" s="60">
        <f t="shared" ca="1" si="64"/>
        <v>0.15</v>
      </c>
      <c r="BJ37" s="60">
        <f t="shared" si="65"/>
        <v>0.2</v>
      </c>
      <c r="BK37" s="60" t="str">
        <f t="shared" si="83"/>
        <v/>
      </c>
      <c r="BL37" s="21" t="str">
        <f t="shared" si="84"/>
        <v/>
      </c>
      <c r="BM37" s="264" t="str">
        <f t="shared" si="66"/>
        <v/>
      </c>
      <c r="BN37" s="60" t="str">
        <f t="shared" si="85"/>
        <v/>
      </c>
      <c r="BO37" s="136">
        <f t="shared" si="86"/>
        <v>0</v>
      </c>
      <c r="BP37" s="59">
        <f t="shared" si="87"/>
        <v>0</v>
      </c>
      <c r="BQ37" s="136">
        <f t="shared" ca="1" si="68"/>
        <v>1222</v>
      </c>
      <c r="BR37" s="136">
        <f t="shared" ca="1" si="69"/>
        <v>1000.0730897009967</v>
      </c>
      <c r="BS37" s="136">
        <f t="shared" ca="1" si="70"/>
        <v>1468800.0730897009</v>
      </c>
      <c r="BT37" s="136">
        <f t="shared" ca="1" si="71"/>
        <v>313874.99581546022</v>
      </c>
      <c r="BU37" s="136">
        <f t="shared" ca="1" si="72"/>
        <v>1000.0730897009967</v>
      </c>
    </row>
    <row r="38" spans="1:73" x14ac:dyDescent="0.2">
      <c r="A38" s="87" t="str">
        <f>'Etape 2'!A35</f>
        <v/>
      </c>
      <c r="B38" s="87">
        <f>'Etape 2'!B35</f>
        <v>23</v>
      </c>
      <c r="C38" s="87">
        <f ca="1">'Etape 2'!C35</f>
        <v>278</v>
      </c>
      <c r="D38" s="87"/>
      <c r="E38" s="61">
        <f ca="1">RANK(BU38,BU$16:BU$315,0)+COUNTIF(BU$16:BU38,BU38)-1</f>
        <v>278</v>
      </c>
      <c r="F38" s="87" t="str">
        <f>'Etape 2'!D35</f>
        <v/>
      </c>
      <c r="G38" s="87" t="str">
        <f>'Etape 2'!E35</f>
        <v/>
      </c>
      <c r="H38" s="87" t="str">
        <f>'Etape 2'!F35</f>
        <v/>
      </c>
      <c r="I38" s="87" t="str">
        <f>'Etape 2'!G35</f>
        <v/>
      </c>
      <c r="J38" s="87" t="str">
        <f>'Etape 2'!H35</f>
        <v/>
      </c>
      <c r="K38" s="87" t="str">
        <f>'Etape 2'!I35</f>
        <v/>
      </c>
      <c r="L38" s="87">
        <f ca="1">'Etape 2'!J35</f>
        <v>999999</v>
      </c>
      <c r="M38" s="87">
        <f>'Etape 2'!K35</f>
        <v>999</v>
      </c>
      <c r="N38" s="87">
        <f ca="1">'Etape 2'!L35</f>
        <v>23</v>
      </c>
      <c r="O38" s="259">
        <f t="shared" si="43"/>
        <v>0.3</v>
      </c>
      <c r="P38" s="259">
        <f t="shared" si="44"/>
        <v>1.1000000000000001</v>
      </c>
      <c r="Q38" s="260">
        <f t="shared" si="45"/>
        <v>0</v>
      </c>
      <c r="R38" s="261">
        <f t="shared" si="89"/>
        <v>0</v>
      </c>
      <c r="S38" s="87">
        <f>IF(ISBLANK('Etape 2'!N35),0,VLOOKUP('Etape 2'!N35,Matrix_Uebersetzung,2,FALSE))</f>
        <v>0</v>
      </c>
      <c r="T38" s="87">
        <f>IF(ISBLANK('Etape 2'!O35),0,VLOOKUP('Etape 2'!O35,Matrix_Uebersetzung,2,FALSE))</f>
        <v>0</v>
      </c>
      <c r="U38" s="87">
        <f>IF(ISBLANK('Etape 2'!P35),0,VLOOKUP('Etape 2'!P35,Matrix_Uebersetzung,2,FALSE))</f>
        <v>0</v>
      </c>
      <c r="V38" s="87" t="str">
        <f>'Etape 2'!Q35</f>
        <v/>
      </c>
      <c r="W38" s="87">
        <f>'Etape 2'!R35</f>
        <v>0</v>
      </c>
      <c r="X38" s="87" t="str">
        <f>'Etape 2'!S35</f>
        <v/>
      </c>
      <c r="Y38" s="89" t="str">
        <f>'Etape 2'!T35</f>
        <v/>
      </c>
      <c r="Z38" s="87">
        <f>'Etape 2'!U35</f>
        <v>0</v>
      </c>
      <c r="AA38" s="87" t="str">
        <f>'Etape 2'!V35</f>
        <v/>
      </c>
      <c r="AB38" s="87">
        <f>IF(ISNUMBER('Etape 2'!W35),'Etape 2'!W35,0)</f>
        <v>0</v>
      </c>
      <c r="AC38" s="87">
        <f>IF(ISNUMBER('Etape 2'!X35),'Etape 2'!X35,0)</f>
        <v>0</v>
      </c>
      <c r="AD38" s="87">
        <f>IF(ISNUMBER('Etape 2'!Y35),'Etape 2'!Y35,0)</f>
        <v>0</v>
      </c>
      <c r="AE38" s="87">
        <f>IF(ISNUMBER('Etape 2'!Z35),'Etape 2'!Z35,0)</f>
        <v>0</v>
      </c>
      <c r="AF38" s="86">
        <f t="shared" si="74"/>
        <v>999</v>
      </c>
      <c r="AG38" s="288">
        <f t="shared" si="75"/>
        <v>0.25</v>
      </c>
      <c r="AH38" s="181" t="e">
        <f t="shared" si="46"/>
        <v>#VALUE!</v>
      </c>
      <c r="AI38" s="181" t="e">
        <f t="shared" si="76"/>
        <v>#VALUE!</v>
      </c>
      <c r="AJ38" s="86">
        <f t="shared" si="48"/>
        <v>200</v>
      </c>
      <c r="AK38" s="91" t="e">
        <f t="shared" si="49"/>
        <v>#N/A</v>
      </c>
      <c r="AL38" s="91" t="e">
        <f t="shared" si="50"/>
        <v>#N/A</v>
      </c>
      <c r="AM38" s="91">
        <f t="shared" si="51"/>
        <v>6</v>
      </c>
      <c r="AN38" s="91" t="e">
        <f t="shared" si="77"/>
        <v>#N/A</v>
      </c>
      <c r="AO38" s="91" t="e">
        <f t="shared" si="78"/>
        <v>#N/A</v>
      </c>
      <c r="AP38" s="21" t="e">
        <f t="shared" si="52"/>
        <v>#N/A</v>
      </c>
      <c r="AQ38" s="21" t="e">
        <f t="shared" si="53"/>
        <v>#N/A</v>
      </c>
      <c r="AR38" s="92" t="str">
        <f t="shared" si="79"/>
        <v/>
      </c>
      <c r="AS38" s="21" t="str">
        <f t="shared" si="80"/>
        <v/>
      </c>
      <c r="AT38" s="59" t="str">
        <f t="shared" si="54"/>
        <v/>
      </c>
      <c r="AU38" s="105">
        <f t="shared" si="55"/>
        <v>1</v>
      </c>
      <c r="AV38" s="105">
        <f t="shared" si="56"/>
        <v>1</v>
      </c>
      <c r="AW38" s="58">
        <f t="shared" si="88"/>
        <v>2</v>
      </c>
      <c r="AX38" s="58">
        <f t="shared" si="57"/>
        <v>3</v>
      </c>
      <c r="AY38" s="58" t="str">
        <f t="shared" si="58"/>
        <v>avec vannes</v>
      </c>
      <c r="AZ38" s="58" t="str">
        <f t="shared" si="59"/>
        <v>fermé</v>
      </c>
      <c r="BA38" s="60">
        <f t="shared" si="90"/>
        <v>0</v>
      </c>
      <c r="BB38" s="60">
        <f t="shared" si="90"/>
        <v>0</v>
      </c>
      <c r="BC38" s="60">
        <f t="shared" si="90"/>
        <v>0</v>
      </c>
      <c r="BD38" s="60">
        <f t="shared" si="90"/>
        <v>0</v>
      </c>
      <c r="BE38" s="286" t="str">
        <f t="shared" si="61"/>
        <v/>
      </c>
      <c r="BF38" s="58" t="str">
        <f t="shared" si="82"/>
        <v/>
      </c>
      <c r="BG38" s="59" t="str">
        <f t="shared" si="62"/>
        <v/>
      </c>
      <c r="BH38" s="158">
        <f t="shared" ca="1" si="63"/>
        <v>1</v>
      </c>
      <c r="BI38" s="60">
        <f t="shared" ca="1" si="64"/>
        <v>0.15</v>
      </c>
      <c r="BJ38" s="60">
        <f t="shared" si="65"/>
        <v>0.2</v>
      </c>
      <c r="BK38" s="60" t="str">
        <f t="shared" si="83"/>
        <v/>
      </c>
      <c r="BL38" s="21" t="str">
        <f t="shared" si="84"/>
        <v/>
      </c>
      <c r="BM38" s="264" t="str">
        <f t="shared" si="66"/>
        <v/>
      </c>
      <c r="BN38" s="60" t="str">
        <f t="shared" si="85"/>
        <v/>
      </c>
      <c r="BO38" s="136">
        <f t="shared" si="86"/>
        <v>0</v>
      </c>
      <c r="BP38" s="59">
        <f t="shared" si="87"/>
        <v>0</v>
      </c>
      <c r="BQ38" s="136">
        <f t="shared" ca="1" si="68"/>
        <v>1223</v>
      </c>
      <c r="BR38" s="136">
        <f t="shared" ca="1" si="69"/>
        <v>1000.0764119601329</v>
      </c>
      <c r="BS38" s="136">
        <f t="shared" ca="1" si="70"/>
        <v>1468800.0764119602</v>
      </c>
      <c r="BT38" s="136">
        <f t="shared" ca="1" si="71"/>
        <v>313874.99913771934</v>
      </c>
      <c r="BU38" s="136">
        <f t="shared" ca="1" si="72"/>
        <v>1000.0764119601329</v>
      </c>
    </row>
    <row r="39" spans="1:73" x14ac:dyDescent="0.2">
      <c r="A39" s="87" t="str">
        <f>'Etape 2'!A36</f>
        <v/>
      </c>
      <c r="B39" s="87">
        <f>'Etape 2'!B36</f>
        <v>24</v>
      </c>
      <c r="C39" s="87">
        <f ca="1">'Etape 2'!C36</f>
        <v>277</v>
      </c>
      <c r="D39" s="87"/>
      <c r="E39" s="61">
        <f ca="1">RANK(BU39,BU$16:BU$315,0)+COUNTIF(BU$16:BU39,BU39)-1</f>
        <v>277</v>
      </c>
      <c r="F39" s="87" t="str">
        <f>'Etape 2'!D36</f>
        <v/>
      </c>
      <c r="G39" s="87" t="str">
        <f>'Etape 2'!E36</f>
        <v/>
      </c>
      <c r="H39" s="87" t="str">
        <f>'Etape 2'!F36</f>
        <v/>
      </c>
      <c r="I39" s="87" t="str">
        <f>'Etape 2'!G36</f>
        <v/>
      </c>
      <c r="J39" s="87" t="str">
        <f>'Etape 2'!H36</f>
        <v/>
      </c>
      <c r="K39" s="87" t="str">
        <f>'Etape 2'!I36</f>
        <v/>
      </c>
      <c r="L39" s="87">
        <f ca="1">'Etape 2'!J36</f>
        <v>999999</v>
      </c>
      <c r="M39" s="87">
        <f>'Etape 2'!K36</f>
        <v>999</v>
      </c>
      <c r="N39" s="87">
        <f ca="1">'Etape 2'!L36</f>
        <v>24</v>
      </c>
      <c r="O39" s="259">
        <f t="shared" si="43"/>
        <v>0.3</v>
      </c>
      <c r="P39" s="259">
        <f t="shared" si="44"/>
        <v>1.1000000000000001</v>
      </c>
      <c r="Q39" s="260">
        <f t="shared" si="45"/>
        <v>0</v>
      </c>
      <c r="R39" s="261">
        <f t="shared" si="89"/>
        <v>0</v>
      </c>
      <c r="S39" s="87">
        <f>IF(ISBLANK('Etape 2'!N36),0,VLOOKUP('Etape 2'!N36,Matrix_Uebersetzung,2,FALSE))</f>
        <v>0</v>
      </c>
      <c r="T39" s="87">
        <f>IF(ISBLANK('Etape 2'!O36),0,VLOOKUP('Etape 2'!O36,Matrix_Uebersetzung,2,FALSE))</f>
        <v>0</v>
      </c>
      <c r="U39" s="87">
        <f>IF(ISBLANK('Etape 2'!P36),0,VLOOKUP('Etape 2'!P36,Matrix_Uebersetzung,2,FALSE))</f>
        <v>0</v>
      </c>
      <c r="V39" s="87" t="str">
        <f>'Etape 2'!Q36</f>
        <v/>
      </c>
      <c r="W39" s="87">
        <f>'Etape 2'!R36</f>
        <v>0</v>
      </c>
      <c r="X39" s="87" t="str">
        <f>'Etape 2'!S36</f>
        <v/>
      </c>
      <c r="Y39" s="89" t="str">
        <f>'Etape 2'!T36</f>
        <v/>
      </c>
      <c r="Z39" s="87">
        <f>'Etape 2'!U36</f>
        <v>0</v>
      </c>
      <c r="AA39" s="87" t="str">
        <f>'Etape 2'!V36</f>
        <v/>
      </c>
      <c r="AB39" s="87">
        <f>IF(ISNUMBER('Etape 2'!W36),'Etape 2'!W36,0)</f>
        <v>0</v>
      </c>
      <c r="AC39" s="87">
        <f>IF(ISNUMBER('Etape 2'!X36),'Etape 2'!X36,0)</f>
        <v>0</v>
      </c>
      <c r="AD39" s="87">
        <f>IF(ISNUMBER('Etape 2'!Y36),'Etape 2'!Y36,0)</f>
        <v>0</v>
      </c>
      <c r="AE39" s="87">
        <f>IF(ISNUMBER('Etape 2'!Z36),'Etape 2'!Z36,0)</f>
        <v>0</v>
      </c>
      <c r="AF39" s="86">
        <f t="shared" si="74"/>
        <v>999</v>
      </c>
      <c r="AG39" s="288">
        <f t="shared" si="75"/>
        <v>0.25</v>
      </c>
      <c r="AH39" s="181" t="e">
        <f t="shared" si="46"/>
        <v>#VALUE!</v>
      </c>
      <c r="AI39" s="181" t="e">
        <f t="shared" si="76"/>
        <v>#VALUE!</v>
      </c>
      <c r="AJ39" s="86">
        <f t="shared" si="48"/>
        <v>200</v>
      </c>
      <c r="AK39" s="91" t="e">
        <f t="shared" si="49"/>
        <v>#N/A</v>
      </c>
      <c r="AL39" s="91" t="e">
        <f t="shared" si="50"/>
        <v>#N/A</v>
      </c>
      <c r="AM39" s="91">
        <f t="shared" si="51"/>
        <v>6</v>
      </c>
      <c r="AN39" s="91" t="e">
        <f t="shared" si="77"/>
        <v>#N/A</v>
      </c>
      <c r="AO39" s="91" t="e">
        <f t="shared" si="78"/>
        <v>#N/A</v>
      </c>
      <c r="AP39" s="21" t="e">
        <f t="shared" si="52"/>
        <v>#N/A</v>
      </c>
      <c r="AQ39" s="21" t="e">
        <f t="shared" si="53"/>
        <v>#N/A</v>
      </c>
      <c r="AR39" s="92" t="str">
        <f t="shared" si="79"/>
        <v/>
      </c>
      <c r="AS39" s="21" t="str">
        <f t="shared" si="80"/>
        <v/>
      </c>
      <c r="AT39" s="59" t="str">
        <f t="shared" si="54"/>
        <v/>
      </c>
      <c r="AU39" s="105">
        <f t="shared" si="55"/>
        <v>1</v>
      </c>
      <c r="AV39" s="105">
        <f t="shared" si="56"/>
        <v>1</v>
      </c>
      <c r="AW39" s="58">
        <f t="shared" si="88"/>
        <v>2</v>
      </c>
      <c r="AX39" s="58">
        <f t="shared" si="57"/>
        <v>3</v>
      </c>
      <c r="AY39" s="58" t="str">
        <f t="shared" si="58"/>
        <v>avec vannes</v>
      </c>
      <c r="AZ39" s="58" t="str">
        <f t="shared" si="59"/>
        <v>fermé</v>
      </c>
      <c r="BA39" s="60">
        <f t="shared" si="90"/>
        <v>0</v>
      </c>
      <c r="BB39" s="60">
        <f t="shared" si="90"/>
        <v>0</v>
      </c>
      <c r="BC39" s="60">
        <f t="shared" si="90"/>
        <v>0</v>
      </c>
      <c r="BD39" s="60">
        <f t="shared" si="90"/>
        <v>0</v>
      </c>
      <c r="BE39" s="286" t="str">
        <f t="shared" si="61"/>
        <v/>
      </c>
      <c r="BF39" s="58" t="str">
        <f t="shared" si="82"/>
        <v/>
      </c>
      <c r="BG39" s="59" t="str">
        <f t="shared" si="62"/>
        <v/>
      </c>
      <c r="BH39" s="158">
        <f t="shared" ca="1" si="63"/>
        <v>1</v>
      </c>
      <c r="BI39" s="60">
        <f t="shared" ca="1" si="64"/>
        <v>0.15</v>
      </c>
      <c r="BJ39" s="60">
        <f t="shared" si="65"/>
        <v>0.2</v>
      </c>
      <c r="BK39" s="60" t="str">
        <f t="shared" si="83"/>
        <v/>
      </c>
      <c r="BL39" s="21" t="str">
        <f t="shared" si="84"/>
        <v/>
      </c>
      <c r="BM39" s="264" t="str">
        <f t="shared" si="66"/>
        <v/>
      </c>
      <c r="BN39" s="60" t="str">
        <f t="shared" si="85"/>
        <v/>
      </c>
      <c r="BO39" s="136">
        <f t="shared" si="86"/>
        <v>0</v>
      </c>
      <c r="BP39" s="59">
        <f t="shared" si="87"/>
        <v>0</v>
      </c>
      <c r="BQ39" s="136">
        <f t="shared" ca="1" si="68"/>
        <v>1224</v>
      </c>
      <c r="BR39" s="136">
        <f t="shared" ca="1" si="69"/>
        <v>1000.0797342192691</v>
      </c>
      <c r="BS39" s="136">
        <f t="shared" ca="1" si="70"/>
        <v>1468800.0797342192</v>
      </c>
      <c r="BT39" s="136">
        <f t="shared" ca="1" si="71"/>
        <v>313875.00245997851</v>
      </c>
      <c r="BU39" s="136">
        <f t="shared" ca="1" si="72"/>
        <v>1000.0797342192691</v>
      </c>
    </row>
    <row r="40" spans="1:73" x14ac:dyDescent="0.2">
      <c r="A40" s="87" t="str">
        <f>'Etape 2'!A37</f>
        <v/>
      </c>
      <c r="B40" s="87">
        <f>'Etape 2'!B37</f>
        <v>25</v>
      </c>
      <c r="C40" s="87">
        <f ca="1">'Etape 2'!C37</f>
        <v>276</v>
      </c>
      <c r="D40" s="87"/>
      <c r="E40" s="61">
        <f ca="1">RANK(BU40,BU$16:BU$315,0)+COUNTIF(BU$16:BU40,BU40)-1</f>
        <v>276</v>
      </c>
      <c r="F40" s="87" t="str">
        <f>'Etape 2'!D37</f>
        <v/>
      </c>
      <c r="G40" s="87" t="str">
        <f>'Etape 2'!E37</f>
        <v/>
      </c>
      <c r="H40" s="87" t="str">
        <f>'Etape 2'!F37</f>
        <v/>
      </c>
      <c r="I40" s="87" t="str">
        <f>'Etape 2'!G37</f>
        <v/>
      </c>
      <c r="J40" s="87" t="str">
        <f>'Etape 2'!H37</f>
        <v/>
      </c>
      <c r="K40" s="87" t="str">
        <f>'Etape 2'!I37</f>
        <v/>
      </c>
      <c r="L40" s="87">
        <f ca="1">'Etape 2'!J37</f>
        <v>999999</v>
      </c>
      <c r="M40" s="87">
        <f>'Etape 2'!K37</f>
        <v>999</v>
      </c>
      <c r="N40" s="87">
        <f ca="1">'Etape 2'!L37</f>
        <v>25</v>
      </c>
      <c r="O40" s="259">
        <f t="shared" si="43"/>
        <v>0.3</v>
      </c>
      <c r="P40" s="259">
        <f t="shared" si="44"/>
        <v>1.1000000000000001</v>
      </c>
      <c r="Q40" s="260">
        <f t="shared" si="45"/>
        <v>0</v>
      </c>
      <c r="R40" s="261">
        <f t="shared" si="89"/>
        <v>0</v>
      </c>
      <c r="S40" s="87">
        <f>IF(ISBLANK('Etape 2'!N37),0,VLOOKUP('Etape 2'!N37,Matrix_Uebersetzung,2,FALSE))</f>
        <v>0</v>
      </c>
      <c r="T40" s="87">
        <f>IF(ISBLANK('Etape 2'!O37),0,VLOOKUP('Etape 2'!O37,Matrix_Uebersetzung,2,FALSE))</f>
        <v>0</v>
      </c>
      <c r="U40" s="87">
        <f>IF(ISBLANK('Etape 2'!P37),0,VLOOKUP('Etape 2'!P37,Matrix_Uebersetzung,2,FALSE))</f>
        <v>0</v>
      </c>
      <c r="V40" s="87" t="str">
        <f>'Etape 2'!Q37</f>
        <v/>
      </c>
      <c r="W40" s="87">
        <f>'Etape 2'!R37</f>
        <v>0</v>
      </c>
      <c r="X40" s="87" t="str">
        <f>'Etape 2'!S37</f>
        <v/>
      </c>
      <c r="Y40" s="89" t="str">
        <f>'Etape 2'!T37</f>
        <v/>
      </c>
      <c r="Z40" s="87">
        <f>'Etape 2'!U37</f>
        <v>0</v>
      </c>
      <c r="AA40" s="87" t="str">
        <f>'Etape 2'!V37</f>
        <v/>
      </c>
      <c r="AB40" s="87">
        <f>IF(ISNUMBER('Etape 2'!W37),'Etape 2'!W37,0)</f>
        <v>0</v>
      </c>
      <c r="AC40" s="87">
        <f>IF(ISNUMBER('Etape 2'!X37),'Etape 2'!X37,0)</f>
        <v>0</v>
      </c>
      <c r="AD40" s="87">
        <f>IF(ISNUMBER('Etape 2'!Y37),'Etape 2'!Y37,0)</f>
        <v>0</v>
      </c>
      <c r="AE40" s="87">
        <f>IF(ISNUMBER('Etape 2'!Z37),'Etape 2'!Z37,0)</f>
        <v>0</v>
      </c>
      <c r="AF40" s="86">
        <f t="shared" si="74"/>
        <v>999</v>
      </c>
      <c r="AG40" s="288">
        <f t="shared" si="75"/>
        <v>0.25</v>
      </c>
      <c r="AH40" s="181" t="e">
        <f t="shared" si="46"/>
        <v>#VALUE!</v>
      </c>
      <c r="AI40" s="181" t="e">
        <f t="shared" si="76"/>
        <v>#VALUE!</v>
      </c>
      <c r="AJ40" s="86">
        <f t="shared" si="48"/>
        <v>200</v>
      </c>
      <c r="AK40" s="91" t="e">
        <f t="shared" si="49"/>
        <v>#N/A</v>
      </c>
      <c r="AL40" s="91" t="e">
        <f t="shared" si="50"/>
        <v>#N/A</v>
      </c>
      <c r="AM40" s="91">
        <f t="shared" si="51"/>
        <v>6</v>
      </c>
      <c r="AN40" s="91" t="e">
        <f t="shared" si="77"/>
        <v>#N/A</v>
      </c>
      <c r="AO40" s="91" t="e">
        <f t="shared" si="78"/>
        <v>#N/A</v>
      </c>
      <c r="AP40" s="21" t="e">
        <f t="shared" si="52"/>
        <v>#N/A</v>
      </c>
      <c r="AQ40" s="21" t="e">
        <f t="shared" si="53"/>
        <v>#N/A</v>
      </c>
      <c r="AR40" s="92" t="str">
        <f t="shared" si="79"/>
        <v/>
      </c>
      <c r="AS40" s="21" t="str">
        <f t="shared" si="80"/>
        <v/>
      </c>
      <c r="AT40" s="59" t="str">
        <f t="shared" si="54"/>
        <v/>
      </c>
      <c r="AU40" s="105">
        <f t="shared" si="55"/>
        <v>1</v>
      </c>
      <c r="AV40" s="105">
        <f t="shared" si="56"/>
        <v>1</v>
      </c>
      <c r="AW40" s="58">
        <f t="shared" si="88"/>
        <v>2</v>
      </c>
      <c r="AX40" s="58">
        <f t="shared" si="57"/>
        <v>3</v>
      </c>
      <c r="AY40" s="58" t="str">
        <f t="shared" si="58"/>
        <v>avec vannes</v>
      </c>
      <c r="AZ40" s="58" t="str">
        <f t="shared" si="59"/>
        <v>fermé</v>
      </c>
      <c r="BA40" s="60">
        <f t="shared" si="90"/>
        <v>0</v>
      </c>
      <c r="BB40" s="60">
        <f t="shared" si="90"/>
        <v>0</v>
      </c>
      <c r="BC40" s="60">
        <f t="shared" si="90"/>
        <v>0</v>
      </c>
      <c r="BD40" s="60">
        <f t="shared" si="90"/>
        <v>0</v>
      </c>
      <c r="BE40" s="286" t="str">
        <f t="shared" si="61"/>
        <v/>
      </c>
      <c r="BF40" s="58" t="str">
        <f t="shared" si="82"/>
        <v/>
      </c>
      <c r="BG40" s="59" t="str">
        <f t="shared" si="62"/>
        <v/>
      </c>
      <c r="BH40" s="158">
        <f t="shared" ca="1" si="63"/>
        <v>1</v>
      </c>
      <c r="BI40" s="60">
        <f t="shared" ca="1" si="64"/>
        <v>0.15</v>
      </c>
      <c r="BJ40" s="60">
        <f t="shared" si="65"/>
        <v>0.2</v>
      </c>
      <c r="BK40" s="60" t="str">
        <f t="shared" si="83"/>
        <v/>
      </c>
      <c r="BL40" s="21" t="str">
        <f t="shared" si="84"/>
        <v/>
      </c>
      <c r="BM40" s="264" t="str">
        <f t="shared" si="66"/>
        <v/>
      </c>
      <c r="BN40" s="60" t="str">
        <f t="shared" si="85"/>
        <v/>
      </c>
      <c r="BO40" s="136">
        <f t="shared" si="86"/>
        <v>0</v>
      </c>
      <c r="BP40" s="59">
        <f t="shared" si="87"/>
        <v>0</v>
      </c>
      <c r="BQ40" s="136">
        <f t="shared" ca="1" si="68"/>
        <v>1225</v>
      </c>
      <c r="BR40" s="136">
        <f t="shared" ca="1" si="69"/>
        <v>1000.0830564784053</v>
      </c>
      <c r="BS40" s="136">
        <f t="shared" ca="1" si="70"/>
        <v>1468800.0830564783</v>
      </c>
      <c r="BT40" s="136">
        <f t="shared" ca="1" si="71"/>
        <v>313875.00578223763</v>
      </c>
      <c r="BU40" s="136">
        <f t="shared" ca="1" si="72"/>
        <v>1000.0830564784053</v>
      </c>
    </row>
    <row r="41" spans="1:73" x14ac:dyDescent="0.2">
      <c r="A41" s="87" t="str">
        <f>'Etape 2'!A38</f>
        <v/>
      </c>
      <c r="B41" s="87">
        <f>'Etape 2'!B38</f>
        <v>26</v>
      </c>
      <c r="C41" s="87">
        <f ca="1">'Etape 2'!C38</f>
        <v>275</v>
      </c>
      <c r="D41" s="87"/>
      <c r="E41" s="61">
        <f ca="1">RANK(BU41,BU$16:BU$315,0)+COUNTIF(BU$16:BU41,BU41)-1</f>
        <v>275</v>
      </c>
      <c r="F41" s="87" t="str">
        <f>'Etape 2'!D38</f>
        <v/>
      </c>
      <c r="G41" s="87" t="str">
        <f>'Etape 2'!E38</f>
        <v/>
      </c>
      <c r="H41" s="87" t="str">
        <f>'Etape 2'!F38</f>
        <v/>
      </c>
      <c r="I41" s="87" t="str">
        <f>'Etape 2'!G38</f>
        <v/>
      </c>
      <c r="J41" s="87" t="str">
        <f>'Etape 2'!H38</f>
        <v/>
      </c>
      <c r="K41" s="87" t="str">
        <f>'Etape 2'!I38</f>
        <v/>
      </c>
      <c r="L41" s="87">
        <f ca="1">'Etape 2'!J38</f>
        <v>999999</v>
      </c>
      <c r="M41" s="87">
        <f>'Etape 2'!K38</f>
        <v>999</v>
      </c>
      <c r="N41" s="87">
        <f ca="1">'Etape 2'!L38</f>
        <v>26</v>
      </c>
      <c r="O41" s="259">
        <f t="shared" si="43"/>
        <v>0.3</v>
      </c>
      <c r="P41" s="259">
        <f t="shared" si="44"/>
        <v>1.1000000000000001</v>
      </c>
      <c r="Q41" s="260">
        <f t="shared" si="45"/>
        <v>0</v>
      </c>
      <c r="R41" s="261">
        <f t="shared" si="89"/>
        <v>0</v>
      </c>
      <c r="S41" s="87">
        <f>IF(ISBLANK('Etape 2'!N38),0,VLOOKUP('Etape 2'!N38,Matrix_Uebersetzung,2,FALSE))</f>
        <v>0</v>
      </c>
      <c r="T41" s="87">
        <f>IF(ISBLANK('Etape 2'!O38),0,VLOOKUP('Etape 2'!O38,Matrix_Uebersetzung,2,FALSE))</f>
        <v>0</v>
      </c>
      <c r="U41" s="87">
        <f>IF(ISBLANK('Etape 2'!P38),0,VLOOKUP('Etape 2'!P38,Matrix_Uebersetzung,2,FALSE))</f>
        <v>0</v>
      </c>
      <c r="V41" s="87" t="str">
        <f>'Etape 2'!Q38</f>
        <v/>
      </c>
      <c r="W41" s="87">
        <f>'Etape 2'!R38</f>
        <v>0</v>
      </c>
      <c r="X41" s="87" t="str">
        <f>'Etape 2'!S38</f>
        <v/>
      </c>
      <c r="Y41" s="89" t="str">
        <f>'Etape 2'!T38</f>
        <v/>
      </c>
      <c r="Z41" s="87">
        <f>'Etape 2'!U38</f>
        <v>0</v>
      </c>
      <c r="AA41" s="87" t="str">
        <f>'Etape 2'!V38</f>
        <v/>
      </c>
      <c r="AB41" s="87">
        <f>IF(ISNUMBER('Etape 2'!W38),'Etape 2'!W38,0)</f>
        <v>0</v>
      </c>
      <c r="AC41" s="87">
        <f>IF(ISNUMBER('Etape 2'!X38),'Etape 2'!X38,0)</f>
        <v>0</v>
      </c>
      <c r="AD41" s="87">
        <f>IF(ISNUMBER('Etape 2'!Y38),'Etape 2'!Y38,0)</f>
        <v>0</v>
      </c>
      <c r="AE41" s="87">
        <f>IF(ISNUMBER('Etape 2'!Z38),'Etape 2'!Z38,0)</f>
        <v>0</v>
      </c>
      <c r="AF41" s="86">
        <f t="shared" si="74"/>
        <v>999</v>
      </c>
      <c r="AG41" s="288">
        <f t="shared" si="75"/>
        <v>0.25</v>
      </c>
      <c r="AH41" s="181" t="e">
        <f t="shared" si="46"/>
        <v>#VALUE!</v>
      </c>
      <c r="AI41" s="181" t="e">
        <f t="shared" si="76"/>
        <v>#VALUE!</v>
      </c>
      <c r="AJ41" s="86">
        <f t="shared" si="48"/>
        <v>200</v>
      </c>
      <c r="AK41" s="91" t="e">
        <f t="shared" si="49"/>
        <v>#N/A</v>
      </c>
      <c r="AL41" s="91" t="e">
        <f t="shared" si="50"/>
        <v>#N/A</v>
      </c>
      <c r="AM41" s="91">
        <f t="shared" si="51"/>
        <v>6</v>
      </c>
      <c r="AN41" s="91" t="e">
        <f t="shared" si="77"/>
        <v>#N/A</v>
      </c>
      <c r="AO41" s="91" t="e">
        <f t="shared" si="78"/>
        <v>#N/A</v>
      </c>
      <c r="AP41" s="21" t="e">
        <f t="shared" si="52"/>
        <v>#N/A</v>
      </c>
      <c r="AQ41" s="21" t="e">
        <f t="shared" si="53"/>
        <v>#N/A</v>
      </c>
      <c r="AR41" s="92" t="str">
        <f t="shared" si="79"/>
        <v/>
      </c>
      <c r="AS41" s="21" t="str">
        <f t="shared" si="80"/>
        <v/>
      </c>
      <c r="AT41" s="59" t="str">
        <f t="shared" si="54"/>
        <v/>
      </c>
      <c r="AU41" s="105">
        <f t="shared" si="55"/>
        <v>1</v>
      </c>
      <c r="AV41" s="105">
        <f t="shared" si="56"/>
        <v>1</v>
      </c>
      <c r="AW41" s="58">
        <f t="shared" si="88"/>
        <v>2</v>
      </c>
      <c r="AX41" s="58">
        <f t="shared" si="57"/>
        <v>3</v>
      </c>
      <c r="AY41" s="58" t="str">
        <f t="shared" si="58"/>
        <v>avec vannes</v>
      </c>
      <c r="AZ41" s="58" t="str">
        <f t="shared" si="59"/>
        <v>fermé</v>
      </c>
      <c r="BA41" s="60">
        <f t="shared" si="90"/>
        <v>0</v>
      </c>
      <c r="BB41" s="60">
        <f t="shared" si="90"/>
        <v>0</v>
      </c>
      <c r="BC41" s="60">
        <f t="shared" si="90"/>
        <v>0</v>
      </c>
      <c r="BD41" s="60">
        <f t="shared" si="90"/>
        <v>0</v>
      </c>
      <c r="BE41" s="286" t="str">
        <f t="shared" si="61"/>
        <v/>
      </c>
      <c r="BF41" s="58" t="str">
        <f t="shared" si="82"/>
        <v/>
      </c>
      <c r="BG41" s="59" t="str">
        <f t="shared" si="62"/>
        <v/>
      </c>
      <c r="BH41" s="158">
        <f t="shared" ca="1" si="63"/>
        <v>1</v>
      </c>
      <c r="BI41" s="60">
        <f t="shared" ca="1" si="64"/>
        <v>0.15</v>
      </c>
      <c r="BJ41" s="60">
        <f t="shared" si="65"/>
        <v>0.2</v>
      </c>
      <c r="BK41" s="60" t="str">
        <f t="shared" si="83"/>
        <v/>
      </c>
      <c r="BL41" s="21" t="str">
        <f t="shared" si="84"/>
        <v/>
      </c>
      <c r="BM41" s="264" t="str">
        <f t="shared" si="66"/>
        <v/>
      </c>
      <c r="BN41" s="60" t="str">
        <f t="shared" si="85"/>
        <v/>
      </c>
      <c r="BO41" s="136">
        <f t="shared" si="86"/>
        <v>0</v>
      </c>
      <c r="BP41" s="59">
        <f t="shared" si="87"/>
        <v>0</v>
      </c>
      <c r="BQ41" s="136">
        <f t="shared" ca="1" si="68"/>
        <v>1226</v>
      </c>
      <c r="BR41" s="136">
        <f t="shared" ca="1" si="69"/>
        <v>1000.0863787375415</v>
      </c>
      <c r="BS41" s="136">
        <f t="shared" ca="1" si="70"/>
        <v>1468800.0863787376</v>
      </c>
      <c r="BT41" s="136">
        <f t="shared" ca="1" si="71"/>
        <v>313875.00910449674</v>
      </c>
      <c r="BU41" s="136">
        <f t="shared" ca="1" si="72"/>
        <v>1000.0863787375415</v>
      </c>
    </row>
    <row r="42" spans="1:73" x14ac:dyDescent="0.2">
      <c r="A42" s="87" t="str">
        <f>'Etape 2'!A39</f>
        <v/>
      </c>
      <c r="B42" s="87">
        <f>'Etape 2'!B39</f>
        <v>27</v>
      </c>
      <c r="C42" s="87">
        <f ca="1">'Etape 2'!C39</f>
        <v>274</v>
      </c>
      <c r="D42" s="87"/>
      <c r="E42" s="61">
        <f ca="1">RANK(BU42,BU$16:BU$315,0)+COUNTIF(BU$16:BU42,BU42)-1</f>
        <v>274</v>
      </c>
      <c r="F42" s="87" t="str">
        <f>'Etape 2'!D39</f>
        <v/>
      </c>
      <c r="G42" s="87" t="str">
        <f>'Etape 2'!E39</f>
        <v/>
      </c>
      <c r="H42" s="87" t="str">
        <f>'Etape 2'!F39</f>
        <v/>
      </c>
      <c r="I42" s="87" t="str">
        <f>'Etape 2'!G39</f>
        <v/>
      </c>
      <c r="J42" s="87" t="str">
        <f>'Etape 2'!H39</f>
        <v/>
      </c>
      <c r="K42" s="87" t="str">
        <f>'Etape 2'!I39</f>
        <v/>
      </c>
      <c r="L42" s="87">
        <f ca="1">'Etape 2'!J39</f>
        <v>999999</v>
      </c>
      <c r="M42" s="87">
        <f>'Etape 2'!K39</f>
        <v>999</v>
      </c>
      <c r="N42" s="87">
        <f ca="1">'Etape 2'!L39</f>
        <v>27</v>
      </c>
      <c r="O42" s="259">
        <f t="shared" si="43"/>
        <v>0.3</v>
      </c>
      <c r="P42" s="259">
        <f t="shared" si="44"/>
        <v>1.1000000000000001</v>
      </c>
      <c r="Q42" s="260">
        <f t="shared" si="45"/>
        <v>0</v>
      </c>
      <c r="R42" s="261">
        <f t="shared" si="89"/>
        <v>0</v>
      </c>
      <c r="S42" s="87">
        <f>IF(ISBLANK('Etape 2'!N39),0,VLOOKUP('Etape 2'!N39,Matrix_Uebersetzung,2,FALSE))</f>
        <v>0</v>
      </c>
      <c r="T42" s="87">
        <f>IF(ISBLANK('Etape 2'!O39),0,VLOOKUP('Etape 2'!O39,Matrix_Uebersetzung,2,FALSE))</f>
        <v>0</v>
      </c>
      <c r="U42" s="87">
        <f>IF(ISBLANK('Etape 2'!P39),0,VLOOKUP('Etape 2'!P39,Matrix_Uebersetzung,2,FALSE))</f>
        <v>0</v>
      </c>
      <c r="V42" s="87" t="str">
        <f>'Etape 2'!Q39</f>
        <v/>
      </c>
      <c r="W42" s="87">
        <f>'Etape 2'!R39</f>
        <v>0</v>
      </c>
      <c r="X42" s="87" t="str">
        <f>'Etape 2'!S39</f>
        <v/>
      </c>
      <c r="Y42" s="89" t="str">
        <f>'Etape 2'!T39</f>
        <v/>
      </c>
      <c r="Z42" s="87">
        <f>'Etape 2'!U39</f>
        <v>0</v>
      </c>
      <c r="AA42" s="87" t="str">
        <f>'Etape 2'!V39</f>
        <v/>
      </c>
      <c r="AB42" s="87">
        <f>IF(ISNUMBER('Etape 2'!W39),'Etape 2'!W39,0)</f>
        <v>0</v>
      </c>
      <c r="AC42" s="87">
        <f>IF(ISNUMBER('Etape 2'!X39),'Etape 2'!X39,0)</f>
        <v>0</v>
      </c>
      <c r="AD42" s="87">
        <f>IF(ISNUMBER('Etape 2'!Y39),'Etape 2'!Y39,0)</f>
        <v>0</v>
      </c>
      <c r="AE42" s="87">
        <f>IF(ISNUMBER('Etape 2'!Z39),'Etape 2'!Z39,0)</f>
        <v>0</v>
      </c>
      <c r="AF42" s="86">
        <f t="shared" si="74"/>
        <v>999</v>
      </c>
      <c r="AG42" s="288">
        <f t="shared" si="75"/>
        <v>0.25</v>
      </c>
      <c r="AH42" s="181" t="e">
        <f t="shared" si="46"/>
        <v>#VALUE!</v>
      </c>
      <c r="AI42" s="181" t="e">
        <f t="shared" si="76"/>
        <v>#VALUE!</v>
      </c>
      <c r="AJ42" s="86">
        <f t="shared" si="48"/>
        <v>200</v>
      </c>
      <c r="AK42" s="91" t="e">
        <f t="shared" si="49"/>
        <v>#N/A</v>
      </c>
      <c r="AL42" s="91" t="e">
        <f t="shared" si="50"/>
        <v>#N/A</v>
      </c>
      <c r="AM42" s="91">
        <f t="shared" si="51"/>
        <v>6</v>
      </c>
      <c r="AN42" s="91" t="e">
        <f t="shared" si="77"/>
        <v>#N/A</v>
      </c>
      <c r="AO42" s="91" t="e">
        <f t="shared" si="78"/>
        <v>#N/A</v>
      </c>
      <c r="AP42" s="21" t="e">
        <f t="shared" si="52"/>
        <v>#N/A</v>
      </c>
      <c r="AQ42" s="21" t="e">
        <f t="shared" si="53"/>
        <v>#N/A</v>
      </c>
      <c r="AR42" s="92" t="str">
        <f t="shared" si="79"/>
        <v/>
      </c>
      <c r="AS42" s="21" t="str">
        <f t="shared" si="80"/>
        <v/>
      </c>
      <c r="AT42" s="59" t="str">
        <f t="shared" si="54"/>
        <v/>
      </c>
      <c r="AU42" s="105">
        <f t="shared" si="55"/>
        <v>1</v>
      </c>
      <c r="AV42" s="105">
        <f t="shared" si="56"/>
        <v>1</v>
      </c>
      <c r="AW42" s="58">
        <f t="shared" si="88"/>
        <v>2</v>
      </c>
      <c r="AX42" s="58">
        <f t="shared" si="57"/>
        <v>3</v>
      </c>
      <c r="AY42" s="58" t="str">
        <f t="shared" si="58"/>
        <v>avec vannes</v>
      </c>
      <c r="AZ42" s="58" t="str">
        <f t="shared" si="59"/>
        <v>fermé</v>
      </c>
      <c r="BA42" s="60">
        <f t="shared" si="90"/>
        <v>0</v>
      </c>
      <c r="BB42" s="60">
        <f t="shared" si="90"/>
        <v>0</v>
      </c>
      <c r="BC42" s="60">
        <f t="shared" si="90"/>
        <v>0</v>
      </c>
      <c r="BD42" s="60">
        <f t="shared" si="90"/>
        <v>0</v>
      </c>
      <c r="BE42" s="286" t="str">
        <f t="shared" si="61"/>
        <v/>
      </c>
      <c r="BF42" s="58" t="str">
        <f t="shared" si="82"/>
        <v/>
      </c>
      <c r="BG42" s="59" t="str">
        <f t="shared" si="62"/>
        <v/>
      </c>
      <c r="BH42" s="158">
        <f t="shared" ca="1" si="63"/>
        <v>1</v>
      </c>
      <c r="BI42" s="60">
        <f t="shared" ca="1" si="64"/>
        <v>0.15</v>
      </c>
      <c r="BJ42" s="60">
        <f t="shared" si="65"/>
        <v>0.2</v>
      </c>
      <c r="BK42" s="60" t="str">
        <f t="shared" si="83"/>
        <v/>
      </c>
      <c r="BL42" s="21" t="str">
        <f t="shared" si="84"/>
        <v/>
      </c>
      <c r="BM42" s="264" t="str">
        <f t="shared" si="66"/>
        <v/>
      </c>
      <c r="BN42" s="60" t="str">
        <f t="shared" si="85"/>
        <v/>
      </c>
      <c r="BO42" s="136">
        <f t="shared" si="86"/>
        <v>0</v>
      </c>
      <c r="BP42" s="59">
        <f t="shared" si="87"/>
        <v>0</v>
      </c>
      <c r="BQ42" s="136">
        <f t="shared" ca="1" si="68"/>
        <v>1227</v>
      </c>
      <c r="BR42" s="136">
        <f t="shared" ca="1" si="69"/>
        <v>1000.0897009966777</v>
      </c>
      <c r="BS42" s="136">
        <f t="shared" ca="1" si="70"/>
        <v>1468800.0897009966</v>
      </c>
      <c r="BT42" s="136">
        <f t="shared" ca="1" si="71"/>
        <v>313875.01242675591</v>
      </c>
      <c r="BU42" s="136">
        <f t="shared" ca="1" si="72"/>
        <v>1000.0897009966777</v>
      </c>
    </row>
    <row r="43" spans="1:73" x14ac:dyDescent="0.2">
      <c r="A43" s="87" t="str">
        <f>'Etape 2'!A40</f>
        <v/>
      </c>
      <c r="B43" s="87">
        <f>'Etape 2'!B40</f>
        <v>28</v>
      </c>
      <c r="C43" s="87">
        <f ca="1">'Etape 2'!C40</f>
        <v>273</v>
      </c>
      <c r="D43" s="87"/>
      <c r="E43" s="61">
        <f ca="1">RANK(BU43,BU$16:BU$315,0)+COUNTIF(BU$16:BU43,BU43)-1</f>
        <v>273</v>
      </c>
      <c r="F43" s="87" t="str">
        <f>'Etape 2'!D40</f>
        <v/>
      </c>
      <c r="G43" s="87" t="str">
        <f>'Etape 2'!E40</f>
        <v/>
      </c>
      <c r="H43" s="87" t="str">
        <f>'Etape 2'!F40</f>
        <v/>
      </c>
      <c r="I43" s="87" t="str">
        <f>'Etape 2'!G40</f>
        <v/>
      </c>
      <c r="J43" s="87" t="str">
        <f>'Etape 2'!H40</f>
        <v/>
      </c>
      <c r="K43" s="87" t="str">
        <f>'Etape 2'!I40</f>
        <v/>
      </c>
      <c r="L43" s="87">
        <f ca="1">'Etape 2'!J40</f>
        <v>999999</v>
      </c>
      <c r="M43" s="87">
        <f>'Etape 2'!K40</f>
        <v>999</v>
      </c>
      <c r="N43" s="87">
        <f ca="1">'Etape 2'!L40</f>
        <v>28</v>
      </c>
      <c r="O43" s="259">
        <f t="shared" si="43"/>
        <v>0.3</v>
      </c>
      <c r="P43" s="259">
        <f t="shared" si="44"/>
        <v>1.1000000000000001</v>
      </c>
      <c r="Q43" s="260">
        <f t="shared" si="45"/>
        <v>0</v>
      </c>
      <c r="R43" s="261">
        <f t="shared" si="89"/>
        <v>0</v>
      </c>
      <c r="S43" s="87">
        <f>IF(ISBLANK('Etape 2'!N40),0,VLOOKUP('Etape 2'!N40,Matrix_Uebersetzung,2,FALSE))</f>
        <v>0</v>
      </c>
      <c r="T43" s="87">
        <f>IF(ISBLANK('Etape 2'!O40),0,VLOOKUP('Etape 2'!O40,Matrix_Uebersetzung,2,FALSE))</f>
        <v>0</v>
      </c>
      <c r="U43" s="87">
        <f>IF(ISBLANK('Etape 2'!P40),0,VLOOKUP('Etape 2'!P40,Matrix_Uebersetzung,2,FALSE))</f>
        <v>0</v>
      </c>
      <c r="V43" s="87" t="str">
        <f>'Etape 2'!Q40</f>
        <v/>
      </c>
      <c r="W43" s="87">
        <f>'Etape 2'!R40</f>
        <v>0</v>
      </c>
      <c r="X43" s="87" t="str">
        <f>'Etape 2'!S40</f>
        <v/>
      </c>
      <c r="Y43" s="89" t="str">
        <f>'Etape 2'!T40</f>
        <v/>
      </c>
      <c r="Z43" s="87">
        <f>'Etape 2'!U40</f>
        <v>0</v>
      </c>
      <c r="AA43" s="87" t="str">
        <f>'Etape 2'!V40</f>
        <v/>
      </c>
      <c r="AB43" s="87">
        <f>IF(ISNUMBER('Etape 2'!W40),'Etape 2'!W40,0)</f>
        <v>0</v>
      </c>
      <c r="AC43" s="87">
        <f>IF(ISNUMBER('Etape 2'!X40),'Etape 2'!X40,0)</f>
        <v>0</v>
      </c>
      <c r="AD43" s="87">
        <f>IF(ISNUMBER('Etape 2'!Y40),'Etape 2'!Y40,0)</f>
        <v>0</v>
      </c>
      <c r="AE43" s="87">
        <f>IF(ISNUMBER('Etape 2'!Z40),'Etape 2'!Z40,0)</f>
        <v>0</v>
      </c>
      <c r="AF43" s="86">
        <f t="shared" si="74"/>
        <v>999</v>
      </c>
      <c r="AG43" s="288">
        <f t="shared" si="75"/>
        <v>0.25</v>
      </c>
      <c r="AH43" s="181" t="e">
        <f t="shared" si="46"/>
        <v>#VALUE!</v>
      </c>
      <c r="AI43" s="181" t="e">
        <f t="shared" si="76"/>
        <v>#VALUE!</v>
      </c>
      <c r="AJ43" s="86">
        <f t="shared" si="48"/>
        <v>200</v>
      </c>
      <c r="AK43" s="91" t="e">
        <f t="shared" si="49"/>
        <v>#N/A</v>
      </c>
      <c r="AL43" s="91" t="e">
        <f t="shared" si="50"/>
        <v>#N/A</v>
      </c>
      <c r="AM43" s="91">
        <f t="shared" si="51"/>
        <v>6</v>
      </c>
      <c r="AN43" s="91" t="e">
        <f t="shared" si="77"/>
        <v>#N/A</v>
      </c>
      <c r="AO43" s="91" t="e">
        <f t="shared" si="78"/>
        <v>#N/A</v>
      </c>
      <c r="AP43" s="21" t="e">
        <f t="shared" si="52"/>
        <v>#N/A</v>
      </c>
      <c r="AQ43" s="21" t="e">
        <f t="shared" si="53"/>
        <v>#N/A</v>
      </c>
      <c r="AR43" s="92" t="str">
        <f t="shared" si="79"/>
        <v/>
      </c>
      <c r="AS43" s="21" t="str">
        <f t="shared" si="80"/>
        <v/>
      </c>
      <c r="AT43" s="59" t="str">
        <f t="shared" si="54"/>
        <v/>
      </c>
      <c r="AU43" s="105">
        <f t="shared" si="55"/>
        <v>1</v>
      </c>
      <c r="AV43" s="105">
        <f t="shared" si="56"/>
        <v>1</v>
      </c>
      <c r="AW43" s="58">
        <f t="shared" si="88"/>
        <v>2</v>
      </c>
      <c r="AX43" s="58">
        <f t="shared" si="57"/>
        <v>3</v>
      </c>
      <c r="AY43" s="58" t="str">
        <f t="shared" si="58"/>
        <v>avec vannes</v>
      </c>
      <c r="AZ43" s="58" t="str">
        <f t="shared" si="59"/>
        <v>fermé</v>
      </c>
      <c r="BA43" s="60">
        <f t="shared" si="90"/>
        <v>0</v>
      </c>
      <c r="BB43" s="60">
        <f t="shared" si="90"/>
        <v>0</v>
      </c>
      <c r="BC43" s="60">
        <f t="shared" si="90"/>
        <v>0</v>
      </c>
      <c r="BD43" s="60">
        <f t="shared" si="90"/>
        <v>0</v>
      </c>
      <c r="BE43" s="286" t="str">
        <f t="shared" si="61"/>
        <v/>
      </c>
      <c r="BF43" s="58" t="str">
        <f t="shared" si="82"/>
        <v/>
      </c>
      <c r="BG43" s="59" t="str">
        <f t="shared" si="62"/>
        <v/>
      </c>
      <c r="BH43" s="158">
        <f t="shared" ca="1" si="63"/>
        <v>1</v>
      </c>
      <c r="BI43" s="60">
        <f t="shared" ca="1" si="64"/>
        <v>0.15</v>
      </c>
      <c r="BJ43" s="60">
        <f t="shared" si="65"/>
        <v>0.2</v>
      </c>
      <c r="BK43" s="60" t="str">
        <f t="shared" si="83"/>
        <v/>
      </c>
      <c r="BL43" s="21" t="str">
        <f t="shared" si="84"/>
        <v/>
      </c>
      <c r="BM43" s="264" t="str">
        <f t="shared" si="66"/>
        <v/>
      </c>
      <c r="BN43" s="60" t="str">
        <f t="shared" si="85"/>
        <v/>
      </c>
      <c r="BO43" s="136">
        <f t="shared" si="86"/>
        <v>0</v>
      </c>
      <c r="BP43" s="59">
        <f t="shared" si="87"/>
        <v>0</v>
      </c>
      <c r="BQ43" s="136">
        <f t="shared" ca="1" si="68"/>
        <v>1228</v>
      </c>
      <c r="BR43" s="136">
        <f t="shared" ca="1" si="69"/>
        <v>1000.0930232558139</v>
      </c>
      <c r="BS43" s="136">
        <f t="shared" ca="1" si="70"/>
        <v>1468800.0930232557</v>
      </c>
      <c r="BT43" s="136">
        <f t="shared" ca="1" si="71"/>
        <v>313875.01574901503</v>
      </c>
      <c r="BU43" s="136">
        <f t="shared" ca="1" si="72"/>
        <v>1000.0930232558139</v>
      </c>
    </row>
    <row r="44" spans="1:73" x14ac:dyDescent="0.2">
      <c r="A44" s="87" t="str">
        <f>'Etape 2'!A41</f>
        <v/>
      </c>
      <c r="B44" s="87">
        <f>'Etape 2'!B41</f>
        <v>29</v>
      </c>
      <c r="C44" s="87">
        <f ca="1">'Etape 2'!C41</f>
        <v>272</v>
      </c>
      <c r="D44" s="87"/>
      <c r="E44" s="61">
        <f ca="1">RANK(BU44,BU$16:BU$315,0)+COUNTIF(BU$16:BU44,BU44)-1</f>
        <v>272</v>
      </c>
      <c r="F44" s="87" t="str">
        <f>'Etape 2'!D41</f>
        <v/>
      </c>
      <c r="G44" s="87" t="str">
        <f>'Etape 2'!E41</f>
        <v/>
      </c>
      <c r="H44" s="87" t="str">
        <f>'Etape 2'!F41</f>
        <v/>
      </c>
      <c r="I44" s="87" t="str">
        <f>'Etape 2'!G41</f>
        <v/>
      </c>
      <c r="J44" s="87" t="str">
        <f>'Etape 2'!H41</f>
        <v/>
      </c>
      <c r="K44" s="87" t="str">
        <f>'Etape 2'!I41</f>
        <v/>
      </c>
      <c r="L44" s="87">
        <f ca="1">'Etape 2'!J41</f>
        <v>999999</v>
      </c>
      <c r="M44" s="87">
        <f>'Etape 2'!K41</f>
        <v>999</v>
      </c>
      <c r="N44" s="87">
        <f ca="1">'Etape 2'!L41</f>
        <v>29</v>
      </c>
      <c r="O44" s="259">
        <f t="shared" si="43"/>
        <v>0.3</v>
      </c>
      <c r="P44" s="259">
        <f t="shared" si="44"/>
        <v>1.1000000000000001</v>
      </c>
      <c r="Q44" s="260">
        <f t="shared" si="45"/>
        <v>0</v>
      </c>
      <c r="R44" s="261">
        <f t="shared" si="89"/>
        <v>0</v>
      </c>
      <c r="S44" s="87">
        <f>IF(ISBLANK('Etape 2'!N41),0,VLOOKUP('Etape 2'!N41,Matrix_Uebersetzung,2,FALSE))</f>
        <v>0</v>
      </c>
      <c r="T44" s="87">
        <f>IF(ISBLANK('Etape 2'!O41),0,VLOOKUP('Etape 2'!O41,Matrix_Uebersetzung,2,FALSE))</f>
        <v>0</v>
      </c>
      <c r="U44" s="87">
        <f>IF(ISBLANK('Etape 2'!P41),0,VLOOKUP('Etape 2'!P41,Matrix_Uebersetzung,2,FALSE))</f>
        <v>0</v>
      </c>
      <c r="V44" s="87" t="str">
        <f>'Etape 2'!Q41</f>
        <v/>
      </c>
      <c r="W44" s="87">
        <f>'Etape 2'!R41</f>
        <v>0</v>
      </c>
      <c r="X44" s="87" t="str">
        <f>'Etape 2'!S41</f>
        <v/>
      </c>
      <c r="Y44" s="89" t="str">
        <f>'Etape 2'!T41</f>
        <v/>
      </c>
      <c r="Z44" s="87">
        <f>'Etape 2'!U41</f>
        <v>0</v>
      </c>
      <c r="AA44" s="87" t="str">
        <f>'Etape 2'!V41</f>
        <v/>
      </c>
      <c r="AB44" s="87">
        <f>IF(ISNUMBER('Etape 2'!W41),'Etape 2'!W41,0)</f>
        <v>0</v>
      </c>
      <c r="AC44" s="87">
        <f>IF(ISNUMBER('Etape 2'!X41),'Etape 2'!X41,0)</f>
        <v>0</v>
      </c>
      <c r="AD44" s="87">
        <f>IF(ISNUMBER('Etape 2'!Y41),'Etape 2'!Y41,0)</f>
        <v>0</v>
      </c>
      <c r="AE44" s="87">
        <f>IF(ISNUMBER('Etape 2'!Z41),'Etape 2'!Z41,0)</f>
        <v>0</v>
      </c>
      <c r="AF44" s="86">
        <f t="shared" si="74"/>
        <v>999</v>
      </c>
      <c r="AG44" s="288">
        <f t="shared" si="75"/>
        <v>0.25</v>
      </c>
      <c r="AH44" s="181" t="e">
        <f t="shared" si="46"/>
        <v>#VALUE!</v>
      </c>
      <c r="AI44" s="181" t="e">
        <f t="shared" si="76"/>
        <v>#VALUE!</v>
      </c>
      <c r="AJ44" s="86">
        <f t="shared" si="48"/>
        <v>200</v>
      </c>
      <c r="AK44" s="91" t="e">
        <f t="shared" si="49"/>
        <v>#N/A</v>
      </c>
      <c r="AL44" s="91" t="e">
        <f t="shared" si="50"/>
        <v>#N/A</v>
      </c>
      <c r="AM44" s="91">
        <f t="shared" si="51"/>
        <v>6</v>
      </c>
      <c r="AN44" s="91" t="e">
        <f t="shared" si="77"/>
        <v>#N/A</v>
      </c>
      <c r="AO44" s="91" t="e">
        <f t="shared" si="78"/>
        <v>#N/A</v>
      </c>
      <c r="AP44" s="21" t="e">
        <f t="shared" si="52"/>
        <v>#N/A</v>
      </c>
      <c r="AQ44" s="21" t="e">
        <f t="shared" si="53"/>
        <v>#N/A</v>
      </c>
      <c r="AR44" s="92" t="str">
        <f t="shared" si="79"/>
        <v/>
      </c>
      <c r="AS44" s="21" t="str">
        <f t="shared" si="80"/>
        <v/>
      </c>
      <c r="AT44" s="59" t="str">
        <f t="shared" si="54"/>
        <v/>
      </c>
      <c r="AU44" s="105">
        <f t="shared" si="55"/>
        <v>1</v>
      </c>
      <c r="AV44" s="105">
        <f t="shared" si="56"/>
        <v>1</v>
      </c>
      <c r="AW44" s="58">
        <f t="shared" si="88"/>
        <v>2</v>
      </c>
      <c r="AX44" s="58">
        <f t="shared" si="57"/>
        <v>3</v>
      </c>
      <c r="AY44" s="58" t="str">
        <f t="shared" si="58"/>
        <v>avec vannes</v>
      </c>
      <c r="AZ44" s="58" t="str">
        <f t="shared" si="59"/>
        <v>fermé</v>
      </c>
      <c r="BA44" s="60">
        <f t="shared" si="90"/>
        <v>0</v>
      </c>
      <c r="BB44" s="60">
        <f t="shared" si="90"/>
        <v>0</v>
      </c>
      <c r="BC44" s="60">
        <f t="shared" si="90"/>
        <v>0</v>
      </c>
      <c r="BD44" s="60">
        <f t="shared" si="90"/>
        <v>0</v>
      </c>
      <c r="BE44" s="286" t="str">
        <f t="shared" si="61"/>
        <v/>
      </c>
      <c r="BF44" s="58" t="str">
        <f t="shared" si="82"/>
        <v/>
      </c>
      <c r="BG44" s="59" t="str">
        <f t="shared" si="62"/>
        <v/>
      </c>
      <c r="BH44" s="158">
        <f t="shared" ca="1" si="63"/>
        <v>1</v>
      </c>
      <c r="BI44" s="60">
        <f t="shared" ca="1" si="64"/>
        <v>0.15</v>
      </c>
      <c r="BJ44" s="60">
        <f t="shared" si="65"/>
        <v>0.2</v>
      </c>
      <c r="BK44" s="60" t="str">
        <f t="shared" si="83"/>
        <v/>
      </c>
      <c r="BL44" s="21" t="str">
        <f t="shared" si="84"/>
        <v/>
      </c>
      <c r="BM44" s="264" t="str">
        <f t="shared" si="66"/>
        <v/>
      </c>
      <c r="BN44" s="60" t="str">
        <f t="shared" si="85"/>
        <v/>
      </c>
      <c r="BO44" s="136">
        <f t="shared" si="86"/>
        <v>0</v>
      </c>
      <c r="BP44" s="59">
        <f t="shared" si="87"/>
        <v>0</v>
      </c>
      <c r="BQ44" s="136">
        <f t="shared" ca="1" si="68"/>
        <v>1229</v>
      </c>
      <c r="BR44" s="136">
        <f t="shared" ca="1" si="69"/>
        <v>1000.0963455149501</v>
      </c>
      <c r="BS44" s="136">
        <f t="shared" ca="1" si="70"/>
        <v>1468800.096345515</v>
      </c>
      <c r="BT44" s="136">
        <f t="shared" ca="1" si="71"/>
        <v>313875.01907127415</v>
      </c>
      <c r="BU44" s="136">
        <f t="shared" ca="1" si="72"/>
        <v>1000.0963455149501</v>
      </c>
    </row>
    <row r="45" spans="1:73" x14ac:dyDescent="0.2">
      <c r="A45" s="87" t="str">
        <f>'Etape 2'!A42</f>
        <v/>
      </c>
      <c r="B45" s="87">
        <f>'Etape 2'!B42</f>
        <v>30</v>
      </c>
      <c r="C45" s="87">
        <f ca="1">'Etape 2'!C42</f>
        <v>271</v>
      </c>
      <c r="D45" s="87"/>
      <c r="E45" s="61">
        <f ca="1">RANK(BU45,BU$16:BU$315,0)+COUNTIF(BU$16:BU45,BU45)-1</f>
        <v>271</v>
      </c>
      <c r="F45" s="87" t="str">
        <f>'Etape 2'!D42</f>
        <v/>
      </c>
      <c r="G45" s="87" t="str">
        <f>'Etape 2'!E42</f>
        <v/>
      </c>
      <c r="H45" s="87" t="str">
        <f>'Etape 2'!F42</f>
        <v/>
      </c>
      <c r="I45" s="87" t="str">
        <f>'Etape 2'!G42</f>
        <v/>
      </c>
      <c r="J45" s="87" t="str">
        <f>'Etape 2'!H42</f>
        <v/>
      </c>
      <c r="K45" s="87" t="str">
        <f>'Etape 2'!I42</f>
        <v/>
      </c>
      <c r="L45" s="87">
        <f ca="1">'Etape 2'!J42</f>
        <v>999999</v>
      </c>
      <c r="M45" s="87">
        <f>'Etape 2'!K42</f>
        <v>999</v>
      </c>
      <c r="N45" s="87">
        <f ca="1">'Etape 2'!L42</f>
        <v>30</v>
      </c>
      <c r="O45" s="259">
        <f t="shared" si="43"/>
        <v>0.3</v>
      </c>
      <c r="P45" s="259">
        <f t="shared" si="44"/>
        <v>1.1000000000000001</v>
      </c>
      <c r="Q45" s="260">
        <f t="shared" si="45"/>
        <v>0</v>
      </c>
      <c r="R45" s="261">
        <f t="shared" si="89"/>
        <v>0</v>
      </c>
      <c r="S45" s="87">
        <f>IF(ISBLANK('Etape 2'!N42),0,VLOOKUP('Etape 2'!N42,Matrix_Uebersetzung,2,FALSE))</f>
        <v>0</v>
      </c>
      <c r="T45" s="87">
        <f>IF(ISBLANK('Etape 2'!O42),0,VLOOKUP('Etape 2'!O42,Matrix_Uebersetzung,2,FALSE))</f>
        <v>0</v>
      </c>
      <c r="U45" s="87">
        <f>IF(ISBLANK('Etape 2'!P42),0,VLOOKUP('Etape 2'!P42,Matrix_Uebersetzung,2,FALSE))</f>
        <v>0</v>
      </c>
      <c r="V45" s="87" t="str">
        <f>'Etape 2'!Q42</f>
        <v/>
      </c>
      <c r="W45" s="87">
        <f>'Etape 2'!R42</f>
        <v>0</v>
      </c>
      <c r="X45" s="87" t="str">
        <f>'Etape 2'!S42</f>
        <v/>
      </c>
      <c r="Y45" s="89" t="str">
        <f>'Etape 2'!T42</f>
        <v/>
      </c>
      <c r="Z45" s="87">
        <f>'Etape 2'!U42</f>
        <v>0</v>
      </c>
      <c r="AA45" s="87" t="str">
        <f>'Etape 2'!V42</f>
        <v/>
      </c>
      <c r="AB45" s="87">
        <f>IF(ISNUMBER('Etape 2'!W42),'Etape 2'!W42,0)</f>
        <v>0</v>
      </c>
      <c r="AC45" s="87">
        <f>IF(ISNUMBER('Etape 2'!X42),'Etape 2'!X42,0)</f>
        <v>0</v>
      </c>
      <c r="AD45" s="87">
        <f>IF(ISNUMBER('Etape 2'!Y42),'Etape 2'!Y42,0)</f>
        <v>0</v>
      </c>
      <c r="AE45" s="87">
        <f>IF(ISNUMBER('Etape 2'!Z42),'Etape 2'!Z42,0)</f>
        <v>0</v>
      </c>
      <c r="AF45" s="86">
        <f t="shared" si="74"/>
        <v>999</v>
      </c>
      <c r="AG45" s="288">
        <f t="shared" si="75"/>
        <v>0.25</v>
      </c>
      <c r="AH45" s="181" t="e">
        <f t="shared" si="46"/>
        <v>#VALUE!</v>
      </c>
      <c r="AI45" s="181" t="e">
        <f t="shared" si="76"/>
        <v>#VALUE!</v>
      </c>
      <c r="AJ45" s="86">
        <f t="shared" si="48"/>
        <v>200</v>
      </c>
      <c r="AK45" s="91" t="e">
        <f t="shared" si="49"/>
        <v>#N/A</v>
      </c>
      <c r="AL45" s="91" t="e">
        <f t="shared" si="50"/>
        <v>#N/A</v>
      </c>
      <c r="AM45" s="91">
        <f t="shared" si="51"/>
        <v>6</v>
      </c>
      <c r="AN45" s="91" t="e">
        <f t="shared" si="77"/>
        <v>#N/A</v>
      </c>
      <c r="AO45" s="91" t="e">
        <f t="shared" si="78"/>
        <v>#N/A</v>
      </c>
      <c r="AP45" s="21" t="e">
        <f t="shared" si="52"/>
        <v>#N/A</v>
      </c>
      <c r="AQ45" s="21" t="e">
        <f t="shared" si="53"/>
        <v>#N/A</v>
      </c>
      <c r="AR45" s="92" t="str">
        <f t="shared" si="79"/>
        <v/>
      </c>
      <c r="AS45" s="21" t="str">
        <f t="shared" si="80"/>
        <v/>
      </c>
      <c r="AT45" s="59" t="str">
        <f t="shared" si="54"/>
        <v/>
      </c>
      <c r="AU45" s="105">
        <f t="shared" si="55"/>
        <v>1</v>
      </c>
      <c r="AV45" s="105">
        <f t="shared" si="56"/>
        <v>1</v>
      </c>
      <c r="AW45" s="58">
        <f t="shared" si="88"/>
        <v>2</v>
      </c>
      <c r="AX45" s="58">
        <f t="shared" si="57"/>
        <v>3</v>
      </c>
      <c r="AY45" s="58" t="str">
        <f t="shared" si="58"/>
        <v>avec vannes</v>
      </c>
      <c r="AZ45" s="58" t="str">
        <f t="shared" si="59"/>
        <v>fermé</v>
      </c>
      <c r="BA45" s="60">
        <f t="shared" si="90"/>
        <v>0</v>
      </c>
      <c r="BB45" s="60">
        <f t="shared" si="90"/>
        <v>0</v>
      </c>
      <c r="BC45" s="60">
        <f t="shared" si="90"/>
        <v>0</v>
      </c>
      <c r="BD45" s="60">
        <f t="shared" si="90"/>
        <v>0</v>
      </c>
      <c r="BE45" s="286" t="str">
        <f t="shared" si="61"/>
        <v/>
      </c>
      <c r="BF45" s="58" t="str">
        <f t="shared" si="82"/>
        <v/>
      </c>
      <c r="BG45" s="59" t="str">
        <f t="shared" si="62"/>
        <v/>
      </c>
      <c r="BH45" s="158">
        <f t="shared" ca="1" si="63"/>
        <v>1</v>
      </c>
      <c r="BI45" s="60">
        <f t="shared" ca="1" si="64"/>
        <v>0.15</v>
      </c>
      <c r="BJ45" s="60">
        <f t="shared" si="65"/>
        <v>0.2</v>
      </c>
      <c r="BK45" s="60" t="str">
        <f t="shared" si="83"/>
        <v/>
      </c>
      <c r="BL45" s="21" t="str">
        <f t="shared" si="84"/>
        <v/>
      </c>
      <c r="BM45" s="264" t="str">
        <f t="shared" si="66"/>
        <v/>
      </c>
      <c r="BN45" s="60" t="str">
        <f t="shared" si="85"/>
        <v/>
      </c>
      <c r="BO45" s="136">
        <f t="shared" si="86"/>
        <v>0</v>
      </c>
      <c r="BP45" s="59">
        <f t="shared" si="87"/>
        <v>0</v>
      </c>
      <c r="BQ45" s="136">
        <f t="shared" ca="1" si="68"/>
        <v>1230</v>
      </c>
      <c r="BR45" s="136">
        <f t="shared" ca="1" si="69"/>
        <v>1000.0996677740864</v>
      </c>
      <c r="BS45" s="136">
        <f t="shared" ca="1" si="70"/>
        <v>1468800.099667774</v>
      </c>
      <c r="BT45" s="136">
        <f t="shared" ca="1" si="71"/>
        <v>313875.02239353332</v>
      </c>
      <c r="BU45" s="136">
        <f t="shared" ca="1" si="72"/>
        <v>1000.0996677740864</v>
      </c>
    </row>
    <row r="46" spans="1:73" x14ac:dyDescent="0.2">
      <c r="A46" s="87" t="str">
        <f>'Etape 2'!A43</f>
        <v/>
      </c>
      <c r="B46" s="87">
        <f>'Etape 2'!B43</f>
        <v>31</v>
      </c>
      <c r="C46" s="87">
        <f ca="1">'Etape 2'!C43</f>
        <v>270</v>
      </c>
      <c r="D46" s="87"/>
      <c r="E46" s="61">
        <f ca="1">RANK(BU46,BU$16:BU$315,0)+COUNTIF(BU$16:BU46,BU46)-1</f>
        <v>270</v>
      </c>
      <c r="F46" s="87" t="str">
        <f>'Etape 2'!D43</f>
        <v/>
      </c>
      <c r="G46" s="87" t="str">
        <f>'Etape 2'!E43</f>
        <v/>
      </c>
      <c r="H46" s="87" t="str">
        <f>'Etape 2'!F43</f>
        <v/>
      </c>
      <c r="I46" s="87" t="str">
        <f>'Etape 2'!G43</f>
        <v/>
      </c>
      <c r="J46" s="87" t="str">
        <f>'Etape 2'!H43</f>
        <v/>
      </c>
      <c r="K46" s="87" t="str">
        <f>'Etape 2'!I43</f>
        <v/>
      </c>
      <c r="L46" s="87">
        <f ca="1">'Etape 2'!J43</f>
        <v>999999</v>
      </c>
      <c r="M46" s="87">
        <f>'Etape 2'!K43</f>
        <v>999</v>
      </c>
      <c r="N46" s="87">
        <f ca="1">'Etape 2'!L43</f>
        <v>31</v>
      </c>
      <c r="O46" s="259">
        <f t="shared" si="43"/>
        <v>0.3</v>
      </c>
      <c r="P46" s="259">
        <f t="shared" si="44"/>
        <v>1.1000000000000001</v>
      </c>
      <c r="Q46" s="260">
        <f t="shared" si="45"/>
        <v>0</v>
      </c>
      <c r="R46" s="261">
        <f t="shared" si="89"/>
        <v>0</v>
      </c>
      <c r="S46" s="87">
        <f>IF(ISBLANK('Etape 2'!N43),0,VLOOKUP('Etape 2'!N43,Matrix_Uebersetzung,2,FALSE))</f>
        <v>0</v>
      </c>
      <c r="T46" s="87">
        <f>IF(ISBLANK('Etape 2'!O43),0,VLOOKUP('Etape 2'!O43,Matrix_Uebersetzung,2,FALSE))</f>
        <v>0</v>
      </c>
      <c r="U46" s="87">
        <f>IF(ISBLANK('Etape 2'!P43),0,VLOOKUP('Etape 2'!P43,Matrix_Uebersetzung,2,FALSE))</f>
        <v>0</v>
      </c>
      <c r="V46" s="87" t="str">
        <f>'Etape 2'!Q43</f>
        <v/>
      </c>
      <c r="W46" s="87">
        <f>'Etape 2'!R43</f>
        <v>0</v>
      </c>
      <c r="X46" s="87" t="str">
        <f>'Etape 2'!S43</f>
        <v/>
      </c>
      <c r="Y46" s="89" t="str">
        <f>'Etape 2'!T43</f>
        <v/>
      </c>
      <c r="Z46" s="87">
        <f>'Etape 2'!U43</f>
        <v>0</v>
      </c>
      <c r="AA46" s="87" t="str">
        <f>'Etape 2'!V43</f>
        <v/>
      </c>
      <c r="AB46" s="87">
        <f>IF(ISNUMBER('Etape 2'!W43),'Etape 2'!W43,0)</f>
        <v>0</v>
      </c>
      <c r="AC46" s="87">
        <f>IF(ISNUMBER('Etape 2'!X43),'Etape 2'!X43,0)</f>
        <v>0</v>
      </c>
      <c r="AD46" s="87">
        <f>IF(ISNUMBER('Etape 2'!Y43),'Etape 2'!Y43,0)</f>
        <v>0</v>
      </c>
      <c r="AE46" s="87">
        <f>IF(ISNUMBER('Etape 2'!Z43),'Etape 2'!Z43,0)</f>
        <v>0</v>
      </c>
      <c r="AF46" s="86">
        <f t="shared" si="74"/>
        <v>999</v>
      </c>
      <c r="AG46" s="288">
        <f t="shared" si="75"/>
        <v>0.25</v>
      </c>
      <c r="AH46" s="181" t="e">
        <f t="shared" si="46"/>
        <v>#VALUE!</v>
      </c>
      <c r="AI46" s="181" t="e">
        <f t="shared" si="76"/>
        <v>#VALUE!</v>
      </c>
      <c r="AJ46" s="86">
        <f t="shared" si="48"/>
        <v>200</v>
      </c>
      <c r="AK46" s="91" t="e">
        <f t="shared" si="49"/>
        <v>#N/A</v>
      </c>
      <c r="AL46" s="91" t="e">
        <f t="shared" si="50"/>
        <v>#N/A</v>
      </c>
      <c r="AM46" s="91">
        <f t="shared" si="51"/>
        <v>6</v>
      </c>
      <c r="AN46" s="91" t="e">
        <f t="shared" si="77"/>
        <v>#N/A</v>
      </c>
      <c r="AO46" s="91" t="e">
        <f t="shared" si="78"/>
        <v>#N/A</v>
      </c>
      <c r="AP46" s="21" t="e">
        <f t="shared" si="52"/>
        <v>#N/A</v>
      </c>
      <c r="AQ46" s="21" t="e">
        <f t="shared" si="53"/>
        <v>#N/A</v>
      </c>
      <c r="AR46" s="92" t="str">
        <f t="shared" si="79"/>
        <v/>
      </c>
      <c r="AS46" s="21" t="str">
        <f t="shared" si="80"/>
        <v/>
      </c>
      <c r="AT46" s="59" t="str">
        <f t="shared" si="54"/>
        <v/>
      </c>
      <c r="AU46" s="105">
        <f t="shared" si="55"/>
        <v>1</v>
      </c>
      <c r="AV46" s="105">
        <f t="shared" si="56"/>
        <v>1</v>
      </c>
      <c r="AW46" s="58">
        <f t="shared" si="88"/>
        <v>2</v>
      </c>
      <c r="AX46" s="58">
        <f t="shared" si="57"/>
        <v>3</v>
      </c>
      <c r="AY46" s="58" t="str">
        <f t="shared" si="58"/>
        <v>avec vannes</v>
      </c>
      <c r="AZ46" s="58" t="str">
        <f t="shared" si="59"/>
        <v>fermé</v>
      </c>
      <c r="BA46" s="60">
        <f t="shared" si="90"/>
        <v>0</v>
      </c>
      <c r="BB46" s="60">
        <f t="shared" si="90"/>
        <v>0</v>
      </c>
      <c r="BC46" s="60">
        <f t="shared" si="90"/>
        <v>0</v>
      </c>
      <c r="BD46" s="60">
        <f t="shared" si="90"/>
        <v>0</v>
      </c>
      <c r="BE46" s="286" t="str">
        <f t="shared" si="61"/>
        <v/>
      </c>
      <c r="BF46" s="58" t="str">
        <f t="shared" si="82"/>
        <v/>
      </c>
      <c r="BG46" s="59" t="str">
        <f t="shared" si="62"/>
        <v/>
      </c>
      <c r="BH46" s="158">
        <f t="shared" ca="1" si="63"/>
        <v>1</v>
      </c>
      <c r="BI46" s="60">
        <f t="shared" ca="1" si="64"/>
        <v>0.15</v>
      </c>
      <c r="BJ46" s="60">
        <f t="shared" si="65"/>
        <v>0.2</v>
      </c>
      <c r="BK46" s="60" t="str">
        <f t="shared" si="83"/>
        <v/>
      </c>
      <c r="BL46" s="21" t="str">
        <f t="shared" si="84"/>
        <v/>
      </c>
      <c r="BM46" s="264" t="str">
        <f t="shared" si="66"/>
        <v/>
      </c>
      <c r="BN46" s="60" t="str">
        <f t="shared" si="85"/>
        <v/>
      </c>
      <c r="BO46" s="136">
        <f t="shared" si="86"/>
        <v>0</v>
      </c>
      <c r="BP46" s="59">
        <f t="shared" si="87"/>
        <v>0</v>
      </c>
      <c r="BQ46" s="136">
        <f t="shared" ca="1" si="68"/>
        <v>1231</v>
      </c>
      <c r="BR46" s="136">
        <f t="shared" ca="1" si="69"/>
        <v>1000.1029900332226</v>
      </c>
      <c r="BS46" s="136">
        <f t="shared" ca="1" si="70"/>
        <v>1468800.1029900333</v>
      </c>
      <c r="BT46" s="136">
        <f t="shared" ca="1" si="71"/>
        <v>313875.02571579244</v>
      </c>
      <c r="BU46" s="136">
        <f t="shared" ca="1" si="72"/>
        <v>1000.1029900332226</v>
      </c>
    </row>
    <row r="47" spans="1:73" x14ac:dyDescent="0.2">
      <c r="A47" s="87" t="str">
        <f>'Etape 2'!A44</f>
        <v/>
      </c>
      <c r="B47" s="87">
        <f>'Etape 2'!B44</f>
        <v>32</v>
      </c>
      <c r="C47" s="87">
        <f ca="1">'Etape 2'!C44</f>
        <v>269</v>
      </c>
      <c r="D47" s="87"/>
      <c r="E47" s="61">
        <f ca="1">RANK(BU47,BU$16:BU$315,0)+COUNTIF(BU$16:BU47,BU47)-1</f>
        <v>269</v>
      </c>
      <c r="F47" s="87" t="str">
        <f>'Etape 2'!D44</f>
        <v/>
      </c>
      <c r="G47" s="87" t="str">
        <f>'Etape 2'!E44</f>
        <v/>
      </c>
      <c r="H47" s="87" t="str">
        <f>'Etape 2'!F44</f>
        <v/>
      </c>
      <c r="I47" s="87" t="str">
        <f>'Etape 2'!G44</f>
        <v/>
      </c>
      <c r="J47" s="87" t="str">
        <f>'Etape 2'!H44</f>
        <v/>
      </c>
      <c r="K47" s="87" t="str">
        <f>'Etape 2'!I44</f>
        <v/>
      </c>
      <c r="L47" s="87">
        <f ca="1">'Etape 2'!J44</f>
        <v>999999</v>
      </c>
      <c r="M47" s="87">
        <f>'Etape 2'!K44</f>
        <v>999</v>
      </c>
      <c r="N47" s="87">
        <f ca="1">'Etape 2'!L44</f>
        <v>32</v>
      </c>
      <c r="O47" s="259">
        <f t="shared" si="43"/>
        <v>0.3</v>
      </c>
      <c r="P47" s="259">
        <f t="shared" si="44"/>
        <v>1.1000000000000001</v>
      </c>
      <c r="Q47" s="260">
        <f t="shared" si="45"/>
        <v>0</v>
      </c>
      <c r="R47" s="261">
        <f t="shared" si="89"/>
        <v>0</v>
      </c>
      <c r="S47" s="87">
        <f>IF(ISBLANK('Etape 2'!N44),0,VLOOKUP('Etape 2'!N44,Matrix_Uebersetzung,2,FALSE))</f>
        <v>0</v>
      </c>
      <c r="T47" s="87">
        <f>IF(ISBLANK('Etape 2'!O44),0,VLOOKUP('Etape 2'!O44,Matrix_Uebersetzung,2,FALSE))</f>
        <v>0</v>
      </c>
      <c r="U47" s="87">
        <f>IF(ISBLANK('Etape 2'!P44),0,VLOOKUP('Etape 2'!P44,Matrix_Uebersetzung,2,FALSE))</f>
        <v>0</v>
      </c>
      <c r="V47" s="87" t="str">
        <f>'Etape 2'!Q44</f>
        <v/>
      </c>
      <c r="W47" s="87">
        <f>'Etape 2'!R44</f>
        <v>0</v>
      </c>
      <c r="X47" s="87" t="str">
        <f>'Etape 2'!S44</f>
        <v/>
      </c>
      <c r="Y47" s="89" t="str">
        <f>'Etape 2'!T44</f>
        <v/>
      </c>
      <c r="Z47" s="87">
        <f>'Etape 2'!U44</f>
        <v>0</v>
      </c>
      <c r="AA47" s="87" t="str">
        <f>'Etape 2'!V44</f>
        <v/>
      </c>
      <c r="AB47" s="87">
        <f>IF(ISNUMBER('Etape 2'!W44),'Etape 2'!W44,0)</f>
        <v>0</v>
      </c>
      <c r="AC47" s="87">
        <f>IF(ISNUMBER('Etape 2'!X44),'Etape 2'!X44,0)</f>
        <v>0</v>
      </c>
      <c r="AD47" s="87">
        <f>IF(ISNUMBER('Etape 2'!Y44),'Etape 2'!Y44,0)</f>
        <v>0</v>
      </c>
      <c r="AE47" s="87">
        <f>IF(ISNUMBER('Etape 2'!Z44),'Etape 2'!Z44,0)</f>
        <v>0</v>
      </c>
      <c r="AF47" s="86">
        <f t="shared" si="74"/>
        <v>999</v>
      </c>
      <c r="AG47" s="288">
        <f t="shared" si="75"/>
        <v>0.25</v>
      </c>
      <c r="AH47" s="181" t="e">
        <f t="shared" si="46"/>
        <v>#VALUE!</v>
      </c>
      <c r="AI47" s="181" t="e">
        <f t="shared" si="76"/>
        <v>#VALUE!</v>
      </c>
      <c r="AJ47" s="86">
        <f t="shared" si="48"/>
        <v>200</v>
      </c>
      <c r="AK47" s="91" t="e">
        <f t="shared" si="49"/>
        <v>#N/A</v>
      </c>
      <c r="AL47" s="91" t="e">
        <f t="shared" si="50"/>
        <v>#N/A</v>
      </c>
      <c r="AM47" s="91">
        <f t="shared" si="51"/>
        <v>6</v>
      </c>
      <c r="AN47" s="91" t="e">
        <f t="shared" si="77"/>
        <v>#N/A</v>
      </c>
      <c r="AO47" s="91" t="e">
        <f t="shared" si="78"/>
        <v>#N/A</v>
      </c>
      <c r="AP47" s="21" t="e">
        <f t="shared" si="52"/>
        <v>#N/A</v>
      </c>
      <c r="AQ47" s="21" t="e">
        <f t="shared" si="53"/>
        <v>#N/A</v>
      </c>
      <c r="AR47" s="92" t="str">
        <f t="shared" si="79"/>
        <v/>
      </c>
      <c r="AS47" s="21" t="str">
        <f t="shared" si="80"/>
        <v/>
      </c>
      <c r="AT47" s="59" t="str">
        <f t="shared" si="54"/>
        <v/>
      </c>
      <c r="AU47" s="105">
        <f t="shared" si="55"/>
        <v>1</v>
      </c>
      <c r="AV47" s="105">
        <f t="shared" si="56"/>
        <v>1</v>
      </c>
      <c r="AW47" s="58">
        <f t="shared" si="88"/>
        <v>2</v>
      </c>
      <c r="AX47" s="58">
        <f t="shared" si="57"/>
        <v>3</v>
      </c>
      <c r="AY47" s="58" t="str">
        <f t="shared" si="58"/>
        <v>avec vannes</v>
      </c>
      <c r="AZ47" s="58" t="str">
        <f t="shared" si="59"/>
        <v>fermé</v>
      </c>
      <c r="BA47" s="60">
        <f t="shared" si="90"/>
        <v>0</v>
      </c>
      <c r="BB47" s="60">
        <f t="shared" si="90"/>
        <v>0</v>
      </c>
      <c r="BC47" s="60">
        <f t="shared" si="90"/>
        <v>0</v>
      </c>
      <c r="BD47" s="60">
        <f t="shared" si="90"/>
        <v>0</v>
      </c>
      <c r="BE47" s="286" t="str">
        <f t="shared" si="61"/>
        <v/>
      </c>
      <c r="BF47" s="58" t="str">
        <f t="shared" si="82"/>
        <v/>
      </c>
      <c r="BG47" s="59" t="str">
        <f t="shared" si="62"/>
        <v/>
      </c>
      <c r="BH47" s="158">
        <f t="shared" ca="1" si="63"/>
        <v>1</v>
      </c>
      <c r="BI47" s="60">
        <f t="shared" ca="1" si="64"/>
        <v>0.15</v>
      </c>
      <c r="BJ47" s="60">
        <f t="shared" si="65"/>
        <v>0.2</v>
      </c>
      <c r="BK47" s="60" t="str">
        <f t="shared" si="83"/>
        <v/>
      </c>
      <c r="BL47" s="21" t="str">
        <f t="shared" si="84"/>
        <v/>
      </c>
      <c r="BM47" s="264" t="str">
        <f t="shared" si="66"/>
        <v/>
      </c>
      <c r="BN47" s="60" t="str">
        <f t="shared" si="85"/>
        <v/>
      </c>
      <c r="BO47" s="136">
        <f t="shared" si="86"/>
        <v>0</v>
      </c>
      <c r="BP47" s="59">
        <f t="shared" si="87"/>
        <v>0</v>
      </c>
      <c r="BQ47" s="136">
        <f t="shared" ca="1" si="68"/>
        <v>1232</v>
      </c>
      <c r="BR47" s="136">
        <f t="shared" ca="1" si="69"/>
        <v>1000.1063122923588</v>
      </c>
      <c r="BS47" s="136">
        <f t="shared" ca="1" si="70"/>
        <v>1468800.1063122924</v>
      </c>
      <c r="BT47" s="136">
        <f t="shared" ca="1" si="71"/>
        <v>313875.02903805155</v>
      </c>
      <c r="BU47" s="136">
        <f t="shared" ca="1" si="72"/>
        <v>1000.1063122923588</v>
      </c>
    </row>
    <row r="48" spans="1:73" x14ac:dyDescent="0.2">
      <c r="A48" s="87" t="str">
        <f>'Etape 2'!A45</f>
        <v/>
      </c>
      <c r="B48" s="87">
        <f>'Etape 2'!B45</f>
        <v>33</v>
      </c>
      <c r="C48" s="87">
        <f ca="1">'Etape 2'!C45</f>
        <v>268</v>
      </c>
      <c r="D48" s="87"/>
      <c r="E48" s="61">
        <f ca="1">RANK(BU48,BU$16:BU$315,0)+COUNTIF(BU$16:BU48,BU48)-1</f>
        <v>268</v>
      </c>
      <c r="F48" s="87" t="str">
        <f>'Etape 2'!D45</f>
        <v/>
      </c>
      <c r="G48" s="87" t="str">
        <f>'Etape 2'!E45</f>
        <v/>
      </c>
      <c r="H48" s="87" t="str">
        <f>'Etape 2'!F45</f>
        <v/>
      </c>
      <c r="I48" s="87" t="str">
        <f>'Etape 2'!G45</f>
        <v/>
      </c>
      <c r="J48" s="87" t="str">
        <f>'Etape 2'!H45</f>
        <v/>
      </c>
      <c r="K48" s="87" t="str">
        <f>'Etape 2'!I45</f>
        <v/>
      </c>
      <c r="L48" s="87">
        <f ca="1">'Etape 2'!J45</f>
        <v>999999</v>
      </c>
      <c r="M48" s="87">
        <f>'Etape 2'!K45</f>
        <v>999</v>
      </c>
      <c r="N48" s="87">
        <f ca="1">'Etape 2'!L45</f>
        <v>33</v>
      </c>
      <c r="O48" s="259">
        <f t="shared" si="43"/>
        <v>0.3</v>
      </c>
      <c r="P48" s="259">
        <f t="shared" si="44"/>
        <v>1.1000000000000001</v>
      </c>
      <c r="Q48" s="260">
        <f t="shared" si="45"/>
        <v>0</v>
      </c>
      <c r="R48" s="261">
        <f t="shared" si="89"/>
        <v>0</v>
      </c>
      <c r="S48" s="87">
        <f>IF(ISBLANK('Etape 2'!N45),0,VLOOKUP('Etape 2'!N45,Matrix_Uebersetzung,2,FALSE))</f>
        <v>0</v>
      </c>
      <c r="T48" s="87">
        <f>IF(ISBLANK('Etape 2'!O45),0,VLOOKUP('Etape 2'!O45,Matrix_Uebersetzung,2,FALSE))</f>
        <v>0</v>
      </c>
      <c r="U48" s="87">
        <f>IF(ISBLANK('Etape 2'!P45),0,VLOOKUP('Etape 2'!P45,Matrix_Uebersetzung,2,FALSE))</f>
        <v>0</v>
      </c>
      <c r="V48" s="87" t="str">
        <f>'Etape 2'!Q45</f>
        <v/>
      </c>
      <c r="W48" s="87">
        <f>'Etape 2'!R45</f>
        <v>0</v>
      </c>
      <c r="X48" s="87" t="str">
        <f>'Etape 2'!S45</f>
        <v/>
      </c>
      <c r="Y48" s="89" t="str">
        <f>'Etape 2'!T45</f>
        <v/>
      </c>
      <c r="Z48" s="87">
        <f>'Etape 2'!U45</f>
        <v>0</v>
      </c>
      <c r="AA48" s="87" t="str">
        <f>'Etape 2'!V45</f>
        <v/>
      </c>
      <c r="AB48" s="87">
        <f>IF(ISNUMBER('Etape 2'!W45),'Etape 2'!W45,0)</f>
        <v>0</v>
      </c>
      <c r="AC48" s="87">
        <f>IF(ISNUMBER('Etape 2'!X45),'Etape 2'!X45,0)</f>
        <v>0</v>
      </c>
      <c r="AD48" s="87">
        <f>IF(ISNUMBER('Etape 2'!Y45),'Etape 2'!Y45,0)</f>
        <v>0</v>
      </c>
      <c r="AE48" s="87">
        <f>IF(ISNUMBER('Etape 2'!Z45),'Etape 2'!Z45,0)</f>
        <v>0</v>
      </c>
      <c r="AF48" s="86">
        <f t="shared" si="74"/>
        <v>999</v>
      </c>
      <c r="AG48" s="288">
        <f t="shared" si="75"/>
        <v>0.25</v>
      </c>
      <c r="AH48" s="181" t="e">
        <f t="shared" si="46"/>
        <v>#VALUE!</v>
      </c>
      <c r="AI48" s="181" t="e">
        <f t="shared" si="76"/>
        <v>#VALUE!</v>
      </c>
      <c r="AJ48" s="86">
        <f t="shared" si="48"/>
        <v>200</v>
      </c>
      <c r="AK48" s="91" t="e">
        <f t="shared" si="49"/>
        <v>#N/A</v>
      </c>
      <c r="AL48" s="91" t="e">
        <f t="shared" ref="AL48:AL79" si="91">VLOOKUP(AA48,Matrix_Motor.EffKl.IEID,2,1)</f>
        <v>#N/A</v>
      </c>
      <c r="AM48" s="91">
        <f t="shared" ref="AM48:AM79" si="92">Wert_Motor.IEID.neu.Schritt2</f>
        <v>6</v>
      </c>
      <c r="AN48" s="91" t="e">
        <f t="shared" si="77"/>
        <v>#N/A</v>
      </c>
      <c r="AO48" s="91" t="e">
        <f t="shared" si="78"/>
        <v>#N/A</v>
      </c>
      <c r="AP48" s="21" t="e">
        <f t="shared" ref="AP48:AP79" si="93">(VLOOKUP(AN48,Matrix_Motor.KombiKl.EffParameter,3,0)*(LOG(AJ48))^3+VLOOKUP(AN48,Matrix_Motor.KombiKl.EffParameter,4,0)*(LOG(AJ48))^2+VLOOKUP(AN48,Matrix_Motor.KombiKl.EffParameter,5,0)*(LOG(AJ48))+VLOOKUP(AN48,Matrix_Motor.KombiKl.EffParameter,6,0))/100</f>
        <v>#N/A</v>
      </c>
      <c r="AQ48" s="21" t="e">
        <f t="shared" ref="AQ48:AQ79" si="94">(VLOOKUP(AO48,Matrix_Motor.KombiKl.EffParameter,3,0)*(LOG(AJ48))^3+VLOOKUP(AO48,Matrix_Motor.KombiKl.EffParameter,4,0)*(LOG(AJ48))^2+VLOOKUP(AO48,Matrix_Motor.KombiKl.EffParameter,5,0)*(LOG(AJ48))+VLOOKUP(AO48,Matrix_Motor.KombiKl.EffParameter,6,0))/100</f>
        <v>#N/A</v>
      </c>
      <c r="AR48" s="92" t="str">
        <f t="shared" si="79"/>
        <v/>
      </c>
      <c r="AS48" s="21" t="str">
        <f t="shared" si="80"/>
        <v/>
      </c>
      <c r="AT48" s="59" t="str">
        <f t="shared" si="54"/>
        <v/>
      </c>
      <c r="AU48" s="105">
        <f t="shared" ref="AU48:AU79" si="95">Wert_Netztyp.Zahl.Schritt2</f>
        <v>1</v>
      </c>
      <c r="AV48" s="105">
        <f t="shared" ref="AV48:AV79" si="96">IF(ISERROR(VLOOKUP(S48,Matrix_Kreislauf.Zahl,2,0)),Wert_Kreislauf.Zahl.Schritt2,VLOOKUP(S48,Matrix_Kreislauf.Zahl,2,0))</f>
        <v>1</v>
      </c>
      <c r="AW48" s="58">
        <f t="shared" si="88"/>
        <v>2</v>
      </c>
      <c r="AX48" s="58">
        <f t="shared" ref="AX48:AX79" si="97">VLOOKUP(AW48,Matrix_Netztyp.Kreislauf.Spalte,6,0)</f>
        <v>3</v>
      </c>
      <c r="AY48" s="58" t="str">
        <f t="shared" ref="AY48:AY79" si="98">VLOOKUP(AW48,Matrix_Netztyp.Kreislauf.Spalte,2,0)</f>
        <v>avec vannes</v>
      </c>
      <c r="AZ48" s="58" t="str">
        <f t="shared" ref="AZ48:AZ79" si="99">VLOOKUP(AW48,Matrix_Netztyp.Kreislauf.Spalte,4,0)</f>
        <v>fermé</v>
      </c>
      <c r="BA48" s="60">
        <f t="shared" si="90"/>
        <v>0</v>
      </c>
      <c r="BB48" s="60">
        <f t="shared" si="90"/>
        <v>0</v>
      </c>
      <c r="BC48" s="60">
        <f t="shared" si="90"/>
        <v>0</v>
      </c>
      <c r="BD48" s="60">
        <f t="shared" si="90"/>
        <v>0</v>
      </c>
      <c r="BE48" s="286" t="str">
        <f t="shared" si="61"/>
        <v/>
      </c>
      <c r="BF48" s="58" t="str">
        <f t="shared" si="82"/>
        <v/>
      </c>
      <c r="BG48" s="59" t="str">
        <f t="shared" si="62"/>
        <v/>
      </c>
      <c r="BH48" s="158">
        <f t="shared" ca="1" si="63"/>
        <v>1</v>
      </c>
      <c r="BI48" s="60">
        <f t="shared" ca="1" si="64"/>
        <v>0.15</v>
      </c>
      <c r="BJ48" s="60">
        <f t="shared" si="65"/>
        <v>0.2</v>
      </c>
      <c r="BK48" s="60" t="str">
        <f t="shared" si="83"/>
        <v/>
      </c>
      <c r="BL48" s="21" t="str">
        <f t="shared" si="84"/>
        <v/>
      </c>
      <c r="BM48" s="264" t="str">
        <f t="shared" si="66"/>
        <v/>
      </c>
      <c r="BN48" s="60" t="str">
        <f t="shared" si="85"/>
        <v/>
      </c>
      <c r="BO48" s="136">
        <f t="shared" si="86"/>
        <v>0</v>
      </c>
      <c r="BP48" s="59">
        <f t="shared" si="87"/>
        <v>0</v>
      </c>
      <c r="BQ48" s="136">
        <f t="shared" ca="1" si="68"/>
        <v>1233</v>
      </c>
      <c r="BR48" s="136">
        <f t="shared" ca="1" si="69"/>
        <v>1000.109634551495</v>
      </c>
      <c r="BS48" s="136">
        <f t="shared" ca="1" si="70"/>
        <v>1468800.1096345515</v>
      </c>
      <c r="BT48" s="136">
        <f t="shared" ca="1" si="71"/>
        <v>313875.03236031072</v>
      </c>
      <c r="BU48" s="136">
        <f t="shared" ca="1" si="72"/>
        <v>1000.109634551495</v>
      </c>
    </row>
    <row r="49" spans="1:73" x14ac:dyDescent="0.2">
      <c r="A49" s="87" t="str">
        <f>'Etape 2'!A46</f>
        <v/>
      </c>
      <c r="B49" s="87">
        <f>'Etape 2'!B46</f>
        <v>34</v>
      </c>
      <c r="C49" s="87">
        <f ca="1">'Etape 2'!C46</f>
        <v>267</v>
      </c>
      <c r="D49" s="87"/>
      <c r="E49" s="61">
        <f ca="1">RANK(BU49,BU$16:BU$315,0)+COUNTIF(BU$16:BU49,BU49)-1</f>
        <v>267</v>
      </c>
      <c r="F49" s="87" t="str">
        <f>'Etape 2'!D46</f>
        <v/>
      </c>
      <c r="G49" s="87" t="str">
        <f>'Etape 2'!E46</f>
        <v/>
      </c>
      <c r="H49" s="87" t="str">
        <f>'Etape 2'!F46</f>
        <v/>
      </c>
      <c r="I49" s="87" t="str">
        <f>'Etape 2'!G46</f>
        <v/>
      </c>
      <c r="J49" s="87" t="str">
        <f>'Etape 2'!H46</f>
        <v/>
      </c>
      <c r="K49" s="87" t="str">
        <f>'Etape 2'!I46</f>
        <v/>
      </c>
      <c r="L49" s="87">
        <f ca="1">'Etape 2'!J46</f>
        <v>999999</v>
      </c>
      <c r="M49" s="87">
        <f>'Etape 2'!K46</f>
        <v>999</v>
      </c>
      <c r="N49" s="87">
        <f ca="1">'Etape 2'!L46</f>
        <v>34</v>
      </c>
      <c r="O49" s="259">
        <f t="shared" si="43"/>
        <v>0.3</v>
      </c>
      <c r="P49" s="259">
        <f t="shared" si="44"/>
        <v>1.1000000000000001</v>
      </c>
      <c r="Q49" s="260">
        <f t="shared" si="45"/>
        <v>0</v>
      </c>
      <c r="R49" s="261">
        <f t="shared" si="89"/>
        <v>0</v>
      </c>
      <c r="S49" s="87">
        <f>IF(ISBLANK('Etape 2'!N46),0,VLOOKUP('Etape 2'!N46,Matrix_Uebersetzung,2,FALSE))</f>
        <v>0</v>
      </c>
      <c r="T49" s="87">
        <f>IF(ISBLANK('Etape 2'!O46),0,VLOOKUP('Etape 2'!O46,Matrix_Uebersetzung,2,FALSE))</f>
        <v>0</v>
      </c>
      <c r="U49" s="87">
        <f>IF(ISBLANK('Etape 2'!P46),0,VLOOKUP('Etape 2'!P46,Matrix_Uebersetzung,2,FALSE))</f>
        <v>0</v>
      </c>
      <c r="V49" s="87" t="str">
        <f>'Etape 2'!Q46</f>
        <v/>
      </c>
      <c r="W49" s="87">
        <f>'Etape 2'!R46</f>
        <v>0</v>
      </c>
      <c r="X49" s="87" t="str">
        <f>'Etape 2'!S46</f>
        <v/>
      </c>
      <c r="Y49" s="89" t="str">
        <f>'Etape 2'!T46</f>
        <v/>
      </c>
      <c r="Z49" s="87">
        <f>'Etape 2'!U46</f>
        <v>0</v>
      </c>
      <c r="AA49" s="87" t="str">
        <f>'Etape 2'!V46</f>
        <v/>
      </c>
      <c r="AB49" s="87">
        <f>IF(ISNUMBER('Etape 2'!W46),'Etape 2'!W46,0)</f>
        <v>0</v>
      </c>
      <c r="AC49" s="87">
        <f>IF(ISNUMBER('Etape 2'!X46),'Etape 2'!X46,0)</f>
        <v>0</v>
      </c>
      <c r="AD49" s="87">
        <f>IF(ISNUMBER('Etape 2'!Y46),'Etape 2'!Y46,0)</f>
        <v>0</v>
      </c>
      <c r="AE49" s="87">
        <f>IF(ISNUMBER('Etape 2'!Z46),'Etape 2'!Z46,0)</f>
        <v>0</v>
      </c>
      <c r="AF49" s="86">
        <f t="shared" si="74"/>
        <v>999</v>
      </c>
      <c r="AG49" s="288">
        <f t="shared" si="75"/>
        <v>0.25</v>
      </c>
      <c r="AH49" s="181" t="e">
        <f t="shared" si="46"/>
        <v>#VALUE!</v>
      </c>
      <c r="AI49" s="181" t="e">
        <f t="shared" si="76"/>
        <v>#VALUE!</v>
      </c>
      <c r="AJ49" s="86">
        <f t="shared" si="48"/>
        <v>200</v>
      </c>
      <c r="AK49" s="91" t="e">
        <f t="shared" si="49"/>
        <v>#N/A</v>
      </c>
      <c r="AL49" s="91" t="e">
        <f t="shared" si="91"/>
        <v>#N/A</v>
      </c>
      <c r="AM49" s="91">
        <f t="shared" si="92"/>
        <v>6</v>
      </c>
      <c r="AN49" s="91" t="e">
        <f t="shared" si="77"/>
        <v>#N/A</v>
      </c>
      <c r="AO49" s="91" t="e">
        <f t="shared" si="78"/>
        <v>#N/A</v>
      </c>
      <c r="AP49" s="21" t="e">
        <f t="shared" si="93"/>
        <v>#N/A</v>
      </c>
      <c r="AQ49" s="21" t="e">
        <f t="shared" si="94"/>
        <v>#N/A</v>
      </c>
      <c r="AR49" s="92" t="str">
        <f t="shared" si="79"/>
        <v/>
      </c>
      <c r="AS49" s="21" t="str">
        <f t="shared" si="80"/>
        <v/>
      </c>
      <c r="AT49" s="59" t="str">
        <f t="shared" si="54"/>
        <v/>
      </c>
      <c r="AU49" s="105">
        <f t="shared" si="95"/>
        <v>1</v>
      </c>
      <c r="AV49" s="105">
        <f t="shared" si="96"/>
        <v>1</v>
      </c>
      <c r="AW49" s="58">
        <f t="shared" si="88"/>
        <v>2</v>
      </c>
      <c r="AX49" s="58">
        <f t="shared" si="97"/>
        <v>3</v>
      </c>
      <c r="AY49" s="58" t="str">
        <f t="shared" si="98"/>
        <v>avec vannes</v>
      </c>
      <c r="AZ49" s="58" t="str">
        <f t="shared" si="99"/>
        <v>fermé</v>
      </c>
      <c r="BA49" s="60">
        <f t="shared" si="90"/>
        <v>0</v>
      </c>
      <c r="BB49" s="60">
        <f t="shared" si="90"/>
        <v>0</v>
      </c>
      <c r="BC49" s="60">
        <f t="shared" si="90"/>
        <v>0</v>
      </c>
      <c r="BD49" s="60">
        <f t="shared" si="90"/>
        <v>0</v>
      </c>
      <c r="BE49" s="286" t="str">
        <f t="shared" si="61"/>
        <v/>
      </c>
      <c r="BF49" s="58" t="str">
        <f t="shared" si="82"/>
        <v/>
      </c>
      <c r="BG49" s="59" t="str">
        <f t="shared" si="62"/>
        <v/>
      </c>
      <c r="BH49" s="158">
        <f t="shared" ca="1" si="63"/>
        <v>1</v>
      </c>
      <c r="BI49" s="60">
        <f t="shared" ca="1" si="64"/>
        <v>0.15</v>
      </c>
      <c r="BJ49" s="60">
        <f t="shared" si="65"/>
        <v>0.2</v>
      </c>
      <c r="BK49" s="60" t="str">
        <f t="shared" si="83"/>
        <v/>
      </c>
      <c r="BL49" s="21" t="str">
        <f t="shared" si="84"/>
        <v/>
      </c>
      <c r="BM49" s="264" t="str">
        <f t="shared" si="66"/>
        <v/>
      </c>
      <c r="BN49" s="60" t="str">
        <f t="shared" si="85"/>
        <v/>
      </c>
      <c r="BO49" s="136">
        <f t="shared" si="86"/>
        <v>0</v>
      </c>
      <c r="BP49" s="59">
        <f t="shared" si="87"/>
        <v>0</v>
      </c>
      <c r="BQ49" s="136">
        <f t="shared" ca="1" si="68"/>
        <v>1234</v>
      </c>
      <c r="BR49" s="136">
        <f t="shared" ca="1" si="69"/>
        <v>1000.1129568106312</v>
      </c>
      <c r="BS49" s="136">
        <f t="shared" ca="1" si="70"/>
        <v>1468800.1129568107</v>
      </c>
      <c r="BT49" s="136">
        <f t="shared" ca="1" si="71"/>
        <v>313875.03568256984</v>
      </c>
      <c r="BU49" s="136">
        <f t="shared" ca="1" si="72"/>
        <v>1000.1129568106312</v>
      </c>
    </row>
    <row r="50" spans="1:73" x14ac:dyDescent="0.2">
      <c r="A50" s="87" t="str">
        <f>'Etape 2'!A47</f>
        <v/>
      </c>
      <c r="B50" s="87">
        <f>'Etape 2'!B47</f>
        <v>35</v>
      </c>
      <c r="C50" s="87">
        <f ca="1">'Etape 2'!C47</f>
        <v>266</v>
      </c>
      <c r="D50" s="87"/>
      <c r="E50" s="61">
        <f ca="1">RANK(BU50,BU$16:BU$315,0)+COUNTIF(BU$16:BU50,BU50)-1</f>
        <v>266</v>
      </c>
      <c r="F50" s="87" t="str">
        <f>'Etape 2'!D47</f>
        <v/>
      </c>
      <c r="G50" s="87" t="str">
        <f>'Etape 2'!E47</f>
        <v/>
      </c>
      <c r="H50" s="87" t="str">
        <f>'Etape 2'!F47</f>
        <v/>
      </c>
      <c r="I50" s="87" t="str">
        <f>'Etape 2'!G47</f>
        <v/>
      </c>
      <c r="J50" s="87" t="str">
        <f>'Etape 2'!H47</f>
        <v/>
      </c>
      <c r="K50" s="87" t="str">
        <f>'Etape 2'!I47</f>
        <v/>
      </c>
      <c r="L50" s="87">
        <f ca="1">'Etape 2'!J47</f>
        <v>999999</v>
      </c>
      <c r="M50" s="87">
        <f>'Etape 2'!K47</f>
        <v>999</v>
      </c>
      <c r="N50" s="87">
        <f ca="1">'Etape 2'!L47</f>
        <v>35</v>
      </c>
      <c r="O50" s="259">
        <f t="shared" si="43"/>
        <v>0.3</v>
      </c>
      <c r="P50" s="259">
        <f t="shared" si="44"/>
        <v>1.1000000000000001</v>
      </c>
      <c r="Q50" s="260">
        <f t="shared" si="45"/>
        <v>0</v>
      </c>
      <c r="R50" s="261">
        <f t="shared" si="89"/>
        <v>0</v>
      </c>
      <c r="S50" s="87">
        <f>IF(ISBLANK('Etape 2'!N47),0,VLOOKUP('Etape 2'!N47,Matrix_Uebersetzung,2,FALSE))</f>
        <v>0</v>
      </c>
      <c r="T50" s="87">
        <f>IF(ISBLANK('Etape 2'!O47),0,VLOOKUP('Etape 2'!O47,Matrix_Uebersetzung,2,FALSE))</f>
        <v>0</v>
      </c>
      <c r="U50" s="87">
        <f>IF(ISBLANK('Etape 2'!P47),0,VLOOKUP('Etape 2'!P47,Matrix_Uebersetzung,2,FALSE))</f>
        <v>0</v>
      </c>
      <c r="V50" s="87" t="str">
        <f>'Etape 2'!Q47</f>
        <v/>
      </c>
      <c r="W50" s="87">
        <f>'Etape 2'!R47</f>
        <v>0</v>
      </c>
      <c r="X50" s="87" t="str">
        <f>'Etape 2'!S47</f>
        <v/>
      </c>
      <c r="Y50" s="89" t="str">
        <f>'Etape 2'!T47</f>
        <v/>
      </c>
      <c r="Z50" s="87">
        <f>'Etape 2'!U47</f>
        <v>0</v>
      </c>
      <c r="AA50" s="87" t="str">
        <f>'Etape 2'!V47</f>
        <v/>
      </c>
      <c r="AB50" s="87">
        <f>IF(ISNUMBER('Etape 2'!W47),'Etape 2'!W47,0)</f>
        <v>0</v>
      </c>
      <c r="AC50" s="87">
        <f>IF(ISNUMBER('Etape 2'!X47),'Etape 2'!X47,0)</f>
        <v>0</v>
      </c>
      <c r="AD50" s="87">
        <f>IF(ISNUMBER('Etape 2'!Y47),'Etape 2'!Y47,0)</f>
        <v>0</v>
      </c>
      <c r="AE50" s="87">
        <f>IF(ISNUMBER('Etape 2'!Z47),'Etape 2'!Z47,0)</f>
        <v>0</v>
      </c>
      <c r="AF50" s="86">
        <f t="shared" si="74"/>
        <v>999</v>
      </c>
      <c r="AG50" s="288">
        <f t="shared" si="75"/>
        <v>0.25</v>
      </c>
      <c r="AH50" s="181" t="e">
        <f t="shared" si="46"/>
        <v>#VALUE!</v>
      </c>
      <c r="AI50" s="181" t="e">
        <f t="shared" si="76"/>
        <v>#VALUE!</v>
      </c>
      <c r="AJ50" s="86">
        <f t="shared" si="48"/>
        <v>200</v>
      </c>
      <c r="AK50" s="91" t="e">
        <f t="shared" si="49"/>
        <v>#N/A</v>
      </c>
      <c r="AL50" s="91" t="e">
        <f t="shared" si="91"/>
        <v>#N/A</v>
      </c>
      <c r="AM50" s="91">
        <f t="shared" si="92"/>
        <v>6</v>
      </c>
      <c r="AN50" s="91" t="e">
        <f t="shared" si="77"/>
        <v>#N/A</v>
      </c>
      <c r="AO50" s="91" t="e">
        <f t="shared" si="78"/>
        <v>#N/A</v>
      </c>
      <c r="AP50" s="21" t="e">
        <f t="shared" si="93"/>
        <v>#N/A</v>
      </c>
      <c r="AQ50" s="21" t="e">
        <f t="shared" si="94"/>
        <v>#N/A</v>
      </c>
      <c r="AR50" s="92" t="str">
        <f t="shared" si="79"/>
        <v/>
      </c>
      <c r="AS50" s="21" t="str">
        <f t="shared" si="80"/>
        <v/>
      </c>
      <c r="AT50" s="59" t="str">
        <f t="shared" si="54"/>
        <v/>
      </c>
      <c r="AU50" s="105">
        <f t="shared" si="95"/>
        <v>1</v>
      </c>
      <c r="AV50" s="105">
        <f t="shared" si="96"/>
        <v>1</v>
      </c>
      <c r="AW50" s="58">
        <f t="shared" si="88"/>
        <v>2</v>
      </c>
      <c r="AX50" s="58">
        <f t="shared" si="97"/>
        <v>3</v>
      </c>
      <c r="AY50" s="58" t="str">
        <f t="shared" si="98"/>
        <v>avec vannes</v>
      </c>
      <c r="AZ50" s="58" t="str">
        <f t="shared" si="99"/>
        <v>fermé</v>
      </c>
      <c r="BA50" s="60">
        <f t="shared" si="90"/>
        <v>0</v>
      </c>
      <c r="BB50" s="60">
        <f t="shared" si="90"/>
        <v>0</v>
      </c>
      <c r="BC50" s="60">
        <f t="shared" si="90"/>
        <v>0</v>
      </c>
      <c r="BD50" s="60">
        <f t="shared" si="90"/>
        <v>0</v>
      </c>
      <c r="BE50" s="286" t="str">
        <f t="shared" si="61"/>
        <v/>
      </c>
      <c r="BF50" s="58" t="str">
        <f t="shared" si="82"/>
        <v/>
      </c>
      <c r="BG50" s="59" t="str">
        <f t="shared" si="62"/>
        <v/>
      </c>
      <c r="BH50" s="158">
        <f t="shared" ca="1" si="63"/>
        <v>1</v>
      </c>
      <c r="BI50" s="60">
        <f t="shared" ca="1" si="64"/>
        <v>0.15</v>
      </c>
      <c r="BJ50" s="60">
        <f t="shared" si="65"/>
        <v>0.2</v>
      </c>
      <c r="BK50" s="60" t="str">
        <f t="shared" si="83"/>
        <v/>
      </c>
      <c r="BL50" s="21" t="str">
        <f t="shared" si="84"/>
        <v/>
      </c>
      <c r="BM50" s="264" t="str">
        <f t="shared" si="66"/>
        <v/>
      </c>
      <c r="BN50" s="60" t="str">
        <f t="shared" si="85"/>
        <v/>
      </c>
      <c r="BO50" s="136">
        <f t="shared" si="86"/>
        <v>0</v>
      </c>
      <c r="BP50" s="59">
        <f t="shared" si="87"/>
        <v>0</v>
      </c>
      <c r="BQ50" s="136">
        <f t="shared" ca="1" si="68"/>
        <v>1235</v>
      </c>
      <c r="BR50" s="136">
        <f t="shared" ca="1" si="69"/>
        <v>1000.1162790697674</v>
      </c>
      <c r="BS50" s="136">
        <f t="shared" ca="1" si="70"/>
        <v>1468800.1162790698</v>
      </c>
      <c r="BT50" s="136">
        <f t="shared" ca="1" si="71"/>
        <v>313875.03900482896</v>
      </c>
      <c r="BU50" s="136">
        <f t="shared" ca="1" si="72"/>
        <v>1000.1162790697674</v>
      </c>
    </row>
    <row r="51" spans="1:73" x14ac:dyDescent="0.2">
      <c r="A51" s="87" t="str">
        <f>'Etape 2'!A48</f>
        <v/>
      </c>
      <c r="B51" s="87">
        <f>'Etape 2'!B48</f>
        <v>36</v>
      </c>
      <c r="C51" s="87">
        <f ca="1">'Etape 2'!C48</f>
        <v>265</v>
      </c>
      <c r="D51" s="87"/>
      <c r="E51" s="61">
        <f ca="1">RANK(BU51,BU$16:BU$315,0)+COUNTIF(BU$16:BU51,BU51)-1</f>
        <v>265</v>
      </c>
      <c r="F51" s="87" t="str">
        <f>'Etape 2'!D48</f>
        <v/>
      </c>
      <c r="G51" s="87" t="str">
        <f>'Etape 2'!E48</f>
        <v/>
      </c>
      <c r="H51" s="87" t="str">
        <f>'Etape 2'!F48</f>
        <v/>
      </c>
      <c r="I51" s="87" t="str">
        <f>'Etape 2'!G48</f>
        <v/>
      </c>
      <c r="J51" s="87" t="str">
        <f>'Etape 2'!H48</f>
        <v/>
      </c>
      <c r="K51" s="87" t="str">
        <f>'Etape 2'!I48</f>
        <v/>
      </c>
      <c r="L51" s="87">
        <f ca="1">'Etape 2'!J48</f>
        <v>999999</v>
      </c>
      <c r="M51" s="87">
        <f>'Etape 2'!K48</f>
        <v>999</v>
      </c>
      <c r="N51" s="87">
        <f ca="1">'Etape 2'!L48</f>
        <v>36</v>
      </c>
      <c r="O51" s="259">
        <f t="shared" si="43"/>
        <v>0.3</v>
      </c>
      <c r="P51" s="259">
        <f t="shared" si="44"/>
        <v>1.1000000000000001</v>
      </c>
      <c r="Q51" s="260">
        <f t="shared" si="45"/>
        <v>0</v>
      </c>
      <c r="R51" s="261">
        <f t="shared" si="89"/>
        <v>0</v>
      </c>
      <c r="S51" s="87">
        <f>IF(ISBLANK('Etape 2'!N48),0,VLOOKUP('Etape 2'!N48,Matrix_Uebersetzung,2,FALSE))</f>
        <v>0</v>
      </c>
      <c r="T51" s="87">
        <f>IF(ISBLANK('Etape 2'!O48),0,VLOOKUP('Etape 2'!O48,Matrix_Uebersetzung,2,FALSE))</f>
        <v>0</v>
      </c>
      <c r="U51" s="87">
        <f>IF(ISBLANK('Etape 2'!P48),0,VLOOKUP('Etape 2'!P48,Matrix_Uebersetzung,2,FALSE))</f>
        <v>0</v>
      </c>
      <c r="V51" s="87" t="str">
        <f>'Etape 2'!Q48</f>
        <v/>
      </c>
      <c r="W51" s="87">
        <f>'Etape 2'!R48</f>
        <v>0</v>
      </c>
      <c r="X51" s="87" t="str">
        <f>'Etape 2'!S48</f>
        <v/>
      </c>
      <c r="Y51" s="89" t="str">
        <f>'Etape 2'!T48</f>
        <v/>
      </c>
      <c r="Z51" s="87">
        <f>'Etape 2'!U48</f>
        <v>0</v>
      </c>
      <c r="AA51" s="87" t="str">
        <f>'Etape 2'!V48</f>
        <v/>
      </c>
      <c r="AB51" s="87">
        <f>IF(ISNUMBER('Etape 2'!W48),'Etape 2'!W48,0)</f>
        <v>0</v>
      </c>
      <c r="AC51" s="87">
        <f>IF(ISNUMBER('Etape 2'!X48),'Etape 2'!X48,0)</f>
        <v>0</v>
      </c>
      <c r="AD51" s="87">
        <f>IF(ISNUMBER('Etape 2'!Y48),'Etape 2'!Y48,0)</f>
        <v>0</v>
      </c>
      <c r="AE51" s="87">
        <f>IF(ISNUMBER('Etape 2'!Z48),'Etape 2'!Z48,0)</f>
        <v>0</v>
      </c>
      <c r="AF51" s="86">
        <f t="shared" si="74"/>
        <v>999</v>
      </c>
      <c r="AG51" s="288">
        <f t="shared" si="75"/>
        <v>0.25</v>
      </c>
      <c r="AH51" s="181" t="e">
        <f t="shared" si="46"/>
        <v>#VALUE!</v>
      </c>
      <c r="AI51" s="181" t="e">
        <f t="shared" si="76"/>
        <v>#VALUE!</v>
      </c>
      <c r="AJ51" s="86">
        <f t="shared" si="48"/>
        <v>200</v>
      </c>
      <c r="AK51" s="91" t="e">
        <f t="shared" si="49"/>
        <v>#N/A</v>
      </c>
      <c r="AL51" s="91" t="e">
        <f t="shared" si="91"/>
        <v>#N/A</v>
      </c>
      <c r="AM51" s="91">
        <f t="shared" si="92"/>
        <v>6</v>
      </c>
      <c r="AN51" s="91" t="e">
        <f t="shared" si="77"/>
        <v>#N/A</v>
      </c>
      <c r="AO51" s="91" t="e">
        <f t="shared" si="78"/>
        <v>#N/A</v>
      </c>
      <c r="AP51" s="21" t="e">
        <f t="shared" si="93"/>
        <v>#N/A</v>
      </c>
      <c r="AQ51" s="21" t="e">
        <f t="shared" si="94"/>
        <v>#N/A</v>
      </c>
      <c r="AR51" s="92" t="str">
        <f t="shared" si="79"/>
        <v/>
      </c>
      <c r="AS51" s="21" t="str">
        <f t="shared" si="80"/>
        <v/>
      </c>
      <c r="AT51" s="59" t="str">
        <f t="shared" si="54"/>
        <v/>
      </c>
      <c r="AU51" s="105">
        <f t="shared" si="95"/>
        <v>1</v>
      </c>
      <c r="AV51" s="105">
        <f t="shared" si="96"/>
        <v>1</v>
      </c>
      <c r="AW51" s="58">
        <f t="shared" si="88"/>
        <v>2</v>
      </c>
      <c r="AX51" s="58">
        <f t="shared" si="97"/>
        <v>3</v>
      </c>
      <c r="AY51" s="58" t="str">
        <f t="shared" si="98"/>
        <v>avec vannes</v>
      </c>
      <c r="AZ51" s="58" t="str">
        <f t="shared" si="99"/>
        <v>fermé</v>
      </c>
      <c r="BA51" s="60">
        <f t="shared" si="90"/>
        <v>0</v>
      </c>
      <c r="BB51" s="60">
        <f t="shared" si="90"/>
        <v>0</v>
      </c>
      <c r="BC51" s="60">
        <f t="shared" si="90"/>
        <v>0</v>
      </c>
      <c r="BD51" s="60">
        <f t="shared" si="90"/>
        <v>0</v>
      </c>
      <c r="BE51" s="286" t="str">
        <f t="shared" si="61"/>
        <v/>
      </c>
      <c r="BF51" s="58" t="str">
        <f t="shared" si="82"/>
        <v/>
      </c>
      <c r="BG51" s="59" t="str">
        <f t="shared" si="62"/>
        <v/>
      </c>
      <c r="BH51" s="158">
        <f t="shared" ca="1" si="63"/>
        <v>1</v>
      </c>
      <c r="BI51" s="60">
        <f t="shared" ca="1" si="64"/>
        <v>0.15</v>
      </c>
      <c r="BJ51" s="60">
        <f t="shared" si="65"/>
        <v>0.2</v>
      </c>
      <c r="BK51" s="60" t="str">
        <f t="shared" si="83"/>
        <v/>
      </c>
      <c r="BL51" s="21" t="str">
        <f t="shared" si="84"/>
        <v/>
      </c>
      <c r="BM51" s="264" t="str">
        <f t="shared" si="66"/>
        <v/>
      </c>
      <c r="BN51" s="60" t="str">
        <f t="shared" si="85"/>
        <v/>
      </c>
      <c r="BO51" s="136">
        <f t="shared" si="86"/>
        <v>0</v>
      </c>
      <c r="BP51" s="59">
        <f t="shared" si="87"/>
        <v>0</v>
      </c>
      <c r="BQ51" s="136">
        <f t="shared" ca="1" si="68"/>
        <v>1236</v>
      </c>
      <c r="BR51" s="136">
        <f t="shared" ca="1" si="69"/>
        <v>1000.1196013289036</v>
      </c>
      <c r="BS51" s="136">
        <f t="shared" ca="1" si="70"/>
        <v>1468800.1196013289</v>
      </c>
      <c r="BT51" s="136">
        <f t="shared" ca="1" si="71"/>
        <v>313875.04232708813</v>
      </c>
      <c r="BU51" s="136">
        <f t="shared" ca="1" si="72"/>
        <v>1000.1196013289036</v>
      </c>
    </row>
    <row r="52" spans="1:73" x14ac:dyDescent="0.2">
      <c r="A52" s="87" t="str">
        <f>'Etape 2'!A49</f>
        <v/>
      </c>
      <c r="B52" s="87">
        <f>'Etape 2'!B49</f>
        <v>37</v>
      </c>
      <c r="C52" s="87">
        <f ca="1">'Etape 2'!C49</f>
        <v>264</v>
      </c>
      <c r="D52" s="87"/>
      <c r="E52" s="61">
        <f ca="1">RANK(BU52,BU$16:BU$315,0)+COUNTIF(BU$16:BU52,BU52)-1</f>
        <v>264</v>
      </c>
      <c r="F52" s="87" t="str">
        <f>'Etape 2'!D49</f>
        <v/>
      </c>
      <c r="G52" s="87" t="str">
        <f>'Etape 2'!E49</f>
        <v/>
      </c>
      <c r="H52" s="87" t="str">
        <f>'Etape 2'!F49</f>
        <v/>
      </c>
      <c r="I52" s="87" t="str">
        <f>'Etape 2'!G49</f>
        <v/>
      </c>
      <c r="J52" s="87" t="str">
        <f>'Etape 2'!H49</f>
        <v/>
      </c>
      <c r="K52" s="87" t="str">
        <f>'Etape 2'!I49</f>
        <v/>
      </c>
      <c r="L52" s="87">
        <f ca="1">'Etape 2'!J49</f>
        <v>999999</v>
      </c>
      <c r="M52" s="87">
        <f>'Etape 2'!K49</f>
        <v>999</v>
      </c>
      <c r="N52" s="87">
        <f ca="1">'Etape 2'!L49</f>
        <v>37</v>
      </c>
      <c r="O52" s="259">
        <f t="shared" si="43"/>
        <v>0.3</v>
      </c>
      <c r="P52" s="259">
        <f t="shared" si="44"/>
        <v>1.1000000000000001</v>
      </c>
      <c r="Q52" s="260">
        <f t="shared" si="45"/>
        <v>0</v>
      </c>
      <c r="R52" s="261">
        <f t="shared" si="89"/>
        <v>0</v>
      </c>
      <c r="S52" s="87">
        <f>IF(ISBLANK('Etape 2'!N49),0,VLOOKUP('Etape 2'!N49,Matrix_Uebersetzung,2,FALSE))</f>
        <v>0</v>
      </c>
      <c r="T52" s="87">
        <f>IF(ISBLANK('Etape 2'!O49),0,VLOOKUP('Etape 2'!O49,Matrix_Uebersetzung,2,FALSE))</f>
        <v>0</v>
      </c>
      <c r="U52" s="87">
        <f>IF(ISBLANK('Etape 2'!P49),0,VLOOKUP('Etape 2'!P49,Matrix_Uebersetzung,2,FALSE))</f>
        <v>0</v>
      </c>
      <c r="V52" s="87" t="str">
        <f>'Etape 2'!Q49</f>
        <v/>
      </c>
      <c r="W52" s="87">
        <f>'Etape 2'!R49</f>
        <v>0</v>
      </c>
      <c r="X52" s="87" t="str">
        <f>'Etape 2'!S49</f>
        <v/>
      </c>
      <c r="Y52" s="89" t="str">
        <f>'Etape 2'!T49</f>
        <v/>
      </c>
      <c r="Z52" s="87">
        <f>'Etape 2'!U49</f>
        <v>0</v>
      </c>
      <c r="AA52" s="87" t="str">
        <f>'Etape 2'!V49</f>
        <v/>
      </c>
      <c r="AB52" s="87">
        <f>IF(ISNUMBER('Etape 2'!W49),'Etape 2'!W49,0)</f>
        <v>0</v>
      </c>
      <c r="AC52" s="87">
        <f>IF(ISNUMBER('Etape 2'!X49),'Etape 2'!X49,0)</f>
        <v>0</v>
      </c>
      <c r="AD52" s="87">
        <f>IF(ISNUMBER('Etape 2'!Y49),'Etape 2'!Y49,0)</f>
        <v>0</v>
      </c>
      <c r="AE52" s="87">
        <f>IF(ISNUMBER('Etape 2'!Z49),'Etape 2'!Z49,0)</f>
        <v>0</v>
      </c>
      <c r="AF52" s="86">
        <f t="shared" si="74"/>
        <v>999</v>
      </c>
      <c r="AG52" s="288">
        <f t="shared" si="75"/>
        <v>0.25</v>
      </c>
      <c r="AH52" s="181" t="e">
        <f t="shared" si="46"/>
        <v>#VALUE!</v>
      </c>
      <c r="AI52" s="181" t="e">
        <f t="shared" si="76"/>
        <v>#VALUE!</v>
      </c>
      <c r="AJ52" s="86">
        <f t="shared" si="48"/>
        <v>200</v>
      </c>
      <c r="AK52" s="91" t="e">
        <f t="shared" si="49"/>
        <v>#N/A</v>
      </c>
      <c r="AL52" s="91" t="e">
        <f t="shared" si="91"/>
        <v>#N/A</v>
      </c>
      <c r="AM52" s="91">
        <f t="shared" si="92"/>
        <v>6</v>
      </c>
      <c r="AN52" s="91" t="e">
        <f t="shared" si="77"/>
        <v>#N/A</v>
      </c>
      <c r="AO52" s="91" t="e">
        <f t="shared" si="78"/>
        <v>#N/A</v>
      </c>
      <c r="AP52" s="21" t="e">
        <f t="shared" si="93"/>
        <v>#N/A</v>
      </c>
      <c r="AQ52" s="21" t="e">
        <f t="shared" si="94"/>
        <v>#N/A</v>
      </c>
      <c r="AR52" s="92" t="str">
        <f t="shared" si="79"/>
        <v/>
      </c>
      <c r="AS52" s="21" t="str">
        <f t="shared" si="80"/>
        <v/>
      </c>
      <c r="AT52" s="59" t="str">
        <f t="shared" si="54"/>
        <v/>
      </c>
      <c r="AU52" s="105">
        <f t="shared" si="95"/>
        <v>1</v>
      </c>
      <c r="AV52" s="105">
        <f t="shared" si="96"/>
        <v>1</v>
      </c>
      <c r="AW52" s="58">
        <f t="shared" si="88"/>
        <v>2</v>
      </c>
      <c r="AX52" s="58">
        <f t="shared" si="97"/>
        <v>3</v>
      </c>
      <c r="AY52" s="58" t="str">
        <f t="shared" si="98"/>
        <v>avec vannes</v>
      </c>
      <c r="AZ52" s="58" t="str">
        <f t="shared" si="99"/>
        <v>fermé</v>
      </c>
      <c r="BA52" s="60">
        <f t="shared" si="90"/>
        <v>0</v>
      </c>
      <c r="BB52" s="60">
        <f t="shared" si="90"/>
        <v>0</v>
      </c>
      <c r="BC52" s="60">
        <f t="shared" si="90"/>
        <v>0</v>
      </c>
      <c r="BD52" s="60">
        <f t="shared" si="90"/>
        <v>0</v>
      </c>
      <c r="BE52" s="286" t="str">
        <f t="shared" si="61"/>
        <v/>
      </c>
      <c r="BF52" s="58" t="str">
        <f t="shared" si="82"/>
        <v/>
      </c>
      <c r="BG52" s="59" t="str">
        <f t="shared" si="62"/>
        <v/>
      </c>
      <c r="BH52" s="158">
        <f t="shared" ca="1" si="63"/>
        <v>1</v>
      </c>
      <c r="BI52" s="60">
        <f t="shared" ca="1" si="64"/>
        <v>0.15</v>
      </c>
      <c r="BJ52" s="60">
        <f t="shared" si="65"/>
        <v>0.2</v>
      </c>
      <c r="BK52" s="60" t="str">
        <f t="shared" si="83"/>
        <v/>
      </c>
      <c r="BL52" s="21" t="str">
        <f t="shared" si="84"/>
        <v/>
      </c>
      <c r="BM52" s="264" t="str">
        <f t="shared" si="66"/>
        <v/>
      </c>
      <c r="BN52" s="60" t="str">
        <f t="shared" si="85"/>
        <v/>
      </c>
      <c r="BO52" s="136">
        <f t="shared" si="86"/>
        <v>0</v>
      </c>
      <c r="BP52" s="59">
        <f t="shared" si="87"/>
        <v>0</v>
      </c>
      <c r="BQ52" s="136">
        <f t="shared" ca="1" si="68"/>
        <v>1237</v>
      </c>
      <c r="BR52" s="136">
        <f t="shared" ca="1" si="69"/>
        <v>1000.1229235880398</v>
      </c>
      <c r="BS52" s="136">
        <f t="shared" ca="1" si="70"/>
        <v>1468800.1229235881</v>
      </c>
      <c r="BT52" s="136">
        <f t="shared" ca="1" si="71"/>
        <v>313875.04564934724</v>
      </c>
      <c r="BU52" s="136">
        <f t="shared" ca="1" si="72"/>
        <v>1000.1229235880398</v>
      </c>
    </row>
    <row r="53" spans="1:73" x14ac:dyDescent="0.2">
      <c r="A53" s="87" t="str">
        <f>'Etape 2'!A50</f>
        <v/>
      </c>
      <c r="B53" s="87">
        <f>'Etape 2'!B50</f>
        <v>38</v>
      </c>
      <c r="C53" s="87">
        <f ca="1">'Etape 2'!C50</f>
        <v>263</v>
      </c>
      <c r="D53" s="87"/>
      <c r="E53" s="61">
        <f ca="1">RANK(BU53,BU$16:BU$315,0)+COUNTIF(BU$16:BU53,BU53)-1</f>
        <v>263</v>
      </c>
      <c r="F53" s="87" t="str">
        <f>'Etape 2'!D50</f>
        <v/>
      </c>
      <c r="G53" s="87" t="str">
        <f>'Etape 2'!E50</f>
        <v/>
      </c>
      <c r="H53" s="87" t="str">
        <f>'Etape 2'!F50</f>
        <v/>
      </c>
      <c r="I53" s="87" t="str">
        <f>'Etape 2'!G50</f>
        <v/>
      </c>
      <c r="J53" s="87" t="str">
        <f>'Etape 2'!H50</f>
        <v/>
      </c>
      <c r="K53" s="87" t="str">
        <f>'Etape 2'!I50</f>
        <v/>
      </c>
      <c r="L53" s="87">
        <f ca="1">'Etape 2'!J50</f>
        <v>999999</v>
      </c>
      <c r="M53" s="87">
        <f>'Etape 2'!K50</f>
        <v>999</v>
      </c>
      <c r="N53" s="87">
        <f ca="1">'Etape 2'!L50</f>
        <v>38</v>
      </c>
      <c r="O53" s="259">
        <f t="shared" si="43"/>
        <v>0.3</v>
      </c>
      <c r="P53" s="259">
        <f t="shared" si="44"/>
        <v>1.1000000000000001</v>
      </c>
      <c r="Q53" s="260">
        <f t="shared" si="45"/>
        <v>0</v>
      </c>
      <c r="R53" s="261">
        <f t="shared" si="89"/>
        <v>0</v>
      </c>
      <c r="S53" s="87">
        <f>IF(ISBLANK('Etape 2'!N50),0,VLOOKUP('Etape 2'!N50,Matrix_Uebersetzung,2,FALSE))</f>
        <v>0</v>
      </c>
      <c r="T53" s="87">
        <f>IF(ISBLANK('Etape 2'!O50),0,VLOOKUP('Etape 2'!O50,Matrix_Uebersetzung,2,FALSE))</f>
        <v>0</v>
      </c>
      <c r="U53" s="87">
        <f>IF(ISBLANK('Etape 2'!P50),0,VLOOKUP('Etape 2'!P50,Matrix_Uebersetzung,2,FALSE))</f>
        <v>0</v>
      </c>
      <c r="V53" s="87" t="str">
        <f>'Etape 2'!Q50</f>
        <v/>
      </c>
      <c r="W53" s="87">
        <f>'Etape 2'!R50</f>
        <v>0</v>
      </c>
      <c r="X53" s="87" t="str">
        <f>'Etape 2'!S50</f>
        <v/>
      </c>
      <c r="Y53" s="89" t="str">
        <f>'Etape 2'!T50</f>
        <v/>
      </c>
      <c r="Z53" s="87">
        <f>'Etape 2'!U50</f>
        <v>0</v>
      </c>
      <c r="AA53" s="87" t="str">
        <f>'Etape 2'!V50</f>
        <v/>
      </c>
      <c r="AB53" s="87">
        <f>IF(ISNUMBER('Etape 2'!W50),'Etape 2'!W50,0)</f>
        <v>0</v>
      </c>
      <c r="AC53" s="87">
        <f>IF(ISNUMBER('Etape 2'!X50),'Etape 2'!X50,0)</f>
        <v>0</v>
      </c>
      <c r="AD53" s="87">
        <f>IF(ISNUMBER('Etape 2'!Y50),'Etape 2'!Y50,0)</f>
        <v>0</v>
      </c>
      <c r="AE53" s="87">
        <f>IF(ISNUMBER('Etape 2'!Z50),'Etape 2'!Z50,0)</f>
        <v>0</v>
      </c>
      <c r="AF53" s="86">
        <f t="shared" si="74"/>
        <v>999</v>
      </c>
      <c r="AG53" s="288">
        <f t="shared" si="75"/>
        <v>0.25</v>
      </c>
      <c r="AH53" s="181" t="e">
        <f t="shared" si="46"/>
        <v>#VALUE!</v>
      </c>
      <c r="AI53" s="181" t="e">
        <f t="shared" si="76"/>
        <v>#VALUE!</v>
      </c>
      <c r="AJ53" s="86">
        <f t="shared" si="48"/>
        <v>200</v>
      </c>
      <c r="AK53" s="91" t="e">
        <f t="shared" si="49"/>
        <v>#N/A</v>
      </c>
      <c r="AL53" s="91" t="e">
        <f t="shared" si="91"/>
        <v>#N/A</v>
      </c>
      <c r="AM53" s="91">
        <f t="shared" si="92"/>
        <v>6</v>
      </c>
      <c r="AN53" s="91" t="e">
        <f t="shared" si="77"/>
        <v>#N/A</v>
      </c>
      <c r="AO53" s="91" t="e">
        <f t="shared" si="78"/>
        <v>#N/A</v>
      </c>
      <c r="AP53" s="21" t="e">
        <f t="shared" si="93"/>
        <v>#N/A</v>
      </c>
      <c r="AQ53" s="21" t="e">
        <f t="shared" si="94"/>
        <v>#N/A</v>
      </c>
      <c r="AR53" s="92" t="str">
        <f t="shared" si="79"/>
        <v/>
      </c>
      <c r="AS53" s="21" t="str">
        <f t="shared" si="80"/>
        <v/>
      </c>
      <c r="AT53" s="59" t="str">
        <f t="shared" si="54"/>
        <v/>
      </c>
      <c r="AU53" s="105">
        <f t="shared" si="95"/>
        <v>1</v>
      </c>
      <c r="AV53" s="105">
        <f t="shared" si="96"/>
        <v>1</v>
      </c>
      <c r="AW53" s="58">
        <f t="shared" si="88"/>
        <v>2</v>
      </c>
      <c r="AX53" s="58">
        <f t="shared" si="97"/>
        <v>3</v>
      </c>
      <c r="AY53" s="58" t="str">
        <f t="shared" si="98"/>
        <v>avec vannes</v>
      </c>
      <c r="AZ53" s="58" t="str">
        <f t="shared" si="99"/>
        <v>fermé</v>
      </c>
      <c r="BA53" s="60">
        <f t="shared" si="90"/>
        <v>0</v>
      </c>
      <c r="BB53" s="60">
        <f t="shared" si="90"/>
        <v>0</v>
      </c>
      <c r="BC53" s="60">
        <f t="shared" si="90"/>
        <v>0</v>
      </c>
      <c r="BD53" s="60">
        <f t="shared" si="90"/>
        <v>0</v>
      </c>
      <c r="BE53" s="286" t="str">
        <f t="shared" si="61"/>
        <v/>
      </c>
      <c r="BF53" s="58" t="str">
        <f t="shared" si="82"/>
        <v/>
      </c>
      <c r="BG53" s="59" t="str">
        <f t="shared" si="62"/>
        <v/>
      </c>
      <c r="BH53" s="158">
        <f t="shared" ca="1" si="63"/>
        <v>1</v>
      </c>
      <c r="BI53" s="60">
        <f t="shared" ca="1" si="64"/>
        <v>0.15</v>
      </c>
      <c r="BJ53" s="60">
        <f t="shared" si="65"/>
        <v>0.2</v>
      </c>
      <c r="BK53" s="60" t="str">
        <f t="shared" si="83"/>
        <v/>
      </c>
      <c r="BL53" s="21" t="str">
        <f t="shared" si="84"/>
        <v/>
      </c>
      <c r="BM53" s="264" t="str">
        <f t="shared" si="66"/>
        <v/>
      </c>
      <c r="BN53" s="60" t="str">
        <f t="shared" si="85"/>
        <v/>
      </c>
      <c r="BO53" s="136">
        <f t="shared" si="86"/>
        <v>0</v>
      </c>
      <c r="BP53" s="59">
        <f t="shared" si="87"/>
        <v>0</v>
      </c>
      <c r="BQ53" s="136">
        <f t="shared" ca="1" si="68"/>
        <v>1238</v>
      </c>
      <c r="BR53" s="136">
        <f t="shared" ca="1" si="69"/>
        <v>1000.1262458471761</v>
      </c>
      <c r="BS53" s="136">
        <f t="shared" ca="1" si="70"/>
        <v>1468800.1262458472</v>
      </c>
      <c r="BT53" s="136">
        <f t="shared" ca="1" si="71"/>
        <v>313875.04897160642</v>
      </c>
      <c r="BU53" s="136">
        <f t="shared" ca="1" si="72"/>
        <v>1000.1262458471761</v>
      </c>
    </row>
    <row r="54" spans="1:73" x14ac:dyDescent="0.2">
      <c r="A54" s="87" t="str">
        <f>'Etape 2'!A51</f>
        <v/>
      </c>
      <c r="B54" s="87">
        <f>'Etape 2'!B51</f>
        <v>39</v>
      </c>
      <c r="C54" s="87">
        <f ca="1">'Etape 2'!C51</f>
        <v>262</v>
      </c>
      <c r="D54" s="87"/>
      <c r="E54" s="61">
        <f ca="1">RANK(BU54,BU$16:BU$315,0)+COUNTIF(BU$16:BU54,BU54)-1</f>
        <v>262</v>
      </c>
      <c r="F54" s="87" t="str">
        <f>'Etape 2'!D51</f>
        <v/>
      </c>
      <c r="G54" s="87" t="str">
        <f>'Etape 2'!E51</f>
        <v/>
      </c>
      <c r="H54" s="87" t="str">
        <f>'Etape 2'!F51</f>
        <v/>
      </c>
      <c r="I54" s="87" t="str">
        <f>'Etape 2'!G51</f>
        <v/>
      </c>
      <c r="J54" s="87" t="str">
        <f>'Etape 2'!H51</f>
        <v/>
      </c>
      <c r="K54" s="87" t="str">
        <f>'Etape 2'!I51</f>
        <v/>
      </c>
      <c r="L54" s="87">
        <f ca="1">'Etape 2'!J51</f>
        <v>999999</v>
      </c>
      <c r="M54" s="87">
        <f>'Etape 2'!K51</f>
        <v>999</v>
      </c>
      <c r="N54" s="87">
        <f ca="1">'Etape 2'!L51</f>
        <v>39</v>
      </c>
      <c r="O54" s="259">
        <f t="shared" si="43"/>
        <v>0.3</v>
      </c>
      <c r="P54" s="259">
        <f t="shared" si="44"/>
        <v>1.1000000000000001</v>
      </c>
      <c r="Q54" s="260">
        <f t="shared" si="45"/>
        <v>0</v>
      </c>
      <c r="R54" s="261">
        <f t="shared" si="89"/>
        <v>0</v>
      </c>
      <c r="S54" s="87">
        <f>IF(ISBLANK('Etape 2'!N51),0,VLOOKUP('Etape 2'!N51,Matrix_Uebersetzung,2,FALSE))</f>
        <v>0</v>
      </c>
      <c r="T54" s="87">
        <f>IF(ISBLANK('Etape 2'!O51),0,VLOOKUP('Etape 2'!O51,Matrix_Uebersetzung,2,FALSE))</f>
        <v>0</v>
      </c>
      <c r="U54" s="87">
        <f>IF(ISBLANK('Etape 2'!P51),0,VLOOKUP('Etape 2'!P51,Matrix_Uebersetzung,2,FALSE))</f>
        <v>0</v>
      </c>
      <c r="V54" s="87" t="str">
        <f>'Etape 2'!Q51</f>
        <v/>
      </c>
      <c r="W54" s="87">
        <f>'Etape 2'!R51</f>
        <v>0</v>
      </c>
      <c r="X54" s="87" t="str">
        <f>'Etape 2'!S51</f>
        <v/>
      </c>
      <c r="Y54" s="89" t="str">
        <f>'Etape 2'!T51</f>
        <v/>
      </c>
      <c r="Z54" s="87">
        <f>'Etape 2'!U51</f>
        <v>0</v>
      </c>
      <c r="AA54" s="87" t="str">
        <f>'Etape 2'!V51</f>
        <v/>
      </c>
      <c r="AB54" s="87">
        <f>IF(ISNUMBER('Etape 2'!W51),'Etape 2'!W51,0)</f>
        <v>0</v>
      </c>
      <c r="AC54" s="87">
        <f>IF(ISNUMBER('Etape 2'!X51),'Etape 2'!X51,0)</f>
        <v>0</v>
      </c>
      <c r="AD54" s="87">
        <f>IF(ISNUMBER('Etape 2'!Y51),'Etape 2'!Y51,0)</f>
        <v>0</v>
      </c>
      <c r="AE54" s="87">
        <f>IF(ISNUMBER('Etape 2'!Z51),'Etape 2'!Z51,0)</f>
        <v>0</v>
      </c>
      <c r="AF54" s="86">
        <f t="shared" si="74"/>
        <v>999</v>
      </c>
      <c r="AG54" s="288">
        <f t="shared" si="75"/>
        <v>0.25</v>
      </c>
      <c r="AH54" s="181" t="e">
        <f t="shared" si="46"/>
        <v>#VALUE!</v>
      </c>
      <c r="AI54" s="181" t="e">
        <f t="shared" si="76"/>
        <v>#VALUE!</v>
      </c>
      <c r="AJ54" s="86">
        <f t="shared" si="48"/>
        <v>200</v>
      </c>
      <c r="AK54" s="91" t="e">
        <f t="shared" si="49"/>
        <v>#N/A</v>
      </c>
      <c r="AL54" s="91" t="e">
        <f t="shared" si="91"/>
        <v>#N/A</v>
      </c>
      <c r="AM54" s="91">
        <f t="shared" si="92"/>
        <v>6</v>
      </c>
      <c r="AN54" s="91" t="e">
        <f t="shared" si="77"/>
        <v>#N/A</v>
      </c>
      <c r="AO54" s="91" t="e">
        <f t="shared" si="78"/>
        <v>#N/A</v>
      </c>
      <c r="AP54" s="21" t="e">
        <f t="shared" si="93"/>
        <v>#N/A</v>
      </c>
      <c r="AQ54" s="21" t="e">
        <f t="shared" si="94"/>
        <v>#N/A</v>
      </c>
      <c r="AR54" s="92" t="str">
        <f t="shared" si="79"/>
        <v/>
      </c>
      <c r="AS54" s="21" t="str">
        <f t="shared" si="80"/>
        <v/>
      </c>
      <c r="AT54" s="59" t="str">
        <f t="shared" si="54"/>
        <v/>
      </c>
      <c r="AU54" s="105">
        <f t="shared" si="95"/>
        <v>1</v>
      </c>
      <c r="AV54" s="105">
        <f t="shared" si="96"/>
        <v>1</v>
      </c>
      <c r="AW54" s="58">
        <f t="shared" si="88"/>
        <v>2</v>
      </c>
      <c r="AX54" s="58">
        <f t="shared" si="97"/>
        <v>3</v>
      </c>
      <c r="AY54" s="58" t="str">
        <f t="shared" si="98"/>
        <v>avec vannes</v>
      </c>
      <c r="AZ54" s="58" t="str">
        <f t="shared" si="99"/>
        <v>fermé</v>
      </c>
      <c r="BA54" s="60">
        <f t="shared" si="90"/>
        <v>0</v>
      </c>
      <c r="BB54" s="60">
        <f t="shared" si="90"/>
        <v>0</v>
      </c>
      <c r="BC54" s="60">
        <f t="shared" si="90"/>
        <v>0</v>
      </c>
      <c r="BD54" s="60">
        <f t="shared" si="90"/>
        <v>0</v>
      </c>
      <c r="BE54" s="286" t="str">
        <f t="shared" si="61"/>
        <v/>
      </c>
      <c r="BF54" s="58" t="str">
        <f t="shared" si="82"/>
        <v/>
      </c>
      <c r="BG54" s="59" t="str">
        <f t="shared" si="62"/>
        <v/>
      </c>
      <c r="BH54" s="158">
        <f t="shared" ca="1" si="63"/>
        <v>1</v>
      </c>
      <c r="BI54" s="60">
        <f t="shared" ca="1" si="64"/>
        <v>0.15</v>
      </c>
      <c r="BJ54" s="60">
        <f t="shared" si="65"/>
        <v>0.2</v>
      </c>
      <c r="BK54" s="60" t="str">
        <f t="shared" si="83"/>
        <v/>
      </c>
      <c r="BL54" s="21" t="str">
        <f t="shared" si="84"/>
        <v/>
      </c>
      <c r="BM54" s="264" t="str">
        <f t="shared" si="66"/>
        <v/>
      </c>
      <c r="BN54" s="60" t="str">
        <f t="shared" si="85"/>
        <v/>
      </c>
      <c r="BO54" s="136">
        <f t="shared" si="86"/>
        <v>0</v>
      </c>
      <c r="BP54" s="59">
        <f t="shared" si="87"/>
        <v>0</v>
      </c>
      <c r="BQ54" s="136">
        <f t="shared" ca="1" si="68"/>
        <v>1239</v>
      </c>
      <c r="BR54" s="136">
        <f t="shared" ca="1" si="69"/>
        <v>1000.1295681063123</v>
      </c>
      <c r="BS54" s="136">
        <f t="shared" ca="1" si="70"/>
        <v>1468800.1295681063</v>
      </c>
      <c r="BT54" s="136">
        <f t="shared" ca="1" si="71"/>
        <v>313875.05229386553</v>
      </c>
      <c r="BU54" s="136">
        <f t="shared" ca="1" si="72"/>
        <v>1000.1295681063123</v>
      </c>
    </row>
    <row r="55" spans="1:73" x14ac:dyDescent="0.2">
      <c r="A55" s="87" t="str">
        <f>'Etape 2'!A52</f>
        <v/>
      </c>
      <c r="B55" s="87">
        <f>'Etape 2'!B52</f>
        <v>40</v>
      </c>
      <c r="C55" s="87">
        <f ca="1">'Etape 2'!C52</f>
        <v>261</v>
      </c>
      <c r="D55" s="87"/>
      <c r="E55" s="61">
        <f ca="1">RANK(BU55,BU$16:BU$315,0)+COUNTIF(BU$16:BU55,BU55)-1</f>
        <v>261</v>
      </c>
      <c r="F55" s="87" t="str">
        <f>'Etape 2'!D52</f>
        <v/>
      </c>
      <c r="G55" s="87" t="str">
        <f>'Etape 2'!E52</f>
        <v/>
      </c>
      <c r="H55" s="87" t="str">
        <f>'Etape 2'!F52</f>
        <v/>
      </c>
      <c r="I55" s="87" t="str">
        <f>'Etape 2'!G52</f>
        <v/>
      </c>
      <c r="J55" s="87" t="str">
        <f>'Etape 2'!H52</f>
        <v/>
      </c>
      <c r="K55" s="87" t="str">
        <f>'Etape 2'!I52</f>
        <v/>
      </c>
      <c r="L55" s="87">
        <f ca="1">'Etape 2'!J52</f>
        <v>999999</v>
      </c>
      <c r="M55" s="87">
        <f>'Etape 2'!K52</f>
        <v>999</v>
      </c>
      <c r="N55" s="87">
        <f ca="1">'Etape 2'!L52</f>
        <v>40</v>
      </c>
      <c r="O55" s="259">
        <f t="shared" si="43"/>
        <v>0.3</v>
      </c>
      <c r="P55" s="259">
        <f t="shared" si="44"/>
        <v>1.1000000000000001</v>
      </c>
      <c r="Q55" s="260">
        <f t="shared" si="45"/>
        <v>0</v>
      </c>
      <c r="R55" s="261">
        <f t="shared" si="89"/>
        <v>0</v>
      </c>
      <c r="S55" s="87">
        <f>IF(ISBLANK('Etape 2'!N52),0,VLOOKUP('Etape 2'!N52,Matrix_Uebersetzung,2,FALSE))</f>
        <v>0</v>
      </c>
      <c r="T55" s="87">
        <f>IF(ISBLANK('Etape 2'!O52),0,VLOOKUP('Etape 2'!O52,Matrix_Uebersetzung,2,FALSE))</f>
        <v>0</v>
      </c>
      <c r="U55" s="87">
        <f>IF(ISBLANK('Etape 2'!P52),0,VLOOKUP('Etape 2'!P52,Matrix_Uebersetzung,2,FALSE))</f>
        <v>0</v>
      </c>
      <c r="V55" s="87" t="str">
        <f>'Etape 2'!Q52</f>
        <v/>
      </c>
      <c r="W55" s="87">
        <f>'Etape 2'!R52</f>
        <v>0</v>
      </c>
      <c r="X55" s="87" t="str">
        <f>'Etape 2'!S52</f>
        <v/>
      </c>
      <c r="Y55" s="89" t="str">
        <f>'Etape 2'!T52</f>
        <v/>
      </c>
      <c r="Z55" s="87">
        <f>'Etape 2'!U52</f>
        <v>0</v>
      </c>
      <c r="AA55" s="87" t="str">
        <f>'Etape 2'!V52</f>
        <v/>
      </c>
      <c r="AB55" s="87">
        <f>IF(ISNUMBER('Etape 2'!W52),'Etape 2'!W52,0)</f>
        <v>0</v>
      </c>
      <c r="AC55" s="87">
        <f>IF(ISNUMBER('Etape 2'!X52),'Etape 2'!X52,0)</f>
        <v>0</v>
      </c>
      <c r="AD55" s="87">
        <f>IF(ISNUMBER('Etape 2'!Y52),'Etape 2'!Y52,0)</f>
        <v>0</v>
      </c>
      <c r="AE55" s="87">
        <f>IF(ISNUMBER('Etape 2'!Z52),'Etape 2'!Z52,0)</f>
        <v>0</v>
      </c>
      <c r="AF55" s="86">
        <f t="shared" si="74"/>
        <v>999</v>
      </c>
      <c r="AG55" s="288">
        <f t="shared" si="75"/>
        <v>0.25</v>
      </c>
      <c r="AH55" s="181" t="e">
        <f t="shared" si="46"/>
        <v>#VALUE!</v>
      </c>
      <c r="AI55" s="181" t="e">
        <f t="shared" si="76"/>
        <v>#VALUE!</v>
      </c>
      <c r="AJ55" s="86">
        <f t="shared" si="48"/>
        <v>200</v>
      </c>
      <c r="AK55" s="91" t="e">
        <f t="shared" si="49"/>
        <v>#N/A</v>
      </c>
      <c r="AL55" s="91" t="e">
        <f t="shared" si="91"/>
        <v>#N/A</v>
      </c>
      <c r="AM55" s="91">
        <f t="shared" si="92"/>
        <v>6</v>
      </c>
      <c r="AN55" s="91" t="e">
        <f t="shared" si="77"/>
        <v>#N/A</v>
      </c>
      <c r="AO55" s="91" t="e">
        <f t="shared" si="78"/>
        <v>#N/A</v>
      </c>
      <c r="AP55" s="21" t="e">
        <f t="shared" si="93"/>
        <v>#N/A</v>
      </c>
      <c r="AQ55" s="21" t="e">
        <f t="shared" si="94"/>
        <v>#N/A</v>
      </c>
      <c r="AR55" s="92" t="str">
        <f t="shared" si="79"/>
        <v/>
      </c>
      <c r="AS55" s="21" t="str">
        <f t="shared" si="80"/>
        <v/>
      </c>
      <c r="AT55" s="59" t="str">
        <f t="shared" si="54"/>
        <v/>
      </c>
      <c r="AU55" s="105">
        <f t="shared" si="95"/>
        <v>1</v>
      </c>
      <c r="AV55" s="105">
        <f t="shared" si="96"/>
        <v>1</v>
      </c>
      <c r="AW55" s="58">
        <f t="shared" si="88"/>
        <v>2</v>
      </c>
      <c r="AX55" s="58">
        <f t="shared" si="97"/>
        <v>3</v>
      </c>
      <c r="AY55" s="58" t="str">
        <f t="shared" si="98"/>
        <v>avec vannes</v>
      </c>
      <c r="AZ55" s="58" t="str">
        <f t="shared" si="99"/>
        <v>fermé</v>
      </c>
      <c r="BA55" s="60">
        <f t="shared" si="90"/>
        <v>0</v>
      </c>
      <c r="BB55" s="60">
        <f t="shared" si="90"/>
        <v>0</v>
      </c>
      <c r="BC55" s="60">
        <f t="shared" si="90"/>
        <v>0</v>
      </c>
      <c r="BD55" s="60">
        <f t="shared" si="90"/>
        <v>0</v>
      </c>
      <c r="BE55" s="286" t="str">
        <f t="shared" si="61"/>
        <v/>
      </c>
      <c r="BF55" s="58" t="str">
        <f t="shared" si="82"/>
        <v/>
      </c>
      <c r="BG55" s="59" t="str">
        <f t="shared" si="62"/>
        <v/>
      </c>
      <c r="BH55" s="158">
        <f t="shared" ca="1" si="63"/>
        <v>1</v>
      </c>
      <c r="BI55" s="60">
        <f t="shared" ca="1" si="64"/>
        <v>0.15</v>
      </c>
      <c r="BJ55" s="60">
        <f t="shared" si="65"/>
        <v>0.2</v>
      </c>
      <c r="BK55" s="60" t="str">
        <f t="shared" si="83"/>
        <v/>
      </c>
      <c r="BL55" s="21" t="str">
        <f t="shared" si="84"/>
        <v/>
      </c>
      <c r="BM55" s="264" t="str">
        <f t="shared" si="66"/>
        <v/>
      </c>
      <c r="BN55" s="60" t="str">
        <f t="shared" si="85"/>
        <v/>
      </c>
      <c r="BO55" s="136">
        <f t="shared" si="86"/>
        <v>0</v>
      </c>
      <c r="BP55" s="59">
        <f t="shared" si="87"/>
        <v>0</v>
      </c>
      <c r="BQ55" s="136">
        <f t="shared" ca="1" si="68"/>
        <v>1240</v>
      </c>
      <c r="BR55" s="136">
        <f t="shared" ca="1" si="69"/>
        <v>1000.1328903654485</v>
      </c>
      <c r="BS55" s="136">
        <f t="shared" ca="1" si="70"/>
        <v>1468800.1328903656</v>
      </c>
      <c r="BT55" s="136">
        <f t="shared" ca="1" si="71"/>
        <v>313875.05561612465</v>
      </c>
      <c r="BU55" s="136">
        <f t="shared" ca="1" si="72"/>
        <v>1000.1328903654485</v>
      </c>
    </row>
    <row r="56" spans="1:73" x14ac:dyDescent="0.2">
      <c r="A56" s="87" t="str">
        <f>'Etape 2'!A53</f>
        <v/>
      </c>
      <c r="B56" s="87">
        <f>'Etape 2'!B53</f>
        <v>41</v>
      </c>
      <c r="C56" s="87">
        <f ca="1">'Etape 2'!C53</f>
        <v>260</v>
      </c>
      <c r="D56" s="87"/>
      <c r="E56" s="61">
        <f ca="1">RANK(BU56,BU$16:BU$315,0)+COUNTIF(BU$16:BU56,BU56)-1</f>
        <v>260</v>
      </c>
      <c r="F56" s="87" t="str">
        <f>'Etape 2'!D53</f>
        <v/>
      </c>
      <c r="G56" s="87" t="str">
        <f>'Etape 2'!E53</f>
        <v/>
      </c>
      <c r="H56" s="87" t="str">
        <f>'Etape 2'!F53</f>
        <v/>
      </c>
      <c r="I56" s="87" t="str">
        <f>'Etape 2'!G53</f>
        <v/>
      </c>
      <c r="J56" s="87" t="str">
        <f>'Etape 2'!H53</f>
        <v/>
      </c>
      <c r="K56" s="87" t="str">
        <f>'Etape 2'!I53</f>
        <v/>
      </c>
      <c r="L56" s="87">
        <f ca="1">'Etape 2'!J53</f>
        <v>999999</v>
      </c>
      <c r="M56" s="87">
        <f>'Etape 2'!K53</f>
        <v>999</v>
      </c>
      <c r="N56" s="87">
        <f ca="1">'Etape 2'!L53</f>
        <v>41</v>
      </c>
      <c r="O56" s="259">
        <f t="shared" si="43"/>
        <v>0.3</v>
      </c>
      <c r="P56" s="259">
        <f t="shared" si="44"/>
        <v>1.1000000000000001</v>
      </c>
      <c r="Q56" s="260">
        <f t="shared" si="45"/>
        <v>0</v>
      </c>
      <c r="R56" s="261">
        <f t="shared" si="89"/>
        <v>0</v>
      </c>
      <c r="S56" s="87">
        <f>IF(ISBLANK('Etape 2'!N53),0,VLOOKUP('Etape 2'!N53,Matrix_Uebersetzung,2,FALSE))</f>
        <v>0</v>
      </c>
      <c r="T56" s="87">
        <f>IF(ISBLANK('Etape 2'!O53),0,VLOOKUP('Etape 2'!O53,Matrix_Uebersetzung,2,FALSE))</f>
        <v>0</v>
      </c>
      <c r="U56" s="87">
        <f>IF(ISBLANK('Etape 2'!P53),0,VLOOKUP('Etape 2'!P53,Matrix_Uebersetzung,2,FALSE))</f>
        <v>0</v>
      </c>
      <c r="V56" s="87" t="str">
        <f>'Etape 2'!Q53</f>
        <v/>
      </c>
      <c r="W56" s="87">
        <f>'Etape 2'!R53</f>
        <v>0</v>
      </c>
      <c r="X56" s="87" t="str">
        <f>'Etape 2'!S53</f>
        <v/>
      </c>
      <c r="Y56" s="89" t="str">
        <f>'Etape 2'!T53</f>
        <v/>
      </c>
      <c r="Z56" s="87">
        <f>'Etape 2'!U53</f>
        <v>0</v>
      </c>
      <c r="AA56" s="87" t="str">
        <f>'Etape 2'!V53</f>
        <v/>
      </c>
      <c r="AB56" s="87">
        <f>IF(ISNUMBER('Etape 2'!W53),'Etape 2'!W53,0)</f>
        <v>0</v>
      </c>
      <c r="AC56" s="87">
        <f>IF(ISNUMBER('Etape 2'!X53),'Etape 2'!X53,0)</f>
        <v>0</v>
      </c>
      <c r="AD56" s="87">
        <f>IF(ISNUMBER('Etape 2'!Y53),'Etape 2'!Y53,0)</f>
        <v>0</v>
      </c>
      <c r="AE56" s="87">
        <f>IF(ISNUMBER('Etape 2'!Z53),'Etape 2'!Z53,0)</f>
        <v>0</v>
      </c>
      <c r="AF56" s="86">
        <f t="shared" si="74"/>
        <v>999</v>
      </c>
      <c r="AG56" s="288">
        <f t="shared" si="75"/>
        <v>0.25</v>
      </c>
      <c r="AH56" s="181" t="e">
        <f t="shared" si="46"/>
        <v>#VALUE!</v>
      </c>
      <c r="AI56" s="181" t="e">
        <f t="shared" si="76"/>
        <v>#VALUE!</v>
      </c>
      <c r="AJ56" s="86">
        <f t="shared" si="48"/>
        <v>200</v>
      </c>
      <c r="AK56" s="91" t="e">
        <f t="shared" si="49"/>
        <v>#N/A</v>
      </c>
      <c r="AL56" s="91" t="e">
        <f t="shared" si="91"/>
        <v>#N/A</v>
      </c>
      <c r="AM56" s="91">
        <f t="shared" si="92"/>
        <v>6</v>
      </c>
      <c r="AN56" s="91" t="e">
        <f t="shared" si="77"/>
        <v>#N/A</v>
      </c>
      <c r="AO56" s="91" t="e">
        <f t="shared" si="78"/>
        <v>#N/A</v>
      </c>
      <c r="AP56" s="21" t="e">
        <f t="shared" si="93"/>
        <v>#N/A</v>
      </c>
      <c r="AQ56" s="21" t="e">
        <f t="shared" si="94"/>
        <v>#N/A</v>
      </c>
      <c r="AR56" s="92" t="str">
        <f t="shared" si="79"/>
        <v/>
      </c>
      <c r="AS56" s="21" t="str">
        <f t="shared" si="80"/>
        <v/>
      </c>
      <c r="AT56" s="59" t="str">
        <f t="shared" si="54"/>
        <v/>
      </c>
      <c r="AU56" s="105">
        <f t="shared" si="95"/>
        <v>1</v>
      </c>
      <c r="AV56" s="105">
        <f t="shared" si="96"/>
        <v>1</v>
      </c>
      <c r="AW56" s="58">
        <f t="shared" si="88"/>
        <v>2</v>
      </c>
      <c r="AX56" s="58">
        <f t="shared" si="97"/>
        <v>3</v>
      </c>
      <c r="AY56" s="58" t="str">
        <f t="shared" si="98"/>
        <v>avec vannes</v>
      </c>
      <c r="AZ56" s="58" t="str">
        <f t="shared" si="99"/>
        <v>fermé</v>
      </c>
      <c r="BA56" s="60">
        <f t="shared" ref="BA56:BD75" si="100">IF(BA$15/$AG56&gt;1,0,VLOOKUP(BA$15/$AG56,Matrix_Regelung.Teilvolumenstrom.Einsparpotential.ID,$AX56,0))</f>
        <v>0</v>
      </c>
      <c r="BB56" s="60">
        <f t="shared" si="100"/>
        <v>0</v>
      </c>
      <c r="BC56" s="60">
        <f t="shared" si="100"/>
        <v>0</v>
      </c>
      <c r="BD56" s="60">
        <f t="shared" si="100"/>
        <v>0</v>
      </c>
      <c r="BE56" s="286" t="str">
        <f t="shared" si="61"/>
        <v/>
      </c>
      <c r="BF56" s="58" t="str">
        <f t="shared" si="82"/>
        <v/>
      </c>
      <c r="BG56" s="59" t="str">
        <f t="shared" si="62"/>
        <v/>
      </c>
      <c r="BH56" s="158">
        <f t="shared" ca="1" si="63"/>
        <v>1</v>
      </c>
      <c r="BI56" s="60">
        <f t="shared" ca="1" si="64"/>
        <v>0.15</v>
      </c>
      <c r="BJ56" s="60">
        <f t="shared" si="65"/>
        <v>0.2</v>
      </c>
      <c r="BK56" s="60" t="str">
        <f t="shared" si="83"/>
        <v/>
      </c>
      <c r="BL56" s="21" t="str">
        <f t="shared" si="84"/>
        <v/>
      </c>
      <c r="BM56" s="264" t="str">
        <f t="shared" si="66"/>
        <v/>
      </c>
      <c r="BN56" s="60" t="str">
        <f t="shared" si="85"/>
        <v/>
      </c>
      <c r="BO56" s="136">
        <f t="shared" si="86"/>
        <v>0</v>
      </c>
      <c r="BP56" s="59">
        <f t="shared" si="87"/>
        <v>0</v>
      </c>
      <c r="BQ56" s="136">
        <f t="shared" ca="1" si="68"/>
        <v>1241</v>
      </c>
      <c r="BR56" s="136">
        <f t="shared" ca="1" si="69"/>
        <v>1000.1362126245847</v>
      </c>
      <c r="BS56" s="136">
        <f t="shared" ca="1" si="70"/>
        <v>1468800.1362126246</v>
      </c>
      <c r="BT56" s="136">
        <f t="shared" ca="1" si="71"/>
        <v>313875.05893838382</v>
      </c>
      <c r="BU56" s="136">
        <f t="shared" ca="1" si="72"/>
        <v>1000.1362126245847</v>
      </c>
    </row>
    <row r="57" spans="1:73" x14ac:dyDescent="0.2">
      <c r="A57" s="87" t="str">
        <f>'Etape 2'!A54</f>
        <v/>
      </c>
      <c r="B57" s="87">
        <f>'Etape 2'!B54</f>
        <v>42</v>
      </c>
      <c r="C57" s="87">
        <f ca="1">'Etape 2'!C54</f>
        <v>259</v>
      </c>
      <c r="D57" s="87"/>
      <c r="E57" s="61">
        <f ca="1">RANK(BU57,BU$16:BU$315,0)+COUNTIF(BU$16:BU57,BU57)-1</f>
        <v>259</v>
      </c>
      <c r="F57" s="87" t="str">
        <f>'Etape 2'!D54</f>
        <v/>
      </c>
      <c r="G57" s="87" t="str">
        <f>'Etape 2'!E54</f>
        <v/>
      </c>
      <c r="H57" s="87" t="str">
        <f>'Etape 2'!F54</f>
        <v/>
      </c>
      <c r="I57" s="87" t="str">
        <f>'Etape 2'!G54</f>
        <v/>
      </c>
      <c r="J57" s="87" t="str">
        <f>'Etape 2'!H54</f>
        <v/>
      </c>
      <c r="K57" s="87" t="str">
        <f>'Etape 2'!I54</f>
        <v/>
      </c>
      <c r="L57" s="87">
        <f ca="1">'Etape 2'!J54</f>
        <v>999999</v>
      </c>
      <c r="M57" s="87">
        <f>'Etape 2'!K54</f>
        <v>999</v>
      </c>
      <c r="N57" s="87">
        <f ca="1">'Etape 2'!L54</f>
        <v>42</v>
      </c>
      <c r="O57" s="259">
        <f t="shared" si="43"/>
        <v>0.3</v>
      </c>
      <c r="P57" s="259">
        <f t="shared" si="44"/>
        <v>1.1000000000000001</v>
      </c>
      <c r="Q57" s="260">
        <f t="shared" si="45"/>
        <v>0</v>
      </c>
      <c r="R57" s="261">
        <f t="shared" si="89"/>
        <v>0</v>
      </c>
      <c r="S57" s="87">
        <f>IF(ISBLANK('Etape 2'!N54),0,VLOOKUP('Etape 2'!N54,Matrix_Uebersetzung,2,FALSE))</f>
        <v>0</v>
      </c>
      <c r="T57" s="87">
        <f>IF(ISBLANK('Etape 2'!O54),0,VLOOKUP('Etape 2'!O54,Matrix_Uebersetzung,2,FALSE))</f>
        <v>0</v>
      </c>
      <c r="U57" s="87">
        <f>IF(ISBLANK('Etape 2'!P54),0,VLOOKUP('Etape 2'!P54,Matrix_Uebersetzung,2,FALSE))</f>
        <v>0</v>
      </c>
      <c r="V57" s="87" t="str">
        <f>'Etape 2'!Q54</f>
        <v/>
      </c>
      <c r="W57" s="87">
        <f>'Etape 2'!R54</f>
        <v>0</v>
      </c>
      <c r="X57" s="87" t="str">
        <f>'Etape 2'!S54</f>
        <v/>
      </c>
      <c r="Y57" s="89" t="str">
        <f>'Etape 2'!T54</f>
        <v/>
      </c>
      <c r="Z57" s="87">
        <f>'Etape 2'!U54</f>
        <v>0</v>
      </c>
      <c r="AA57" s="87" t="str">
        <f>'Etape 2'!V54</f>
        <v/>
      </c>
      <c r="AB57" s="87">
        <f>IF(ISNUMBER('Etape 2'!W54),'Etape 2'!W54,0)</f>
        <v>0</v>
      </c>
      <c r="AC57" s="87">
        <f>IF(ISNUMBER('Etape 2'!X54),'Etape 2'!X54,0)</f>
        <v>0</v>
      </c>
      <c r="AD57" s="87">
        <f>IF(ISNUMBER('Etape 2'!Y54),'Etape 2'!Y54,0)</f>
        <v>0</v>
      </c>
      <c r="AE57" s="87">
        <f>IF(ISNUMBER('Etape 2'!Z54),'Etape 2'!Z54,0)</f>
        <v>0</v>
      </c>
      <c r="AF57" s="86">
        <f t="shared" si="74"/>
        <v>999</v>
      </c>
      <c r="AG57" s="288">
        <f t="shared" si="75"/>
        <v>0.25</v>
      </c>
      <c r="AH57" s="181" t="e">
        <f t="shared" si="46"/>
        <v>#VALUE!</v>
      </c>
      <c r="AI57" s="181" t="e">
        <f t="shared" si="76"/>
        <v>#VALUE!</v>
      </c>
      <c r="AJ57" s="86">
        <f t="shared" si="48"/>
        <v>200</v>
      </c>
      <c r="AK57" s="91" t="e">
        <f t="shared" si="49"/>
        <v>#N/A</v>
      </c>
      <c r="AL57" s="91" t="e">
        <f t="shared" si="91"/>
        <v>#N/A</v>
      </c>
      <c r="AM57" s="91">
        <f t="shared" si="92"/>
        <v>6</v>
      </c>
      <c r="AN57" s="91" t="e">
        <f t="shared" si="77"/>
        <v>#N/A</v>
      </c>
      <c r="AO57" s="91" t="e">
        <f t="shared" si="78"/>
        <v>#N/A</v>
      </c>
      <c r="AP57" s="21" t="e">
        <f t="shared" si="93"/>
        <v>#N/A</v>
      </c>
      <c r="AQ57" s="21" t="e">
        <f t="shared" si="94"/>
        <v>#N/A</v>
      </c>
      <c r="AR57" s="92" t="str">
        <f t="shared" si="79"/>
        <v/>
      </c>
      <c r="AS57" s="21" t="str">
        <f t="shared" si="80"/>
        <v/>
      </c>
      <c r="AT57" s="59" t="str">
        <f t="shared" si="54"/>
        <v/>
      </c>
      <c r="AU57" s="105">
        <f t="shared" si="95"/>
        <v>1</v>
      </c>
      <c r="AV57" s="105">
        <f t="shared" si="96"/>
        <v>1</v>
      </c>
      <c r="AW57" s="58">
        <f t="shared" si="88"/>
        <v>2</v>
      </c>
      <c r="AX57" s="58">
        <f t="shared" si="97"/>
        <v>3</v>
      </c>
      <c r="AY57" s="58" t="str">
        <f t="shared" si="98"/>
        <v>avec vannes</v>
      </c>
      <c r="AZ57" s="58" t="str">
        <f t="shared" si="99"/>
        <v>fermé</v>
      </c>
      <c r="BA57" s="60">
        <f t="shared" si="100"/>
        <v>0</v>
      </c>
      <c r="BB57" s="60">
        <f t="shared" si="100"/>
        <v>0</v>
      </c>
      <c r="BC57" s="60">
        <f t="shared" si="100"/>
        <v>0</v>
      </c>
      <c r="BD57" s="60">
        <f t="shared" si="100"/>
        <v>0</v>
      </c>
      <c r="BE57" s="286" t="str">
        <f t="shared" si="61"/>
        <v/>
      </c>
      <c r="BF57" s="58" t="str">
        <f t="shared" si="82"/>
        <v/>
      </c>
      <c r="BG57" s="59" t="str">
        <f t="shared" si="62"/>
        <v/>
      </c>
      <c r="BH57" s="158">
        <f t="shared" ca="1" si="63"/>
        <v>1</v>
      </c>
      <c r="BI57" s="60">
        <f t="shared" ca="1" si="64"/>
        <v>0.15</v>
      </c>
      <c r="BJ57" s="60">
        <f t="shared" si="65"/>
        <v>0.2</v>
      </c>
      <c r="BK57" s="60" t="str">
        <f t="shared" si="83"/>
        <v/>
      </c>
      <c r="BL57" s="21" t="str">
        <f t="shared" si="84"/>
        <v/>
      </c>
      <c r="BM57" s="264" t="str">
        <f t="shared" si="66"/>
        <v/>
      </c>
      <c r="BN57" s="60" t="str">
        <f t="shared" si="85"/>
        <v/>
      </c>
      <c r="BO57" s="136">
        <f t="shared" si="86"/>
        <v>0</v>
      </c>
      <c r="BP57" s="59">
        <f t="shared" si="87"/>
        <v>0</v>
      </c>
      <c r="BQ57" s="136">
        <f t="shared" ca="1" si="68"/>
        <v>1242</v>
      </c>
      <c r="BR57" s="136">
        <f t="shared" ca="1" si="69"/>
        <v>1000.1395348837209</v>
      </c>
      <c r="BS57" s="136">
        <f t="shared" ca="1" si="70"/>
        <v>1468800.1395348837</v>
      </c>
      <c r="BT57" s="136">
        <f t="shared" ca="1" si="71"/>
        <v>313875.06226064294</v>
      </c>
      <c r="BU57" s="136">
        <f t="shared" ca="1" si="72"/>
        <v>1000.1395348837209</v>
      </c>
    </row>
    <row r="58" spans="1:73" x14ac:dyDescent="0.2">
      <c r="A58" s="87" t="str">
        <f>'Etape 2'!A55</f>
        <v/>
      </c>
      <c r="B58" s="87">
        <f>'Etape 2'!B55</f>
        <v>43</v>
      </c>
      <c r="C58" s="87">
        <f ca="1">'Etape 2'!C55</f>
        <v>258</v>
      </c>
      <c r="D58" s="87"/>
      <c r="E58" s="61">
        <f ca="1">RANK(BU58,BU$16:BU$315,0)+COUNTIF(BU$16:BU58,BU58)-1</f>
        <v>258</v>
      </c>
      <c r="F58" s="87" t="str">
        <f>'Etape 2'!D55</f>
        <v/>
      </c>
      <c r="G58" s="87" t="str">
        <f>'Etape 2'!E55</f>
        <v/>
      </c>
      <c r="H58" s="87" t="str">
        <f>'Etape 2'!F55</f>
        <v/>
      </c>
      <c r="I58" s="87" t="str">
        <f>'Etape 2'!G55</f>
        <v/>
      </c>
      <c r="J58" s="87" t="str">
        <f>'Etape 2'!H55</f>
        <v/>
      </c>
      <c r="K58" s="87" t="str">
        <f>'Etape 2'!I55</f>
        <v/>
      </c>
      <c r="L58" s="87">
        <f ca="1">'Etape 2'!J55</f>
        <v>999999</v>
      </c>
      <c r="M58" s="87">
        <f>'Etape 2'!K55</f>
        <v>999</v>
      </c>
      <c r="N58" s="87">
        <f ca="1">'Etape 2'!L55</f>
        <v>43</v>
      </c>
      <c r="O58" s="259">
        <f t="shared" si="43"/>
        <v>0.3</v>
      </c>
      <c r="P58" s="259">
        <f t="shared" si="44"/>
        <v>1.1000000000000001</v>
      </c>
      <c r="Q58" s="260">
        <f t="shared" si="45"/>
        <v>0</v>
      </c>
      <c r="R58" s="261">
        <f t="shared" si="89"/>
        <v>0</v>
      </c>
      <c r="S58" s="87">
        <f>IF(ISBLANK('Etape 2'!N55),0,VLOOKUP('Etape 2'!N55,Matrix_Uebersetzung,2,FALSE))</f>
        <v>0</v>
      </c>
      <c r="T58" s="87">
        <f>IF(ISBLANK('Etape 2'!O55),0,VLOOKUP('Etape 2'!O55,Matrix_Uebersetzung,2,FALSE))</f>
        <v>0</v>
      </c>
      <c r="U58" s="87">
        <f>IF(ISBLANK('Etape 2'!P55),0,VLOOKUP('Etape 2'!P55,Matrix_Uebersetzung,2,FALSE))</f>
        <v>0</v>
      </c>
      <c r="V58" s="87" t="str">
        <f>'Etape 2'!Q55</f>
        <v/>
      </c>
      <c r="W58" s="87">
        <f>'Etape 2'!R55</f>
        <v>0</v>
      </c>
      <c r="X58" s="87" t="str">
        <f>'Etape 2'!S55</f>
        <v/>
      </c>
      <c r="Y58" s="89" t="str">
        <f>'Etape 2'!T55</f>
        <v/>
      </c>
      <c r="Z58" s="87">
        <f>'Etape 2'!U55</f>
        <v>0</v>
      </c>
      <c r="AA58" s="87" t="str">
        <f>'Etape 2'!V55</f>
        <v/>
      </c>
      <c r="AB58" s="87">
        <f>IF(ISNUMBER('Etape 2'!W55),'Etape 2'!W55,0)</f>
        <v>0</v>
      </c>
      <c r="AC58" s="87">
        <f>IF(ISNUMBER('Etape 2'!X55),'Etape 2'!X55,0)</f>
        <v>0</v>
      </c>
      <c r="AD58" s="87">
        <f>IF(ISNUMBER('Etape 2'!Y55),'Etape 2'!Y55,0)</f>
        <v>0</v>
      </c>
      <c r="AE58" s="87">
        <f>IF(ISNUMBER('Etape 2'!Z55),'Etape 2'!Z55,0)</f>
        <v>0</v>
      </c>
      <c r="AF58" s="86">
        <f t="shared" si="74"/>
        <v>999</v>
      </c>
      <c r="AG58" s="288">
        <f t="shared" si="75"/>
        <v>0.25</v>
      </c>
      <c r="AH58" s="181" t="e">
        <f t="shared" si="46"/>
        <v>#VALUE!</v>
      </c>
      <c r="AI58" s="181" t="e">
        <f t="shared" si="76"/>
        <v>#VALUE!</v>
      </c>
      <c r="AJ58" s="86">
        <f t="shared" si="48"/>
        <v>200</v>
      </c>
      <c r="AK58" s="91" t="e">
        <f t="shared" si="49"/>
        <v>#N/A</v>
      </c>
      <c r="AL58" s="91" t="e">
        <f t="shared" si="91"/>
        <v>#N/A</v>
      </c>
      <c r="AM58" s="91">
        <f t="shared" si="92"/>
        <v>6</v>
      </c>
      <c r="AN58" s="91" t="e">
        <f t="shared" si="77"/>
        <v>#N/A</v>
      </c>
      <c r="AO58" s="91" t="e">
        <f t="shared" si="78"/>
        <v>#N/A</v>
      </c>
      <c r="AP58" s="21" t="e">
        <f t="shared" si="93"/>
        <v>#N/A</v>
      </c>
      <c r="AQ58" s="21" t="e">
        <f t="shared" si="94"/>
        <v>#N/A</v>
      </c>
      <c r="AR58" s="92" t="str">
        <f t="shared" si="79"/>
        <v/>
      </c>
      <c r="AS58" s="21" t="str">
        <f t="shared" si="80"/>
        <v/>
      </c>
      <c r="AT58" s="59" t="str">
        <f t="shared" si="54"/>
        <v/>
      </c>
      <c r="AU58" s="105">
        <f t="shared" si="95"/>
        <v>1</v>
      </c>
      <c r="AV58" s="105">
        <f t="shared" si="96"/>
        <v>1</v>
      </c>
      <c r="AW58" s="58">
        <f t="shared" si="88"/>
        <v>2</v>
      </c>
      <c r="AX58" s="58">
        <f t="shared" si="97"/>
        <v>3</v>
      </c>
      <c r="AY58" s="58" t="str">
        <f t="shared" si="98"/>
        <v>avec vannes</v>
      </c>
      <c r="AZ58" s="58" t="str">
        <f t="shared" si="99"/>
        <v>fermé</v>
      </c>
      <c r="BA58" s="60">
        <f t="shared" si="100"/>
        <v>0</v>
      </c>
      <c r="BB58" s="60">
        <f t="shared" si="100"/>
        <v>0</v>
      </c>
      <c r="BC58" s="60">
        <f t="shared" si="100"/>
        <v>0</v>
      </c>
      <c r="BD58" s="60">
        <f t="shared" si="100"/>
        <v>0</v>
      </c>
      <c r="BE58" s="286" t="str">
        <f t="shared" si="61"/>
        <v/>
      </c>
      <c r="BF58" s="58" t="str">
        <f t="shared" si="82"/>
        <v/>
      </c>
      <c r="BG58" s="59" t="str">
        <f t="shared" si="62"/>
        <v/>
      </c>
      <c r="BH58" s="158">
        <f t="shared" ca="1" si="63"/>
        <v>1</v>
      </c>
      <c r="BI58" s="60">
        <f t="shared" ca="1" si="64"/>
        <v>0.15</v>
      </c>
      <c r="BJ58" s="60">
        <f t="shared" si="65"/>
        <v>0.2</v>
      </c>
      <c r="BK58" s="60" t="str">
        <f t="shared" si="83"/>
        <v/>
      </c>
      <c r="BL58" s="21" t="str">
        <f t="shared" si="84"/>
        <v/>
      </c>
      <c r="BM58" s="264" t="str">
        <f t="shared" si="66"/>
        <v/>
      </c>
      <c r="BN58" s="60" t="str">
        <f t="shared" si="85"/>
        <v/>
      </c>
      <c r="BO58" s="136">
        <f t="shared" si="86"/>
        <v>0</v>
      </c>
      <c r="BP58" s="59">
        <f t="shared" si="87"/>
        <v>0</v>
      </c>
      <c r="BQ58" s="136">
        <f t="shared" ca="1" si="68"/>
        <v>1243</v>
      </c>
      <c r="BR58" s="136">
        <f t="shared" ca="1" si="69"/>
        <v>1000.1428571428571</v>
      </c>
      <c r="BS58" s="136">
        <f t="shared" ca="1" si="70"/>
        <v>1468800.142857143</v>
      </c>
      <c r="BT58" s="136">
        <f t="shared" ca="1" si="71"/>
        <v>313875.06558290205</v>
      </c>
      <c r="BU58" s="136">
        <f t="shared" ca="1" si="72"/>
        <v>1000.1428571428571</v>
      </c>
    </row>
    <row r="59" spans="1:73" x14ac:dyDescent="0.2">
      <c r="A59" s="87" t="str">
        <f>'Etape 2'!A56</f>
        <v/>
      </c>
      <c r="B59" s="87">
        <f>'Etape 2'!B56</f>
        <v>44</v>
      </c>
      <c r="C59" s="87">
        <f ca="1">'Etape 2'!C56</f>
        <v>257</v>
      </c>
      <c r="D59" s="87"/>
      <c r="E59" s="61">
        <f ca="1">RANK(BU59,BU$16:BU$315,0)+COUNTIF(BU$16:BU59,BU59)-1</f>
        <v>257</v>
      </c>
      <c r="F59" s="87" t="str">
        <f>'Etape 2'!D56</f>
        <v/>
      </c>
      <c r="G59" s="87" t="str">
        <f>'Etape 2'!E56</f>
        <v/>
      </c>
      <c r="H59" s="87" t="str">
        <f>'Etape 2'!F56</f>
        <v/>
      </c>
      <c r="I59" s="87" t="str">
        <f>'Etape 2'!G56</f>
        <v/>
      </c>
      <c r="J59" s="87" t="str">
        <f>'Etape 2'!H56</f>
        <v/>
      </c>
      <c r="K59" s="87" t="str">
        <f>'Etape 2'!I56</f>
        <v/>
      </c>
      <c r="L59" s="87">
        <f ca="1">'Etape 2'!J56</f>
        <v>999999</v>
      </c>
      <c r="M59" s="87">
        <f>'Etape 2'!K56</f>
        <v>999</v>
      </c>
      <c r="N59" s="87">
        <f ca="1">'Etape 2'!L56</f>
        <v>44</v>
      </c>
      <c r="O59" s="259">
        <f t="shared" si="43"/>
        <v>0.3</v>
      </c>
      <c r="P59" s="259">
        <f t="shared" si="44"/>
        <v>1.1000000000000001</v>
      </c>
      <c r="Q59" s="260">
        <f t="shared" si="45"/>
        <v>0</v>
      </c>
      <c r="R59" s="261">
        <f t="shared" si="89"/>
        <v>0</v>
      </c>
      <c r="S59" s="87">
        <f>IF(ISBLANK('Etape 2'!N56),0,VLOOKUP('Etape 2'!N56,Matrix_Uebersetzung,2,FALSE))</f>
        <v>0</v>
      </c>
      <c r="T59" s="87">
        <f>IF(ISBLANK('Etape 2'!O56),0,VLOOKUP('Etape 2'!O56,Matrix_Uebersetzung,2,FALSE))</f>
        <v>0</v>
      </c>
      <c r="U59" s="87">
        <f>IF(ISBLANK('Etape 2'!P56),0,VLOOKUP('Etape 2'!P56,Matrix_Uebersetzung,2,FALSE))</f>
        <v>0</v>
      </c>
      <c r="V59" s="87" t="str">
        <f>'Etape 2'!Q56</f>
        <v/>
      </c>
      <c r="W59" s="87">
        <f>'Etape 2'!R56</f>
        <v>0</v>
      </c>
      <c r="X59" s="87" t="str">
        <f>'Etape 2'!S56</f>
        <v/>
      </c>
      <c r="Y59" s="89" t="str">
        <f>'Etape 2'!T56</f>
        <v/>
      </c>
      <c r="Z59" s="87">
        <f>'Etape 2'!U56</f>
        <v>0</v>
      </c>
      <c r="AA59" s="87" t="str">
        <f>'Etape 2'!V56</f>
        <v/>
      </c>
      <c r="AB59" s="87">
        <f>IF(ISNUMBER('Etape 2'!W56),'Etape 2'!W56,0)</f>
        <v>0</v>
      </c>
      <c r="AC59" s="87">
        <f>IF(ISNUMBER('Etape 2'!X56),'Etape 2'!X56,0)</f>
        <v>0</v>
      </c>
      <c r="AD59" s="87">
        <f>IF(ISNUMBER('Etape 2'!Y56),'Etape 2'!Y56,0)</f>
        <v>0</v>
      </c>
      <c r="AE59" s="87">
        <f>IF(ISNUMBER('Etape 2'!Z56),'Etape 2'!Z56,0)</f>
        <v>0</v>
      </c>
      <c r="AF59" s="86">
        <f t="shared" si="74"/>
        <v>999</v>
      </c>
      <c r="AG59" s="288">
        <f t="shared" si="75"/>
        <v>0.25</v>
      </c>
      <c r="AH59" s="181" t="e">
        <f t="shared" si="46"/>
        <v>#VALUE!</v>
      </c>
      <c r="AI59" s="181" t="e">
        <f t="shared" si="76"/>
        <v>#VALUE!</v>
      </c>
      <c r="AJ59" s="86">
        <f t="shared" si="48"/>
        <v>200</v>
      </c>
      <c r="AK59" s="91" t="e">
        <f t="shared" si="49"/>
        <v>#N/A</v>
      </c>
      <c r="AL59" s="91" t="e">
        <f t="shared" si="91"/>
        <v>#N/A</v>
      </c>
      <c r="AM59" s="91">
        <f t="shared" si="92"/>
        <v>6</v>
      </c>
      <c r="AN59" s="91" t="e">
        <f t="shared" si="77"/>
        <v>#N/A</v>
      </c>
      <c r="AO59" s="91" t="e">
        <f t="shared" si="78"/>
        <v>#N/A</v>
      </c>
      <c r="AP59" s="21" t="e">
        <f t="shared" si="93"/>
        <v>#N/A</v>
      </c>
      <c r="AQ59" s="21" t="e">
        <f t="shared" si="94"/>
        <v>#N/A</v>
      </c>
      <c r="AR59" s="92" t="str">
        <f t="shared" si="79"/>
        <v/>
      </c>
      <c r="AS59" s="21" t="str">
        <f t="shared" si="80"/>
        <v/>
      </c>
      <c r="AT59" s="59" t="str">
        <f t="shared" si="54"/>
        <v/>
      </c>
      <c r="AU59" s="105">
        <f t="shared" si="95"/>
        <v>1</v>
      </c>
      <c r="AV59" s="105">
        <f t="shared" si="96"/>
        <v>1</v>
      </c>
      <c r="AW59" s="58">
        <f t="shared" si="88"/>
        <v>2</v>
      </c>
      <c r="AX59" s="58">
        <f t="shared" si="97"/>
        <v>3</v>
      </c>
      <c r="AY59" s="58" t="str">
        <f t="shared" si="98"/>
        <v>avec vannes</v>
      </c>
      <c r="AZ59" s="58" t="str">
        <f t="shared" si="99"/>
        <v>fermé</v>
      </c>
      <c r="BA59" s="60">
        <f t="shared" si="100"/>
        <v>0</v>
      </c>
      <c r="BB59" s="60">
        <f t="shared" si="100"/>
        <v>0</v>
      </c>
      <c r="BC59" s="60">
        <f t="shared" si="100"/>
        <v>0</v>
      </c>
      <c r="BD59" s="60">
        <f t="shared" si="100"/>
        <v>0</v>
      </c>
      <c r="BE59" s="286" t="str">
        <f t="shared" si="61"/>
        <v/>
      </c>
      <c r="BF59" s="58" t="str">
        <f t="shared" si="82"/>
        <v/>
      </c>
      <c r="BG59" s="59" t="str">
        <f t="shared" si="62"/>
        <v/>
      </c>
      <c r="BH59" s="158">
        <f t="shared" ca="1" si="63"/>
        <v>1</v>
      </c>
      <c r="BI59" s="60">
        <f t="shared" ca="1" si="64"/>
        <v>0.15</v>
      </c>
      <c r="BJ59" s="60">
        <f t="shared" si="65"/>
        <v>0.2</v>
      </c>
      <c r="BK59" s="60" t="str">
        <f t="shared" si="83"/>
        <v/>
      </c>
      <c r="BL59" s="21" t="str">
        <f t="shared" si="84"/>
        <v/>
      </c>
      <c r="BM59" s="264" t="str">
        <f t="shared" si="66"/>
        <v/>
      </c>
      <c r="BN59" s="60" t="str">
        <f t="shared" si="85"/>
        <v/>
      </c>
      <c r="BO59" s="136">
        <f t="shared" si="86"/>
        <v>0</v>
      </c>
      <c r="BP59" s="59">
        <f t="shared" si="87"/>
        <v>0</v>
      </c>
      <c r="BQ59" s="136">
        <f t="shared" ca="1" si="68"/>
        <v>1244</v>
      </c>
      <c r="BR59" s="136">
        <f t="shared" ca="1" si="69"/>
        <v>1000.1461794019933</v>
      </c>
      <c r="BS59" s="136">
        <f t="shared" ca="1" si="70"/>
        <v>1468800.146179402</v>
      </c>
      <c r="BT59" s="136">
        <f t="shared" ca="1" si="71"/>
        <v>313875.06890516123</v>
      </c>
      <c r="BU59" s="136">
        <f t="shared" ca="1" si="72"/>
        <v>1000.1461794019933</v>
      </c>
    </row>
    <row r="60" spans="1:73" x14ac:dyDescent="0.2">
      <c r="A60" s="87" t="str">
        <f>'Etape 2'!A57</f>
        <v/>
      </c>
      <c r="B60" s="87">
        <f>'Etape 2'!B57</f>
        <v>45</v>
      </c>
      <c r="C60" s="87">
        <f ca="1">'Etape 2'!C57</f>
        <v>256</v>
      </c>
      <c r="D60" s="87"/>
      <c r="E60" s="61">
        <f ca="1">RANK(BU60,BU$16:BU$315,0)+COUNTIF(BU$16:BU60,BU60)-1</f>
        <v>256</v>
      </c>
      <c r="F60" s="87" t="str">
        <f>'Etape 2'!D57</f>
        <v/>
      </c>
      <c r="G60" s="87" t="str">
        <f>'Etape 2'!E57</f>
        <v/>
      </c>
      <c r="H60" s="87" t="str">
        <f>'Etape 2'!F57</f>
        <v/>
      </c>
      <c r="I60" s="87" t="str">
        <f>'Etape 2'!G57</f>
        <v/>
      </c>
      <c r="J60" s="87" t="str">
        <f>'Etape 2'!H57</f>
        <v/>
      </c>
      <c r="K60" s="87" t="str">
        <f>'Etape 2'!I57</f>
        <v/>
      </c>
      <c r="L60" s="87">
        <f ca="1">'Etape 2'!J57</f>
        <v>999999</v>
      </c>
      <c r="M60" s="87">
        <f>'Etape 2'!K57</f>
        <v>999</v>
      </c>
      <c r="N60" s="87">
        <f ca="1">'Etape 2'!L57</f>
        <v>45</v>
      </c>
      <c r="O60" s="259">
        <f t="shared" si="43"/>
        <v>0.3</v>
      </c>
      <c r="P60" s="259">
        <f t="shared" si="44"/>
        <v>1.1000000000000001</v>
      </c>
      <c r="Q60" s="260">
        <f t="shared" si="45"/>
        <v>0</v>
      </c>
      <c r="R60" s="261">
        <f t="shared" si="89"/>
        <v>0</v>
      </c>
      <c r="S60" s="87">
        <f>IF(ISBLANK('Etape 2'!N57),0,VLOOKUP('Etape 2'!N57,Matrix_Uebersetzung,2,FALSE))</f>
        <v>0</v>
      </c>
      <c r="T60" s="87">
        <f>IF(ISBLANK('Etape 2'!O57),0,VLOOKUP('Etape 2'!O57,Matrix_Uebersetzung,2,FALSE))</f>
        <v>0</v>
      </c>
      <c r="U60" s="87">
        <f>IF(ISBLANK('Etape 2'!P57),0,VLOOKUP('Etape 2'!P57,Matrix_Uebersetzung,2,FALSE))</f>
        <v>0</v>
      </c>
      <c r="V60" s="87" t="str">
        <f>'Etape 2'!Q57</f>
        <v/>
      </c>
      <c r="W60" s="87">
        <f>'Etape 2'!R57</f>
        <v>0</v>
      </c>
      <c r="X60" s="87" t="str">
        <f>'Etape 2'!S57</f>
        <v/>
      </c>
      <c r="Y60" s="89" t="str">
        <f>'Etape 2'!T57</f>
        <v/>
      </c>
      <c r="Z60" s="87">
        <f>'Etape 2'!U57</f>
        <v>0</v>
      </c>
      <c r="AA60" s="87" t="str">
        <f>'Etape 2'!V57</f>
        <v/>
      </c>
      <c r="AB60" s="87">
        <f>IF(ISNUMBER('Etape 2'!W57),'Etape 2'!W57,0)</f>
        <v>0</v>
      </c>
      <c r="AC60" s="87">
        <f>IF(ISNUMBER('Etape 2'!X57),'Etape 2'!X57,0)</f>
        <v>0</v>
      </c>
      <c r="AD60" s="87">
        <f>IF(ISNUMBER('Etape 2'!Y57),'Etape 2'!Y57,0)</f>
        <v>0</v>
      </c>
      <c r="AE60" s="87">
        <f>IF(ISNUMBER('Etape 2'!Z57),'Etape 2'!Z57,0)</f>
        <v>0</v>
      </c>
      <c r="AF60" s="86">
        <f t="shared" si="74"/>
        <v>999</v>
      </c>
      <c r="AG60" s="288">
        <f t="shared" si="75"/>
        <v>0.25</v>
      </c>
      <c r="AH60" s="181" t="e">
        <f t="shared" si="46"/>
        <v>#VALUE!</v>
      </c>
      <c r="AI60" s="181" t="e">
        <f t="shared" si="76"/>
        <v>#VALUE!</v>
      </c>
      <c r="AJ60" s="86">
        <f t="shared" si="48"/>
        <v>200</v>
      </c>
      <c r="AK60" s="91" t="e">
        <f t="shared" si="49"/>
        <v>#N/A</v>
      </c>
      <c r="AL60" s="91" t="e">
        <f t="shared" si="91"/>
        <v>#N/A</v>
      </c>
      <c r="AM60" s="91">
        <f t="shared" si="92"/>
        <v>6</v>
      </c>
      <c r="AN60" s="91" t="e">
        <f t="shared" si="77"/>
        <v>#N/A</v>
      </c>
      <c r="AO60" s="91" t="e">
        <f t="shared" si="78"/>
        <v>#N/A</v>
      </c>
      <c r="AP60" s="21" t="e">
        <f t="shared" si="93"/>
        <v>#N/A</v>
      </c>
      <c r="AQ60" s="21" t="e">
        <f t="shared" si="94"/>
        <v>#N/A</v>
      </c>
      <c r="AR60" s="92" t="str">
        <f t="shared" si="79"/>
        <v/>
      </c>
      <c r="AS60" s="21" t="str">
        <f t="shared" si="80"/>
        <v/>
      </c>
      <c r="AT60" s="59" t="str">
        <f t="shared" si="54"/>
        <v/>
      </c>
      <c r="AU60" s="105">
        <f t="shared" si="95"/>
        <v>1</v>
      </c>
      <c r="AV60" s="105">
        <f t="shared" si="96"/>
        <v>1</v>
      </c>
      <c r="AW60" s="58">
        <f t="shared" si="88"/>
        <v>2</v>
      </c>
      <c r="AX60" s="58">
        <f t="shared" si="97"/>
        <v>3</v>
      </c>
      <c r="AY60" s="58" t="str">
        <f t="shared" si="98"/>
        <v>avec vannes</v>
      </c>
      <c r="AZ60" s="58" t="str">
        <f t="shared" si="99"/>
        <v>fermé</v>
      </c>
      <c r="BA60" s="60">
        <f t="shared" si="100"/>
        <v>0</v>
      </c>
      <c r="BB60" s="60">
        <f t="shared" si="100"/>
        <v>0</v>
      </c>
      <c r="BC60" s="60">
        <f t="shared" si="100"/>
        <v>0</v>
      </c>
      <c r="BD60" s="60">
        <f t="shared" si="100"/>
        <v>0</v>
      </c>
      <c r="BE60" s="286" t="str">
        <f t="shared" si="61"/>
        <v/>
      </c>
      <c r="BF60" s="58" t="str">
        <f t="shared" si="82"/>
        <v/>
      </c>
      <c r="BG60" s="59" t="str">
        <f t="shared" si="62"/>
        <v/>
      </c>
      <c r="BH60" s="158">
        <f t="shared" ca="1" si="63"/>
        <v>1</v>
      </c>
      <c r="BI60" s="60">
        <f t="shared" ca="1" si="64"/>
        <v>0.15</v>
      </c>
      <c r="BJ60" s="60">
        <f t="shared" si="65"/>
        <v>0.2</v>
      </c>
      <c r="BK60" s="60" t="str">
        <f t="shared" si="83"/>
        <v/>
      </c>
      <c r="BL60" s="21" t="str">
        <f t="shared" si="84"/>
        <v/>
      </c>
      <c r="BM60" s="264" t="str">
        <f t="shared" si="66"/>
        <v/>
      </c>
      <c r="BN60" s="60" t="str">
        <f t="shared" si="85"/>
        <v/>
      </c>
      <c r="BO60" s="136">
        <f t="shared" si="86"/>
        <v>0</v>
      </c>
      <c r="BP60" s="59">
        <f t="shared" si="87"/>
        <v>0</v>
      </c>
      <c r="BQ60" s="136">
        <f t="shared" ca="1" si="68"/>
        <v>1245</v>
      </c>
      <c r="BR60" s="136">
        <f t="shared" ca="1" si="69"/>
        <v>1000.1495016611295</v>
      </c>
      <c r="BS60" s="136">
        <f t="shared" ca="1" si="70"/>
        <v>1468800.1495016611</v>
      </c>
      <c r="BT60" s="136">
        <f t="shared" ca="1" si="71"/>
        <v>313875.07222742034</v>
      </c>
      <c r="BU60" s="136">
        <f t="shared" ca="1" si="72"/>
        <v>1000.1495016611295</v>
      </c>
    </row>
    <row r="61" spans="1:73" x14ac:dyDescent="0.2">
      <c r="A61" s="87" t="str">
        <f>'Etape 2'!A58</f>
        <v/>
      </c>
      <c r="B61" s="87">
        <f>'Etape 2'!B58</f>
        <v>46</v>
      </c>
      <c r="C61" s="87">
        <f ca="1">'Etape 2'!C58</f>
        <v>255</v>
      </c>
      <c r="D61" s="87"/>
      <c r="E61" s="61">
        <f ca="1">RANK(BU61,BU$16:BU$315,0)+COUNTIF(BU$16:BU61,BU61)-1</f>
        <v>255</v>
      </c>
      <c r="F61" s="87" t="str">
        <f>'Etape 2'!D58</f>
        <v/>
      </c>
      <c r="G61" s="87" t="str">
        <f>'Etape 2'!E58</f>
        <v/>
      </c>
      <c r="H61" s="87" t="str">
        <f>'Etape 2'!F58</f>
        <v/>
      </c>
      <c r="I61" s="87" t="str">
        <f>'Etape 2'!G58</f>
        <v/>
      </c>
      <c r="J61" s="87" t="str">
        <f>'Etape 2'!H58</f>
        <v/>
      </c>
      <c r="K61" s="87" t="str">
        <f>'Etape 2'!I58</f>
        <v/>
      </c>
      <c r="L61" s="87">
        <f ca="1">'Etape 2'!J58</f>
        <v>999999</v>
      </c>
      <c r="M61" s="87">
        <f>'Etape 2'!K58</f>
        <v>999</v>
      </c>
      <c r="N61" s="87">
        <f ca="1">'Etape 2'!L58</f>
        <v>46</v>
      </c>
      <c r="O61" s="259">
        <f t="shared" si="43"/>
        <v>0.3</v>
      </c>
      <c r="P61" s="259">
        <f t="shared" si="44"/>
        <v>1.1000000000000001</v>
      </c>
      <c r="Q61" s="260">
        <f t="shared" si="45"/>
        <v>0</v>
      </c>
      <c r="R61" s="261">
        <f t="shared" si="89"/>
        <v>0</v>
      </c>
      <c r="S61" s="87">
        <f>IF(ISBLANK('Etape 2'!N58),0,VLOOKUP('Etape 2'!N58,Matrix_Uebersetzung,2,FALSE))</f>
        <v>0</v>
      </c>
      <c r="T61" s="87">
        <f>IF(ISBLANK('Etape 2'!O58),0,VLOOKUP('Etape 2'!O58,Matrix_Uebersetzung,2,FALSE))</f>
        <v>0</v>
      </c>
      <c r="U61" s="87">
        <f>IF(ISBLANK('Etape 2'!P58),0,VLOOKUP('Etape 2'!P58,Matrix_Uebersetzung,2,FALSE))</f>
        <v>0</v>
      </c>
      <c r="V61" s="87" t="str">
        <f>'Etape 2'!Q58</f>
        <v/>
      </c>
      <c r="W61" s="87">
        <f>'Etape 2'!R58</f>
        <v>0</v>
      </c>
      <c r="X61" s="87" t="str">
        <f>'Etape 2'!S58</f>
        <v/>
      </c>
      <c r="Y61" s="89" t="str">
        <f>'Etape 2'!T58</f>
        <v/>
      </c>
      <c r="Z61" s="87">
        <f>'Etape 2'!U58</f>
        <v>0</v>
      </c>
      <c r="AA61" s="87" t="str">
        <f>'Etape 2'!V58</f>
        <v/>
      </c>
      <c r="AB61" s="87">
        <f>IF(ISNUMBER('Etape 2'!W58),'Etape 2'!W58,0)</f>
        <v>0</v>
      </c>
      <c r="AC61" s="87">
        <f>IF(ISNUMBER('Etape 2'!X58),'Etape 2'!X58,0)</f>
        <v>0</v>
      </c>
      <c r="AD61" s="87">
        <f>IF(ISNUMBER('Etape 2'!Y58),'Etape 2'!Y58,0)</f>
        <v>0</v>
      </c>
      <c r="AE61" s="87">
        <f>IF(ISNUMBER('Etape 2'!Z58),'Etape 2'!Z58,0)</f>
        <v>0</v>
      </c>
      <c r="AF61" s="86">
        <f t="shared" si="74"/>
        <v>999</v>
      </c>
      <c r="AG61" s="288">
        <f t="shared" si="75"/>
        <v>0.25</v>
      </c>
      <c r="AH61" s="181" t="e">
        <f t="shared" si="46"/>
        <v>#VALUE!</v>
      </c>
      <c r="AI61" s="181" t="e">
        <f t="shared" si="76"/>
        <v>#VALUE!</v>
      </c>
      <c r="AJ61" s="86">
        <f t="shared" si="48"/>
        <v>200</v>
      </c>
      <c r="AK61" s="91" t="e">
        <f t="shared" si="49"/>
        <v>#N/A</v>
      </c>
      <c r="AL61" s="91" t="e">
        <f t="shared" si="91"/>
        <v>#N/A</v>
      </c>
      <c r="AM61" s="91">
        <f t="shared" si="92"/>
        <v>6</v>
      </c>
      <c r="AN61" s="91" t="e">
        <f t="shared" si="77"/>
        <v>#N/A</v>
      </c>
      <c r="AO61" s="91" t="e">
        <f t="shared" si="78"/>
        <v>#N/A</v>
      </c>
      <c r="AP61" s="21" t="e">
        <f t="shared" si="93"/>
        <v>#N/A</v>
      </c>
      <c r="AQ61" s="21" t="e">
        <f t="shared" si="94"/>
        <v>#N/A</v>
      </c>
      <c r="AR61" s="92" t="str">
        <f t="shared" si="79"/>
        <v/>
      </c>
      <c r="AS61" s="21" t="str">
        <f t="shared" si="80"/>
        <v/>
      </c>
      <c r="AT61" s="59" t="str">
        <f t="shared" si="54"/>
        <v/>
      </c>
      <c r="AU61" s="105">
        <f t="shared" si="95"/>
        <v>1</v>
      </c>
      <c r="AV61" s="105">
        <f t="shared" si="96"/>
        <v>1</v>
      </c>
      <c r="AW61" s="58">
        <f t="shared" si="88"/>
        <v>2</v>
      </c>
      <c r="AX61" s="58">
        <f t="shared" si="97"/>
        <v>3</v>
      </c>
      <c r="AY61" s="58" t="str">
        <f t="shared" si="98"/>
        <v>avec vannes</v>
      </c>
      <c r="AZ61" s="58" t="str">
        <f t="shared" si="99"/>
        <v>fermé</v>
      </c>
      <c r="BA61" s="60">
        <f t="shared" si="100"/>
        <v>0</v>
      </c>
      <c r="BB61" s="60">
        <f t="shared" si="100"/>
        <v>0</v>
      </c>
      <c r="BC61" s="60">
        <f t="shared" si="100"/>
        <v>0</v>
      </c>
      <c r="BD61" s="60">
        <f t="shared" si="100"/>
        <v>0</v>
      </c>
      <c r="BE61" s="286" t="str">
        <f t="shared" si="61"/>
        <v/>
      </c>
      <c r="BF61" s="58" t="str">
        <f t="shared" si="82"/>
        <v/>
      </c>
      <c r="BG61" s="59" t="str">
        <f t="shared" si="62"/>
        <v/>
      </c>
      <c r="BH61" s="158">
        <f t="shared" ca="1" si="63"/>
        <v>1</v>
      </c>
      <c r="BI61" s="60">
        <f t="shared" ca="1" si="64"/>
        <v>0.15</v>
      </c>
      <c r="BJ61" s="60">
        <f t="shared" si="65"/>
        <v>0.2</v>
      </c>
      <c r="BK61" s="60" t="str">
        <f t="shared" si="83"/>
        <v/>
      </c>
      <c r="BL61" s="21" t="str">
        <f t="shared" si="84"/>
        <v/>
      </c>
      <c r="BM61" s="264" t="str">
        <f t="shared" si="66"/>
        <v/>
      </c>
      <c r="BN61" s="60" t="str">
        <f t="shared" si="85"/>
        <v/>
      </c>
      <c r="BO61" s="136">
        <f t="shared" si="86"/>
        <v>0</v>
      </c>
      <c r="BP61" s="59">
        <f t="shared" si="87"/>
        <v>0</v>
      </c>
      <c r="BQ61" s="136">
        <f t="shared" ca="1" si="68"/>
        <v>1246</v>
      </c>
      <c r="BR61" s="136">
        <f t="shared" ca="1" si="69"/>
        <v>1000.1528239202657</v>
      </c>
      <c r="BS61" s="136">
        <f t="shared" ca="1" si="70"/>
        <v>1468800.1528239204</v>
      </c>
      <c r="BT61" s="136">
        <f t="shared" ca="1" si="71"/>
        <v>313875.07554967946</v>
      </c>
      <c r="BU61" s="136">
        <f t="shared" ca="1" si="72"/>
        <v>1000.1528239202657</v>
      </c>
    </row>
    <row r="62" spans="1:73" x14ac:dyDescent="0.2">
      <c r="A62" s="87" t="str">
        <f>'Etape 2'!A59</f>
        <v/>
      </c>
      <c r="B62" s="87">
        <f>'Etape 2'!B59</f>
        <v>47</v>
      </c>
      <c r="C62" s="87">
        <f ca="1">'Etape 2'!C59</f>
        <v>254</v>
      </c>
      <c r="D62" s="87"/>
      <c r="E62" s="61">
        <f ca="1">RANK(BU62,BU$16:BU$315,0)+COUNTIF(BU$16:BU62,BU62)-1</f>
        <v>254</v>
      </c>
      <c r="F62" s="87" t="str">
        <f>'Etape 2'!D59</f>
        <v/>
      </c>
      <c r="G62" s="87" t="str">
        <f>'Etape 2'!E59</f>
        <v/>
      </c>
      <c r="H62" s="87" t="str">
        <f>'Etape 2'!F59</f>
        <v/>
      </c>
      <c r="I62" s="87" t="str">
        <f>'Etape 2'!G59</f>
        <v/>
      </c>
      <c r="J62" s="87" t="str">
        <f>'Etape 2'!H59</f>
        <v/>
      </c>
      <c r="K62" s="87" t="str">
        <f>'Etape 2'!I59</f>
        <v/>
      </c>
      <c r="L62" s="87">
        <f ca="1">'Etape 2'!J59</f>
        <v>999999</v>
      </c>
      <c r="M62" s="87">
        <f>'Etape 2'!K59</f>
        <v>999</v>
      </c>
      <c r="N62" s="87">
        <f ca="1">'Etape 2'!L59</f>
        <v>47</v>
      </c>
      <c r="O62" s="259">
        <f t="shared" si="43"/>
        <v>0.3</v>
      </c>
      <c r="P62" s="259">
        <f t="shared" si="44"/>
        <v>1.1000000000000001</v>
      </c>
      <c r="Q62" s="260">
        <f t="shared" si="45"/>
        <v>0</v>
      </c>
      <c r="R62" s="261">
        <f t="shared" si="89"/>
        <v>0</v>
      </c>
      <c r="S62" s="87">
        <f>IF(ISBLANK('Etape 2'!N59),0,VLOOKUP('Etape 2'!N59,Matrix_Uebersetzung,2,FALSE))</f>
        <v>0</v>
      </c>
      <c r="T62" s="87">
        <f>IF(ISBLANK('Etape 2'!O59),0,VLOOKUP('Etape 2'!O59,Matrix_Uebersetzung,2,FALSE))</f>
        <v>0</v>
      </c>
      <c r="U62" s="87">
        <f>IF(ISBLANK('Etape 2'!P59),0,VLOOKUP('Etape 2'!P59,Matrix_Uebersetzung,2,FALSE))</f>
        <v>0</v>
      </c>
      <c r="V62" s="87" t="str">
        <f>'Etape 2'!Q59</f>
        <v/>
      </c>
      <c r="W62" s="87">
        <f>'Etape 2'!R59</f>
        <v>0</v>
      </c>
      <c r="X62" s="87" t="str">
        <f>'Etape 2'!S59</f>
        <v/>
      </c>
      <c r="Y62" s="89" t="str">
        <f>'Etape 2'!T59</f>
        <v/>
      </c>
      <c r="Z62" s="87">
        <f>'Etape 2'!U59</f>
        <v>0</v>
      </c>
      <c r="AA62" s="87" t="str">
        <f>'Etape 2'!V59</f>
        <v/>
      </c>
      <c r="AB62" s="87">
        <f>IF(ISNUMBER('Etape 2'!W59),'Etape 2'!W59,0)</f>
        <v>0</v>
      </c>
      <c r="AC62" s="87">
        <f>IF(ISNUMBER('Etape 2'!X59),'Etape 2'!X59,0)</f>
        <v>0</v>
      </c>
      <c r="AD62" s="87">
        <f>IF(ISNUMBER('Etape 2'!Y59),'Etape 2'!Y59,0)</f>
        <v>0</v>
      </c>
      <c r="AE62" s="87">
        <f>IF(ISNUMBER('Etape 2'!Z59),'Etape 2'!Z59,0)</f>
        <v>0</v>
      </c>
      <c r="AF62" s="86">
        <f t="shared" si="74"/>
        <v>999</v>
      </c>
      <c r="AG62" s="288">
        <f t="shared" si="75"/>
        <v>0.25</v>
      </c>
      <c r="AH62" s="181" t="e">
        <f t="shared" si="46"/>
        <v>#VALUE!</v>
      </c>
      <c r="AI62" s="181" t="e">
        <f t="shared" si="76"/>
        <v>#VALUE!</v>
      </c>
      <c r="AJ62" s="86">
        <f t="shared" si="48"/>
        <v>200</v>
      </c>
      <c r="AK62" s="91" t="e">
        <f t="shared" si="49"/>
        <v>#N/A</v>
      </c>
      <c r="AL62" s="91" t="e">
        <f t="shared" si="91"/>
        <v>#N/A</v>
      </c>
      <c r="AM62" s="91">
        <f t="shared" si="92"/>
        <v>6</v>
      </c>
      <c r="AN62" s="91" t="e">
        <f t="shared" si="77"/>
        <v>#N/A</v>
      </c>
      <c r="AO62" s="91" t="e">
        <f t="shared" si="78"/>
        <v>#N/A</v>
      </c>
      <c r="AP62" s="21" t="e">
        <f t="shared" si="93"/>
        <v>#N/A</v>
      </c>
      <c r="AQ62" s="21" t="e">
        <f t="shared" si="94"/>
        <v>#N/A</v>
      </c>
      <c r="AR62" s="92" t="str">
        <f t="shared" si="79"/>
        <v/>
      </c>
      <c r="AS62" s="21" t="str">
        <f t="shared" si="80"/>
        <v/>
      </c>
      <c r="AT62" s="59" t="str">
        <f t="shared" si="54"/>
        <v/>
      </c>
      <c r="AU62" s="105">
        <f t="shared" si="95"/>
        <v>1</v>
      </c>
      <c r="AV62" s="105">
        <f t="shared" si="96"/>
        <v>1</v>
      </c>
      <c r="AW62" s="58">
        <f t="shared" si="88"/>
        <v>2</v>
      </c>
      <c r="AX62" s="58">
        <f t="shared" si="97"/>
        <v>3</v>
      </c>
      <c r="AY62" s="58" t="str">
        <f t="shared" si="98"/>
        <v>avec vannes</v>
      </c>
      <c r="AZ62" s="58" t="str">
        <f t="shared" si="99"/>
        <v>fermé</v>
      </c>
      <c r="BA62" s="60">
        <f t="shared" si="100"/>
        <v>0</v>
      </c>
      <c r="BB62" s="60">
        <f t="shared" si="100"/>
        <v>0</v>
      </c>
      <c r="BC62" s="60">
        <f t="shared" si="100"/>
        <v>0</v>
      </c>
      <c r="BD62" s="60">
        <f t="shared" si="100"/>
        <v>0</v>
      </c>
      <c r="BE62" s="286" t="str">
        <f t="shared" si="61"/>
        <v/>
      </c>
      <c r="BF62" s="58" t="str">
        <f t="shared" si="82"/>
        <v/>
      </c>
      <c r="BG62" s="59" t="str">
        <f t="shared" si="62"/>
        <v/>
      </c>
      <c r="BH62" s="158">
        <f t="shared" ca="1" si="63"/>
        <v>1</v>
      </c>
      <c r="BI62" s="60">
        <f t="shared" ca="1" si="64"/>
        <v>0.15</v>
      </c>
      <c r="BJ62" s="60">
        <f t="shared" si="65"/>
        <v>0.2</v>
      </c>
      <c r="BK62" s="60" t="str">
        <f t="shared" si="83"/>
        <v/>
      </c>
      <c r="BL62" s="21" t="str">
        <f t="shared" si="84"/>
        <v/>
      </c>
      <c r="BM62" s="264" t="str">
        <f t="shared" si="66"/>
        <v/>
      </c>
      <c r="BN62" s="60" t="str">
        <f t="shared" si="85"/>
        <v/>
      </c>
      <c r="BO62" s="136">
        <f t="shared" si="86"/>
        <v>0</v>
      </c>
      <c r="BP62" s="59">
        <f t="shared" si="87"/>
        <v>0</v>
      </c>
      <c r="BQ62" s="136">
        <f t="shared" ca="1" si="68"/>
        <v>1247</v>
      </c>
      <c r="BR62" s="136">
        <f t="shared" ca="1" si="69"/>
        <v>1000.156146179402</v>
      </c>
      <c r="BS62" s="136">
        <f t="shared" ca="1" si="70"/>
        <v>1468800.1561461794</v>
      </c>
      <c r="BT62" s="136">
        <f t="shared" ca="1" si="71"/>
        <v>313875.07887193863</v>
      </c>
      <c r="BU62" s="136">
        <f t="shared" ca="1" si="72"/>
        <v>1000.156146179402</v>
      </c>
    </row>
    <row r="63" spans="1:73" x14ac:dyDescent="0.2">
      <c r="A63" s="87" t="str">
        <f>'Etape 2'!A60</f>
        <v/>
      </c>
      <c r="B63" s="87">
        <f>'Etape 2'!B60</f>
        <v>48</v>
      </c>
      <c r="C63" s="87">
        <f ca="1">'Etape 2'!C60</f>
        <v>253</v>
      </c>
      <c r="D63" s="87"/>
      <c r="E63" s="61">
        <f ca="1">RANK(BU63,BU$16:BU$315,0)+COUNTIF(BU$16:BU63,BU63)-1</f>
        <v>253</v>
      </c>
      <c r="F63" s="87" t="str">
        <f>'Etape 2'!D60</f>
        <v/>
      </c>
      <c r="G63" s="87" t="str">
        <f>'Etape 2'!E60</f>
        <v/>
      </c>
      <c r="H63" s="87" t="str">
        <f>'Etape 2'!F60</f>
        <v/>
      </c>
      <c r="I63" s="87" t="str">
        <f>'Etape 2'!G60</f>
        <v/>
      </c>
      <c r="J63" s="87" t="str">
        <f>'Etape 2'!H60</f>
        <v/>
      </c>
      <c r="K63" s="87" t="str">
        <f>'Etape 2'!I60</f>
        <v/>
      </c>
      <c r="L63" s="87">
        <f ca="1">'Etape 2'!J60</f>
        <v>999999</v>
      </c>
      <c r="M63" s="87">
        <f>'Etape 2'!K60</f>
        <v>999</v>
      </c>
      <c r="N63" s="87">
        <f ca="1">'Etape 2'!L60</f>
        <v>48</v>
      </c>
      <c r="O63" s="259">
        <f t="shared" si="43"/>
        <v>0.3</v>
      </c>
      <c r="P63" s="259">
        <f t="shared" si="44"/>
        <v>1.1000000000000001</v>
      </c>
      <c r="Q63" s="260">
        <f t="shared" si="45"/>
        <v>0</v>
      </c>
      <c r="R63" s="261">
        <f t="shared" si="89"/>
        <v>0</v>
      </c>
      <c r="S63" s="87">
        <f>IF(ISBLANK('Etape 2'!N60),0,VLOOKUP('Etape 2'!N60,Matrix_Uebersetzung,2,FALSE))</f>
        <v>0</v>
      </c>
      <c r="T63" s="87">
        <f>IF(ISBLANK('Etape 2'!O60),0,VLOOKUP('Etape 2'!O60,Matrix_Uebersetzung,2,FALSE))</f>
        <v>0</v>
      </c>
      <c r="U63" s="87">
        <f>IF(ISBLANK('Etape 2'!P60),0,VLOOKUP('Etape 2'!P60,Matrix_Uebersetzung,2,FALSE))</f>
        <v>0</v>
      </c>
      <c r="V63" s="87" t="str">
        <f>'Etape 2'!Q60</f>
        <v/>
      </c>
      <c r="W63" s="87">
        <f>'Etape 2'!R60</f>
        <v>0</v>
      </c>
      <c r="X63" s="87" t="str">
        <f>'Etape 2'!S60</f>
        <v/>
      </c>
      <c r="Y63" s="89" t="str">
        <f>'Etape 2'!T60</f>
        <v/>
      </c>
      <c r="Z63" s="87">
        <f>'Etape 2'!U60</f>
        <v>0</v>
      </c>
      <c r="AA63" s="87" t="str">
        <f>'Etape 2'!V60</f>
        <v/>
      </c>
      <c r="AB63" s="87">
        <f>IF(ISNUMBER('Etape 2'!W60),'Etape 2'!W60,0)</f>
        <v>0</v>
      </c>
      <c r="AC63" s="87">
        <f>IF(ISNUMBER('Etape 2'!X60),'Etape 2'!X60,0)</f>
        <v>0</v>
      </c>
      <c r="AD63" s="87">
        <f>IF(ISNUMBER('Etape 2'!Y60),'Etape 2'!Y60,0)</f>
        <v>0</v>
      </c>
      <c r="AE63" s="87">
        <f>IF(ISNUMBER('Etape 2'!Z60),'Etape 2'!Z60,0)</f>
        <v>0</v>
      </c>
      <c r="AF63" s="86">
        <f t="shared" si="74"/>
        <v>999</v>
      </c>
      <c r="AG63" s="288">
        <f t="shared" si="75"/>
        <v>0.25</v>
      </c>
      <c r="AH63" s="181" t="e">
        <f t="shared" si="46"/>
        <v>#VALUE!</v>
      </c>
      <c r="AI63" s="181" t="e">
        <f t="shared" si="76"/>
        <v>#VALUE!</v>
      </c>
      <c r="AJ63" s="86">
        <f t="shared" si="48"/>
        <v>200</v>
      </c>
      <c r="AK63" s="91" t="e">
        <f t="shared" si="49"/>
        <v>#N/A</v>
      </c>
      <c r="AL63" s="91" t="e">
        <f t="shared" si="91"/>
        <v>#N/A</v>
      </c>
      <c r="AM63" s="91">
        <f t="shared" si="92"/>
        <v>6</v>
      </c>
      <c r="AN63" s="91" t="e">
        <f t="shared" si="77"/>
        <v>#N/A</v>
      </c>
      <c r="AO63" s="91" t="e">
        <f t="shared" si="78"/>
        <v>#N/A</v>
      </c>
      <c r="AP63" s="21" t="e">
        <f t="shared" si="93"/>
        <v>#N/A</v>
      </c>
      <c r="AQ63" s="21" t="e">
        <f t="shared" si="94"/>
        <v>#N/A</v>
      </c>
      <c r="AR63" s="92" t="str">
        <f t="shared" si="79"/>
        <v/>
      </c>
      <c r="AS63" s="21" t="str">
        <f t="shared" si="80"/>
        <v/>
      </c>
      <c r="AT63" s="59" t="str">
        <f t="shared" si="54"/>
        <v/>
      </c>
      <c r="AU63" s="105">
        <f t="shared" si="95"/>
        <v>1</v>
      </c>
      <c r="AV63" s="105">
        <f t="shared" si="96"/>
        <v>1</v>
      </c>
      <c r="AW63" s="58">
        <f t="shared" si="88"/>
        <v>2</v>
      </c>
      <c r="AX63" s="58">
        <f t="shared" si="97"/>
        <v>3</v>
      </c>
      <c r="AY63" s="58" t="str">
        <f t="shared" si="98"/>
        <v>avec vannes</v>
      </c>
      <c r="AZ63" s="58" t="str">
        <f t="shared" si="99"/>
        <v>fermé</v>
      </c>
      <c r="BA63" s="60">
        <f t="shared" si="100"/>
        <v>0</v>
      </c>
      <c r="BB63" s="60">
        <f t="shared" si="100"/>
        <v>0</v>
      </c>
      <c r="BC63" s="60">
        <f t="shared" si="100"/>
        <v>0</v>
      </c>
      <c r="BD63" s="60">
        <f t="shared" si="100"/>
        <v>0</v>
      </c>
      <c r="BE63" s="286" t="str">
        <f t="shared" si="61"/>
        <v/>
      </c>
      <c r="BF63" s="58" t="str">
        <f t="shared" si="82"/>
        <v/>
      </c>
      <c r="BG63" s="59" t="str">
        <f t="shared" si="62"/>
        <v/>
      </c>
      <c r="BH63" s="158">
        <f t="shared" ca="1" si="63"/>
        <v>1</v>
      </c>
      <c r="BI63" s="60">
        <f t="shared" ca="1" si="64"/>
        <v>0.15</v>
      </c>
      <c r="BJ63" s="60">
        <f t="shared" si="65"/>
        <v>0.2</v>
      </c>
      <c r="BK63" s="60" t="str">
        <f t="shared" si="83"/>
        <v/>
      </c>
      <c r="BL63" s="21" t="str">
        <f t="shared" si="84"/>
        <v/>
      </c>
      <c r="BM63" s="264" t="str">
        <f t="shared" si="66"/>
        <v/>
      </c>
      <c r="BN63" s="60" t="str">
        <f t="shared" si="85"/>
        <v/>
      </c>
      <c r="BO63" s="136">
        <f t="shared" si="86"/>
        <v>0</v>
      </c>
      <c r="BP63" s="59">
        <f t="shared" si="87"/>
        <v>0</v>
      </c>
      <c r="BQ63" s="136">
        <f t="shared" ca="1" si="68"/>
        <v>1248</v>
      </c>
      <c r="BR63" s="136">
        <f t="shared" ca="1" si="69"/>
        <v>1000.1594684385382</v>
      </c>
      <c r="BS63" s="136">
        <f t="shared" ca="1" si="70"/>
        <v>1468800.1594684385</v>
      </c>
      <c r="BT63" s="136">
        <f t="shared" ca="1" si="71"/>
        <v>313875.08219419775</v>
      </c>
      <c r="BU63" s="136">
        <f t="shared" ca="1" si="72"/>
        <v>1000.1594684385382</v>
      </c>
    </row>
    <row r="64" spans="1:73" x14ac:dyDescent="0.2">
      <c r="A64" s="87" t="str">
        <f>'Etape 2'!A61</f>
        <v/>
      </c>
      <c r="B64" s="87">
        <f>'Etape 2'!B61</f>
        <v>49</v>
      </c>
      <c r="C64" s="87">
        <f ca="1">'Etape 2'!C61</f>
        <v>252</v>
      </c>
      <c r="D64" s="87"/>
      <c r="E64" s="61">
        <f ca="1">RANK(BU64,BU$16:BU$315,0)+COUNTIF(BU$16:BU64,BU64)-1</f>
        <v>252</v>
      </c>
      <c r="F64" s="87" t="str">
        <f>'Etape 2'!D61</f>
        <v/>
      </c>
      <c r="G64" s="87" t="str">
        <f>'Etape 2'!E61</f>
        <v/>
      </c>
      <c r="H64" s="87" t="str">
        <f>'Etape 2'!F61</f>
        <v/>
      </c>
      <c r="I64" s="87" t="str">
        <f>'Etape 2'!G61</f>
        <v/>
      </c>
      <c r="J64" s="87" t="str">
        <f>'Etape 2'!H61</f>
        <v/>
      </c>
      <c r="K64" s="87" t="str">
        <f>'Etape 2'!I61</f>
        <v/>
      </c>
      <c r="L64" s="87">
        <f ca="1">'Etape 2'!J61</f>
        <v>999999</v>
      </c>
      <c r="M64" s="87">
        <f>'Etape 2'!K61</f>
        <v>999</v>
      </c>
      <c r="N64" s="87">
        <f ca="1">'Etape 2'!L61</f>
        <v>49</v>
      </c>
      <c r="O64" s="259">
        <f t="shared" si="43"/>
        <v>0.3</v>
      </c>
      <c r="P64" s="259">
        <f t="shared" si="44"/>
        <v>1.1000000000000001</v>
      </c>
      <c r="Q64" s="260">
        <f t="shared" si="45"/>
        <v>0</v>
      </c>
      <c r="R64" s="261">
        <f t="shared" si="89"/>
        <v>0</v>
      </c>
      <c r="S64" s="87">
        <f>IF(ISBLANK('Etape 2'!N61),0,VLOOKUP('Etape 2'!N61,Matrix_Uebersetzung,2,FALSE))</f>
        <v>0</v>
      </c>
      <c r="T64" s="87">
        <f>IF(ISBLANK('Etape 2'!O61),0,VLOOKUP('Etape 2'!O61,Matrix_Uebersetzung,2,FALSE))</f>
        <v>0</v>
      </c>
      <c r="U64" s="87">
        <f>IF(ISBLANK('Etape 2'!P61),0,VLOOKUP('Etape 2'!P61,Matrix_Uebersetzung,2,FALSE))</f>
        <v>0</v>
      </c>
      <c r="V64" s="87" t="str">
        <f>'Etape 2'!Q61</f>
        <v/>
      </c>
      <c r="W64" s="87">
        <f>'Etape 2'!R61</f>
        <v>0</v>
      </c>
      <c r="X64" s="87" t="str">
        <f>'Etape 2'!S61</f>
        <v/>
      </c>
      <c r="Y64" s="89" t="str">
        <f>'Etape 2'!T61</f>
        <v/>
      </c>
      <c r="Z64" s="87">
        <f>'Etape 2'!U61</f>
        <v>0</v>
      </c>
      <c r="AA64" s="87" t="str">
        <f>'Etape 2'!V61</f>
        <v/>
      </c>
      <c r="AB64" s="87">
        <f>IF(ISNUMBER('Etape 2'!W61),'Etape 2'!W61,0)</f>
        <v>0</v>
      </c>
      <c r="AC64" s="87">
        <f>IF(ISNUMBER('Etape 2'!X61),'Etape 2'!X61,0)</f>
        <v>0</v>
      </c>
      <c r="AD64" s="87">
        <f>IF(ISNUMBER('Etape 2'!Y61),'Etape 2'!Y61,0)</f>
        <v>0</v>
      </c>
      <c r="AE64" s="87">
        <f>IF(ISNUMBER('Etape 2'!Z61),'Etape 2'!Z61,0)</f>
        <v>0</v>
      </c>
      <c r="AF64" s="86">
        <f t="shared" si="74"/>
        <v>999</v>
      </c>
      <c r="AG64" s="288">
        <f t="shared" si="75"/>
        <v>0.25</v>
      </c>
      <c r="AH64" s="181" t="e">
        <f t="shared" si="46"/>
        <v>#VALUE!</v>
      </c>
      <c r="AI64" s="181" t="e">
        <f t="shared" si="76"/>
        <v>#VALUE!</v>
      </c>
      <c r="AJ64" s="86">
        <f t="shared" si="48"/>
        <v>200</v>
      </c>
      <c r="AK64" s="91" t="e">
        <f t="shared" si="49"/>
        <v>#N/A</v>
      </c>
      <c r="AL64" s="91" t="e">
        <f t="shared" si="91"/>
        <v>#N/A</v>
      </c>
      <c r="AM64" s="91">
        <f t="shared" si="92"/>
        <v>6</v>
      </c>
      <c r="AN64" s="91" t="e">
        <f t="shared" si="77"/>
        <v>#N/A</v>
      </c>
      <c r="AO64" s="91" t="e">
        <f t="shared" si="78"/>
        <v>#N/A</v>
      </c>
      <c r="AP64" s="21" t="e">
        <f t="shared" si="93"/>
        <v>#N/A</v>
      </c>
      <c r="AQ64" s="21" t="e">
        <f t="shared" si="94"/>
        <v>#N/A</v>
      </c>
      <c r="AR64" s="92" t="str">
        <f t="shared" si="79"/>
        <v/>
      </c>
      <c r="AS64" s="21" t="str">
        <f t="shared" si="80"/>
        <v/>
      </c>
      <c r="AT64" s="59" t="str">
        <f t="shared" si="54"/>
        <v/>
      </c>
      <c r="AU64" s="105">
        <f t="shared" si="95"/>
        <v>1</v>
      </c>
      <c r="AV64" s="105">
        <f t="shared" si="96"/>
        <v>1</v>
      </c>
      <c r="AW64" s="58">
        <f t="shared" si="88"/>
        <v>2</v>
      </c>
      <c r="AX64" s="58">
        <f t="shared" si="97"/>
        <v>3</v>
      </c>
      <c r="AY64" s="58" t="str">
        <f t="shared" si="98"/>
        <v>avec vannes</v>
      </c>
      <c r="AZ64" s="58" t="str">
        <f t="shared" si="99"/>
        <v>fermé</v>
      </c>
      <c r="BA64" s="60">
        <f t="shared" si="100"/>
        <v>0</v>
      </c>
      <c r="BB64" s="60">
        <f t="shared" si="100"/>
        <v>0</v>
      </c>
      <c r="BC64" s="60">
        <f t="shared" si="100"/>
        <v>0</v>
      </c>
      <c r="BD64" s="60">
        <f t="shared" si="100"/>
        <v>0</v>
      </c>
      <c r="BE64" s="286" t="str">
        <f t="shared" si="61"/>
        <v/>
      </c>
      <c r="BF64" s="58" t="str">
        <f t="shared" si="82"/>
        <v/>
      </c>
      <c r="BG64" s="59" t="str">
        <f t="shared" si="62"/>
        <v/>
      </c>
      <c r="BH64" s="158">
        <f t="shared" ca="1" si="63"/>
        <v>1</v>
      </c>
      <c r="BI64" s="60">
        <f t="shared" ca="1" si="64"/>
        <v>0.15</v>
      </c>
      <c r="BJ64" s="60">
        <f t="shared" si="65"/>
        <v>0.2</v>
      </c>
      <c r="BK64" s="60" t="str">
        <f t="shared" si="83"/>
        <v/>
      </c>
      <c r="BL64" s="21" t="str">
        <f t="shared" si="84"/>
        <v/>
      </c>
      <c r="BM64" s="264" t="str">
        <f t="shared" si="66"/>
        <v/>
      </c>
      <c r="BN64" s="60" t="str">
        <f t="shared" si="85"/>
        <v/>
      </c>
      <c r="BO64" s="136">
        <f t="shared" si="86"/>
        <v>0</v>
      </c>
      <c r="BP64" s="59">
        <f t="shared" si="87"/>
        <v>0</v>
      </c>
      <c r="BQ64" s="136">
        <f t="shared" ca="1" si="68"/>
        <v>1249</v>
      </c>
      <c r="BR64" s="136">
        <f t="shared" ca="1" si="69"/>
        <v>1000.1627906976744</v>
      </c>
      <c r="BS64" s="136">
        <f t="shared" ca="1" si="70"/>
        <v>1468800.1627906978</v>
      </c>
      <c r="BT64" s="136">
        <f t="shared" ca="1" si="71"/>
        <v>313875.08551645686</v>
      </c>
      <c r="BU64" s="136">
        <f t="shared" ca="1" si="72"/>
        <v>1000.1627906976744</v>
      </c>
    </row>
    <row r="65" spans="1:73" x14ac:dyDescent="0.2">
      <c r="A65" s="87" t="str">
        <f>'Etape 2'!A62</f>
        <v/>
      </c>
      <c r="B65" s="87">
        <f>'Etape 2'!B62</f>
        <v>50</v>
      </c>
      <c r="C65" s="87">
        <f ca="1">'Etape 2'!C62</f>
        <v>251</v>
      </c>
      <c r="D65" s="87"/>
      <c r="E65" s="61">
        <f ca="1">RANK(BU65,BU$16:BU$315,0)+COUNTIF(BU$16:BU65,BU65)-1</f>
        <v>251</v>
      </c>
      <c r="F65" s="87" t="str">
        <f>'Etape 2'!D62</f>
        <v/>
      </c>
      <c r="G65" s="87" t="str">
        <f>'Etape 2'!E62</f>
        <v/>
      </c>
      <c r="H65" s="87" t="str">
        <f>'Etape 2'!F62</f>
        <v/>
      </c>
      <c r="I65" s="87" t="str">
        <f>'Etape 2'!G62</f>
        <v/>
      </c>
      <c r="J65" s="87" t="str">
        <f>'Etape 2'!H62</f>
        <v/>
      </c>
      <c r="K65" s="87" t="str">
        <f>'Etape 2'!I62</f>
        <v/>
      </c>
      <c r="L65" s="87">
        <f ca="1">'Etape 2'!J62</f>
        <v>999999</v>
      </c>
      <c r="M65" s="87">
        <f>'Etape 2'!K62</f>
        <v>999</v>
      </c>
      <c r="N65" s="87">
        <f ca="1">'Etape 2'!L62</f>
        <v>50</v>
      </c>
      <c r="O65" s="259">
        <f t="shared" si="43"/>
        <v>0.3</v>
      </c>
      <c r="P65" s="259">
        <f t="shared" si="44"/>
        <v>1.1000000000000001</v>
      </c>
      <c r="Q65" s="260">
        <f t="shared" si="45"/>
        <v>0</v>
      </c>
      <c r="R65" s="261">
        <f t="shared" si="89"/>
        <v>0</v>
      </c>
      <c r="S65" s="87">
        <f>IF(ISBLANK('Etape 2'!N62),0,VLOOKUP('Etape 2'!N62,Matrix_Uebersetzung,2,FALSE))</f>
        <v>0</v>
      </c>
      <c r="T65" s="87">
        <f>IF(ISBLANK('Etape 2'!O62),0,VLOOKUP('Etape 2'!O62,Matrix_Uebersetzung,2,FALSE))</f>
        <v>0</v>
      </c>
      <c r="U65" s="87">
        <f>IF(ISBLANK('Etape 2'!P62),0,VLOOKUP('Etape 2'!P62,Matrix_Uebersetzung,2,FALSE))</f>
        <v>0</v>
      </c>
      <c r="V65" s="87" t="str">
        <f>'Etape 2'!Q62</f>
        <v/>
      </c>
      <c r="W65" s="87">
        <f>'Etape 2'!R62</f>
        <v>0</v>
      </c>
      <c r="X65" s="87" t="str">
        <f>'Etape 2'!S62</f>
        <v/>
      </c>
      <c r="Y65" s="89" t="str">
        <f>'Etape 2'!T62</f>
        <v/>
      </c>
      <c r="Z65" s="87">
        <f>'Etape 2'!U62</f>
        <v>0</v>
      </c>
      <c r="AA65" s="87" t="str">
        <f>'Etape 2'!V62</f>
        <v/>
      </c>
      <c r="AB65" s="87">
        <f>IF(ISNUMBER('Etape 2'!W62),'Etape 2'!W62,0)</f>
        <v>0</v>
      </c>
      <c r="AC65" s="87">
        <f>IF(ISNUMBER('Etape 2'!X62),'Etape 2'!X62,0)</f>
        <v>0</v>
      </c>
      <c r="AD65" s="87">
        <f>IF(ISNUMBER('Etape 2'!Y62),'Etape 2'!Y62,0)</f>
        <v>0</v>
      </c>
      <c r="AE65" s="87">
        <f>IF(ISNUMBER('Etape 2'!Z62),'Etape 2'!Z62,0)</f>
        <v>0</v>
      </c>
      <c r="AF65" s="86">
        <f t="shared" si="74"/>
        <v>999</v>
      </c>
      <c r="AG65" s="288">
        <f t="shared" si="75"/>
        <v>0.25</v>
      </c>
      <c r="AH65" s="181" t="e">
        <f t="shared" si="46"/>
        <v>#VALUE!</v>
      </c>
      <c r="AI65" s="181" t="e">
        <f t="shared" si="76"/>
        <v>#VALUE!</v>
      </c>
      <c r="AJ65" s="86">
        <f t="shared" si="48"/>
        <v>200</v>
      </c>
      <c r="AK65" s="91" t="e">
        <f t="shared" si="49"/>
        <v>#N/A</v>
      </c>
      <c r="AL65" s="91" t="e">
        <f t="shared" si="91"/>
        <v>#N/A</v>
      </c>
      <c r="AM65" s="91">
        <f t="shared" si="92"/>
        <v>6</v>
      </c>
      <c r="AN65" s="91" t="e">
        <f t="shared" si="77"/>
        <v>#N/A</v>
      </c>
      <c r="AO65" s="91" t="e">
        <f t="shared" si="78"/>
        <v>#N/A</v>
      </c>
      <c r="AP65" s="21" t="e">
        <f t="shared" si="93"/>
        <v>#N/A</v>
      </c>
      <c r="AQ65" s="21" t="e">
        <f t="shared" si="94"/>
        <v>#N/A</v>
      </c>
      <c r="AR65" s="92" t="str">
        <f t="shared" si="79"/>
        <v/>
      </c>
      <c r="AS65" s="21" t="str">
        <f t="shared" si="80"/>
        <v/>
      </c>
      <c r="AT65" s="59" t="str">
        <f t="shared" si="54"/>
        <v/>
      </c>
      <c r="AU65" s="105">
        <f t="shared" si="95"/>
        <v>1</v>
      </c>
      <c r="AV65" s="105">
        <f t="shared" si="96"/>
        <v>1</v>
      </c>
      <c r="AW65" s="58">
        <f t="shared" si="88"/>
        <v>2</v>
      </c>
      <c r="AX65" s="58">
        <f t="shared" si="97"/>
        <v>3</v>
      </c>
      <c r="AY65" s="58" t="str">
        <f t="shared" si="98"/>
        <v>avec vannes</v>
      </c>
      <c r="AZ65" s="58" t="str">
        <f t="shared" si="99"/>
        <v>fermé</v>
      </c>
      <c r="BA65" s="60">
        <f t="shared" si="100"/>
        <v>0</v>
      </c>
      <c r="BB65" s="60">
        <f t="shared" si="100"/>
        <v>0</v>
      </c>
      <c r="BC65" s="60">
        <f t="shared" si="100"/>
        <v>0</v>
      </c>
      <c r="BD65" s="60">
        <f t="shared" si="100"/>
        <v>0</v>
      </c>
      <c r="BE65" s="286" t="str">
        <f t="shared" si="61"/>
        <v/>
      </c>
      <c r="BF65" s="58" t="str">
        <f t="shared" si="82"/>
        <v/>
      </c>
      <c r="BG65" s="59" t="str">
        <f t="shared" si="62"/>
        <v/>
      </c>
      <c r="BH65" s="158">
        <f t="shared" ca="1" si="63"/>
        <v>1</v>
      </c>
      <c r="BI65" s="60">
        <f t="shared" ca="1" si="64"/>
        <v>0.15</v>
      </c>
      <c r="BJ65" s="60">
        <f t="shared" si="65"/>
        <v>0.2</v>
      </c>
      <c r="BK65" s="60" t="str">
        <f t="shared" si="83"/>
        <v/>
      </c>
      <c r="BL65" s="21" t="str">
        <f t="shared" si="84"/>
        <v/>
      </c>
      <c r="BM65" s="264" t="str">
        <f t="shared" si="66"/>
        <v/>
      </c>
      <c r="BN65" s="60" t="str">
        <f t="shared" si="85"/>
        <v/>
      </c>
      <c r="BO65" s="136">
        <f t="shared" si="86"/>
        <v>0</v>
      </c>
      <c r="BP65" s="59">
        <f t="shared" si="87"/>
        <v>0</v>
      </c>
      <c r="BQ65" s="136">
        <f t="shared" ca="1" si="68"/>
        <v>1250</v>
      </c>
      <c r="BR65" s="136">
        <f t="shared" ca="1" si="69"/>
        <v>1000.1661129568106</v>
      </c>
      <c r="BS65" s="136">
        <f t="shared" ca="1" si="70"/>
        <v>1468800.1661129568</v>
      </c>
      <c r="BT65" s="136">
        <f t="shared" ca="1" si="71"/>
        <v>313875.08883871604</v>
      </c>
      <c r="BU65" s="136">
        <f t="shared" ca="1" si="72"/>
        <v>1000.1661129568106</v>
      </c>
    </row>
    <row r="66" spans="1:73" x14ac:dyDescent="0.2">
      <c r="A66" s="87" t="str">
        <f>'Etape 2'!A63</f>
        <v/>
      </c>
      <c r="B66" s="87">
        <f>'Etape 2'!B63</f>
        <v>51</v>
      </c>
      <c r="C66" s="87">
        <f ca="1">'Etape 2'!C63</f>
        <v>250</v>
      </c>
      <c r="D66" s="87"/>
      <c r="E66" s="61">
        <f ca="1">RANK(BU66,BU$16:BU$315,0)+COUNTIF(BU$16:BU66,BU66)-1</f>
        <v>250</v>
      </c>
      <c r="F66" s="87" t="str">
        <f>'Etape 2'!D63</f>
        <v/>
      </c>
      <c r="G66" s="87" t="str">
        <f>'Etape 2'!E63</f>
        <v/>
      </c>
      <c r="H66" s="87" t="str">
        <f>'Etape 2'!F63</f>
        <v/>
      </c>
      <c r="I66" s="87" t="str">
        <f>'Etape 2'!G63</f>
        <v/>
      </c>
      <c r="J66" s="87" t="str">
        <f>'Etape 2'!H63</f>
        <v/>
      </c>
      <c r="K66" s="87" t="str">
        <f>'Etape 2'!I63</f>
        <v/>
      </c>
      <c r="L66" s="87">
        <f ca="1">'Etape 2'!J63</f>
        <v>999999</v>
      </c>
      <c r="M66" s="87">
        <f>'Etape 2'!K63</f>
        <v>999</v>
      </c>
      <c r="N66" s="87">
        <f ca="1">'Etape 2'!L63</f>
        <v>51</v>
      </c>
      <c r="O66" s="259">
        <f t="shared" si="43"/>
        <v>0.3</v>
      </c>
      <c r="P66" s="259">
        <f t="shared" si="44"/>
        <v>1.1000000000000001</v>
      </c>
      <c r="Q66" s="260">
        <f t="shared" si="45"/>
        <v>0</v>
      </c>
      <c r="R66" s="261">
        <f t="shared" si="89"/>
        <v>0</v>
      </c>
      <c r="S66" s="87">
        <f>IF(ISBLANK('Etape 2'!N63),0,VLOOKUP('Etape 2'!N63,Matrix_Uebersetzung,2,FALSE))</f>
        <v>0</v>
      </c>
      <c r="T66" s="87">
        <f>IF(ISBLANK('Etape 2'!O63),0,VLOOKUP('Etape 2'!O63,Matrix_Uebersetzung,2,FALSE))</f>
        <v>0</v>
      </c>
      <c r="U66" s="87">
        <f>IF(ISBLANK('Etape 2'!P63),0,VLOOKUP('Etape 2'!P63,Matrix_Uebersetzung,2,FALSE))</f>
        <v>0</v>
      </c>
      <c r="V66" s="87" t="str">
        <f>'Etape 2'!Q63</f>
        <v/>
      </c>
      <c r="W66" s="87">
        <f>'Etape 2'!R63</f>
        <v>0</v>
      </c>
      <c r="X66" s="87" t="str">
        <f>'Etape 2'!S63</f>
        <v/>
      </c>
      <c r="Y66" s="89" t="str">
        <f>'Etape 2'!T63</f>
        <v/>
      </c>
      <c r="Z66" s="87">
        <f>'Etape 2'!U63</f>
        <v>0</v>
      </c>
      <c r="AA66" s="87" t="str">
        <f>'Etape 2'!V63</f>
        <v/>
      </c>
      <c r="AB66" s="87">
        <f>IF(ISNUMBER('Etape 2'!W63),'Etape 2'!W63,0)</f>
        <v>0</v>
      </c>
      <c r="AC66" s="87">
        <f>IF(ISNUMBER('Etape 2'!X63),'Etape 2'!X63,0)</f>
        <v>0</v>
      </c>
      <c r="AD66" s="87">
        <f>IF(ISNUMBER('Etape 2'!Y63),'Etape 2'!Y63,0)</f>
        <v>0</v>
      </c>
      <c r="AE66" s="87">
        <f>IF(ISNUMBER('Etape 2'!Z63),'Etape 2'!Z63,0)</f>
        <v>0</v>
      </c>
      <c r="AF66" s="86">
        <f t="shared" si="74"/>
        <v>999</v>
      </c>
      <c r="AG66" s="288">
        <f t="shared" si="75"/>
        <v>0.25</v>
      </c>
      <c r="AH66" s="181" t="e">
        <f t="shared" si="46"/>
        <v>#VALUE!</v>
      </c>
      <c r="AI66" s="181" t="e">
        <f t="shared" si="76"/>
        <v>#VALUE!</v>
      </c>
      <c r="AJ66" s="86">
        <f t="shared" si="48"/>
        <v>200</v>
      </c>
      <c r="AK66" s="91" t="e">
        <f t="shared" si="49"/>
        <v>#N/A</v>
      </c>
      <c r="AL66" s="91" t="e">
        <f t="shared" si="91"/>
        <v>#N/A</v>
      </c>
      <c r="AM66" s="91">
        <f t="shared" si="92"/>
        <v>6</v>
      </c>
      <c r="AN66" s="91" t="e">
        <f t="shared" si="77"/>
        <v>#N/A</v>
      </c>
      <c r="AO66" s="91" t="e">
        <f t="shared" si="78"/>
        <v>#N/A</v>
      </c>
      <c r="AP66" s="21" t="e">
        <f t="shared" si="93"/>
        <v>#N/A</v>
      </c>
      <c r="AQ66" s="21" t="e">
        <f t="shared" si="94"/>
        <v>#N/A</v>
      </c>
      <c r="AR66" s="92" t="str">
        <f t="shared" si="79"/>
        <v/>
      </c>
      <c r="AS66" s="21" t="str">
        <f t="shared" si="80"/>
        <v/>
      </c>
      <c r="AT66" s="59" t="str">
        <f t="shared" si="54"/>
        <v/>
      </c>
      <c r="AU66" s="105">
        <f t="shared" si="95"/>
        <v>1</v>
      </c>
      <c r="AV66" s="105">
        <f t="shared" si="96"/>
        <v>1</v>
      </c>
      <c r="AW66" s="58">
        <f t="shared" si="88"/>
        <v>2</v>
      </c>
      <c r="AX66" s="58">
        <f t="shared" si="97"/>
        <v>3</v>
      </c>
      <c r="AY66" s="58" t="str">
        <f t="shared" si="98"/>
        <v>avec vannes</v>
      </c>
      <c r="AZ66" s="58" t="str">
        <f t="shared" si="99"/>
        <v>fermé</v>
      </c>
      <c r="BA66" s="60">
        <f t="shared" si="100"/>
        <v>0</v>
      </c>
      <c r="BB66" s="60">
        <f t="shared" si="100"/>
        <v>0</v>
      </c>
      <c r="BC66" s="60">
        <f t="shared" si="100"/>
        <v>0</v>
      </c>
      <c r="BD66" s="60">
        <f t="shared" si="100"/>
        <v>0</v>
      </c>
      <c r="BE66" s="286" t="str">
        <f t="shared" si="61"/>
        <v/>
      </c>
      <c r="BF66" s="58" t="str">
        <f t="shared" si="82"/>
        <v/>
      </c>
      <c r="BG66" s="59" t="str">
        <f t="shared" si="62"/>
        <v/>
      </c>
      <c r="BH66" s="158">
        <f t="shared" ca="1" si="63"/>
        <v>1</v>
      </c>
      <c r="BI66" s="60">
        <f t="shared" ca="1" si="64"/>
        <v>0.15</v>
      </c>
      <c r="BJ66" s="60">
        <f t="shared" si="65"/>
        <v>0.2</v>
      </c>
      <c r="BK66" s="60" t="str">
        <f t="shared" si="83"/>
        <v/>
      </c>
      <c r="BL66" s="21" t="str">
        <f t="shared" si="84"/>
        <v/>
      </c>
      <c r="BM66" s="264" t="str">
        <f t="shared" si="66"/>
        <v/>
      </c>
      <c r="BN66" s="60" t="str">
        <f t="shared" si="85"/>
        <v/>
      </c>
      <c r="BO66" s="136">
        <f t="shared" si="86"/>
        <v>0</v>
      </c>
      <c r="BP66" s="59">
        <f t="shared" si="87"/>
        <v>0</v>
      </c>
      <c r="BQ66" s="136">
        <f t="shared" ca="1" si="68"/>
        <v>1251</v>
      </c>
      <c r="BR66" s="136">
        <f t="shared" ca="1" si="69"/>
        <v>1000.1694352159468</v>
      </c>
      <c r="BS66" s="136">
        <f t="shared" ca="1" si="70"/>
        <v>1468800.1694352159</v>
      </c>
      <c r="BT66" s="136">
        <f t="shared" ca="1" si="71"/>
        <v>313875.09216097515</v>
      </c>
      <c r="BU66" s="136">
        <f t="shared" ca="1" si="72"/>
        <v>1000.1694352159468</v>
      </c>
    </row>
    <row r="67" spans="1:73" x14ac:dyDescent="0.2">
      <c r="A67" s="87" t="str">
        <f>'Etape 2'!A64</f>
        <v/>
      </c>
      <c r="B67" s="87">
        <f>'Etape 2'!B64</f>
        <v>52</v>
      </c>
      <c r="C67" s="87">
        <f ca="1">'Etape 2'!C64</f>
        <v>249</v>
      </c>
      <c r="D67" s="87"/>
      <c r="E67" s="61">
        <f ca="1">RANK(BU67,BU$16:BU$315,0)+COUNTIF(BU$16:BU67,BU67)-1</f>
        <v>249</v>
      </c>
      <c r="F67" s="87" t="str">
        <f>'Etape 2'!D64</f>
        <v/>
      </c>
      <c r="G67" s="87" t="str">
        <f>'Etape 2'!E64</f>
        <v/>
      </c>
      <c r="H67" s="87" t="str">
        <f>'Etape 2'!F64</f>
        <v/>
      </c>
      <c r="I67" s="87" t="str">
        <f>'Etape 2'!G64</f>
        <v/>
      </c>
      <c r="J67" s="87" t="str">
        <f>'Etape 2'!H64</f>
        <v/>
      </c>
      <c r="K67" s="87" t="str">
        <f>'Etape 2'!I64</f>
        <v/>
      </c>
      <c r="L67" s="87">
        <f ca="1">'Etape 2'!J64</f>
        <v>999999</v>
      </c>
      <c r="M67" s="87">
        <f>'Etape 2'!K64</f>
        <v>999</v>
      </c>
      <c r="N67" s="87">
        <f ca="1">'Etape 2'!L64</f>
        <v>52</v>
      </c>
      <c r="O67" s="259">
        <f t="shared" si="43"/>
        <v>0.3</v>
      </c>
      <c r="P67" s="259">
        <f t="shared" si="44"/>
        <v>1.1000000000000001</v>
      </c>
      <c r="Q67" s="260">
        <f t="shared" si="45"/>
        <v>0</v>
      </c>
      <c r="R67" s="261">
        <f t="shared" si="89"/>
        <v>0</v>
      </c>
      <c r="S67" s="87">
        <f>IF(ISBLANK('Etape 2'!N64),0,VLOOKUP('Etape 2'!N64,Matrix_Uebersetzung,2,FALSE))</f>
        <v>0</v>
      </c>
      <c r="T67" s="87">
        <f>IF(ISBLANK('Etape 2'!O64),0,VLOOKUP('Etape 2'!O64,Matrix_Uebersetzung,2,FALSE))</f>
        <v>0</v>
      </c>
      <c r="U67" s="87">
        <f>IF(ISBLANK('Etape 2'!P64),0,VLOOKUP('Etape 2'!P64,Matrix_Uebersetzung,2,FALSE))</f>
        <v>0</v>
      </c>
      <c r="V67" s="87" t="str">
        <f>'Etape 2'!Q64</f>
        <v/>
      </c>
      <c r="W67" s="87">
        <f>'Etape 2'!R64</f>
        <v>0</v>
      </c>
      <c r="X67" s="87" t="str">
        <f>'Etape 2'!S64</f>
        <v/>
      </c>
      <c r="Y67" s="89" t="str">
        <f>'Etape 2'!T64</f>
        <v/>
      </c>
      <c r="Z67" s="87">
        <f>'Etape 2'!U64</f>
        <v>0</v>
      </c>
      <c r="AA67" s="87" t="str">
        <f>'Etape 2'!V64</f>
        <v/>
      </c>
      <c r="AB67" s="87">
        <f>IF(ISNUMBER('Etape 2'!W64),'Etape 2'!W64,0)</f>
        <v>0</v>
      </c>
      <c r="AC67" s="87">
        <f>IF(ISNUMBER('Etape 2'!X64),'Etape 2'!X64,0)</f>
        <v>0</v>
      </c>
      <c r="AD67" s="87">
        <f>IF(ISNUMBER('Etape 2'!Y64),'Etape 2'!Y64,0)</f>
        <v>0</v>
      </c>
      <c r="AE67" s="87">
        <f>IF(ISNUMBER('Etape 2'!Z64),'Etape 2'!Z64,0)</f>
        <v>0</v>
      </c>
      <c r="AF67" s="86">
        <f t="shared" si="74"/>
        <v>999</v>
      </c>
      <c r="AG67" s="288">
        <f t="shared" si="75"/>
        <v>0.25</v>
      </c>
      <c r="AH67" s="181" t="e">
        <f t="shared" si="46"/>
        <v>#VALUE!</v>
      </c>
      <c r="AI67" s="181" t="e">
        <f t="shared" si="76"/>
        <v>#VALUE!</v>
      </c>
      <c r="AJ67" s="86">
        <f t="shared" si="48"/>
        <v>200</v>
      </c>
      <c r="AK67" s="91" t="e">
        <f t="shared" si="49"/>
        <v>#N/A</v>
      </c>
      <c r="AL67" s="91" t="e">
        <f t="shared" si="91"/>
        <v>#N/A</v>
      </c>
      <c r="AM67" s="91">
        <f t="shared" si="92"/>
        <v>6</v>
      </c>
      <c r="AN67" s="91" t="e">
        <f t="shared" si="77"/>
        <v>#N/A</v>
      </c>
      <c r="AO67" s="91" t="e">
        <f t="shared" si="78"/>
        <v>#N/A</v>
      </c>
      <c r="AP67" s="21" t="e">
        <f t="shared" si="93"/>
        <v>#N/A</v>
      </c>
      <c r="AQ67" s="21" t="e">
        <f t="shared" si="94"/>
        <v>#N/A</v>
      </c>
      <c r="AR67" s="92" t="str">
        <f t="shared" si="79"/>
        <v/>
      </c>
      <c r="AS67" s="21" t="str">
        <f t="shared" si="80"/>
        <v/>
      </c>
      <c r="AT67" s="59" t="str">
        <f t="shared" si="54"/>
        <v/>
      </c>
      <c r="AU67" s="105">
        <f t="shared" si="95"/>
        <v>1</v>
      </c>
      <c r="AV67" s="105">
        <f t="shared" si="96"/>
        <v>1</v>
      </c>
      <c r="AW67" s="58">
        <f t="shared" si="88"/>
        <v>2</v>
      </c>
      <c r="AX67" s="58">
        <f t="shared" si="97"/>
        <v>3</v>
      </c>
      <c r="AY67" s="58" t="str">
        <f t="shared" si="98"/>
        <v>avec vannes</v>
      </c>
      <c r="AZ67" s="58" t="str">
        <f t="shared" si="99"/>
        <v>fermé</v>
      </c>
      <c r="BA67" s="60">
        <f t="shared" si="100"/>
        <v>0</v>
      </c>
      <c r="BB67" s="60">
        <f t="shared" si="100"/>
        <v>0</v>
      </c>
      <c r="BC67" s="60">
        <f t="shared" si="100"/>
        <v>0</v>
      </c>
      <c r="BD67" s="60">
        <f t="shared" si="100"/>
        <v>0</v>
      </c>
      <c r="BE67" s="286" t="str">
        <f t="shared" si="61"/>
        <v/>
      </c>
      <c r="BF67" s="58" t="str">
        <f t="shared" si="82"/>
        <v/>
      </c>
      <c r="BG67" s="59" t="str">
        <f t="shared" si="62"/>
        <v/>
      </c>
      <c r="BH67" s="158">
        <f t="shared" ca="1" si="63"/>
        <v>1</v>
      </c>
      <c r="BI67" s="60">
        <f t="shared" ca="1" si="64"/>
        <v>0.15</v>
      </c>
      <c r="BJ67" s="60">
        <f t="shared" si="65"/>
        <v>0.2</v>
      </c>
      <c r="BK67" s="60" t="str">
        <f t="shared" si="83"/>
        <v/>
      </c>
      <c r="BL67" s="21" t="str">
        <f t="shared" si="84"/>
        <v/>
      </c>
      <c r="BM67" s="264" t="str">
        <f t="shared" si="66"/>
        <v/>
      </c>
      <c r="BN67" s="60" t="str">
        <f t="shared" si="85"/>
        <v/>
      </c>
      <c r="BO67" s="136">
        <f t="shared" si="86"/>
        <v>0</v>
      </c>
      <c r="BP67" s="59">
        <f t="shared" si="87"/>
        <v>0</v>
      </c>
      <c r="BQ67" s="136">
        <f t="shared" ca="1" si="68"/>
        <v>1252</v>
      </c>
      <c r="BR67" s="136">
        <f t="shared" ca="1" si="69"/>
        <v>1000.172757475083</v>
      </c>
      <c r="BS67" s="136">
        <f t="shared" ca="1" si="70"/>
        <v>1468800.1727574752</v>
      </c>
      <c r="BT67" s="136">
        <f t="shared" ca="1" si="71"/>
        <v>313875.09548323427</v>
      </c>
      <c r="BU67" s="136">
        <f t="shared" ca="1" si="72"/>
        <v>1000.172757475083</v>
      </c>
    </row>
    <row r="68" spans="1:73" x14ac:dyDescent="0.2">
      <c r="A68" s="87" t="str">
        <f>'Etape 2'!A65</f>
        <v/>
      </c>
      <c r="B68" s="87">
        <f>'Etape 2'!B65</f>
        <v>53</v>
      </c>
      <c r="C68" s="87">
        <f ca="1">'Etape 2'!C65</f>
        <v>248</v>
      </c>
      <c r="D68" s="87"/>
      <c r="E68" s="61">
        <f ca="1">RANK(BU68,BU$16:BU$315,0)+COUNTIF(BU$16:BU68,BU68)-1</f>
        <v>248</v>
      </c>
      <c r="F68" s="87" t="str">
        <f>'Etape 2'!D65</f>
        <v/>
      </c>
      <c r="G68" s="87" t="str">
        <f>'Etape 2'!E65</f>
        <v/>
      </c>
      <c r="H68" s="87" t="str">
        <f>'Etape 2'!F65</f>
        <v/>
      </c>
      <c r="I68" s="87" t="str">
        <f>'Etape 2'!G65</f>
        <v/>
      </c>
      <c r="J68" s="87" t="str">
        <f>'Etape 2'!H65</f>
        <v/>
      </c>
      <c r="K68" s="87" t="str">
        <f>'Etape 2'!I65</f>
        <v/>
      </c>
      <c r="L68" s="87">
        <f ca="1">'Etape 2'!J65</f>
        <v>999999</v>
      </c>
      <c r="M68" s="87">
        <f>'Etape 2'!K65</f>
        <v>999</v>
      </c>
      <c r="N68" s="87">
        <f ca="1">'Etape 2'!L65</f>
        <v>53</v>
      </c>
      <c r="O68" s="259">
        <f t="shared" si="43"/>
        <v>0.3</v>
      </c>
      <c r="P68" s="259">
        <f t="shared" si="44"/>
        <v>1.1000000000000001</v>
      </c>
      <c r="Q68" s="260">
        <f t="shared" si="45"/>
        <v>0</v>
      </c>
      <c r="R68" s="261">
        <f t="shared" si="89"/>
        <v>0</v>
      </c>
      <c r="S68" s="87">
        <f>IF(ISBLANK('Etape 2'!N65),0,VLOOKUP('Etape 2'!N65,Matrix_Uebersetzung,2,FALSE))</f>
        <v>0</v>
      </c>
      <c r="T68" s="87">
        <f>IF(ISBLANK('Etape 2'!O65),0,VLOOKUP('Etape 2'!O65,Matrix_Uebersetzung,2,FALSE))</f>
        <v>0</v>
      </c>
      <c r="U68" s="87">
        <f>IF(ISBLANK('Etape 2'!P65),0,VLOOKUP('Etape 2'!P65,Matrix_Uebersetzung,2,FALSE))</f>
        <v>0</v>
      </c>
      <c r="V68" s="87" t="str">
        <f>'Etape 2'!Q65</f>
        <v/>
      </c>
      <c r="W68" s="87">
        <f>'Etape 2'!R65</f>
        <v>0</v>
      </c>
      <c r="X68" s="87" t="str">
        <f>'Etape 2'!S65</f>
        <v/>
      </c>
      <c r="Y68" s="89" t="str">
        <f>'Etape 2'!T65</f>
        <v/>
      </c>
      <c r="Z68" s="87">
        <f>'Etape 2'!U65</f>
        <v>0</v>
      </c>
      <c r="AA68" s="87" t="str">
        <f>'Etape 2'!V65</f>
        <v/>
      </c>
      <c r="AB68" s="87">
        <f>IF(ISNUMBER('Etape 2'!W65),'Etape 2'!W65,0)</f>
        <v>0</v>
      </c>
      <c r="AC68" s="87">
        <f>IF(ISNUMBER('Etape 2'!X65),'Etape 2'!X65,0)</f>
        <v>0</v>
      </c>
      <c r="AD68" s="87">
        <f>IF(ISNUMBER('Etape 2'!Y65),'Etape 2'!Y65,0)</f>
        <v>0</v>
      </c>
      <c r="AE68" s="87">
        <f>IF(ISNUMBER('Etape 2'!Z65),'Etape 2'!Z65,0)</f>
        <v>0</v>
      </c>
      <c r="AF68" s="86">
        <f t="shared" si="74"/>
        <v>999</v>
      </c>
      <c r="AG68" s="288">
        <f t="shared" si="75"/>
        <v>0.25</v>
      </c>
      <c r="AH68" s="181" t="e">
        <f t="shared" si="46"/>
        <v>#VALUE!</v>
      </c>
      <c r="AI68" s="181" t="e">
        <f t="shared" si="76"/>
        <v>#VALUE!</v>
      </c>
      <c r="AJ68" s="86">
        <f t="shared" si="48"/>
        <v>200</v>
      </c>
      <c r="AK68" s="91" t="e">
        <f t="shared" si="49"/>
        <v>#N/A</v>
      </c>
      <c r="AL68" s="91" t="e">
        <f t="shared" si="91"/>
        <v>#N/A</v>
      </c>
      <c r="AM68" s="91">
        <f t="shared" si="92"/>
        <v>6</v>
      </c>
      <c r="AN68" s="91" t="e">
        <f t="shared" si="77"/>
        <v>#N/A</v>
      </c>
      <c r="AO68" s="91" t="e">
        <f t="shared" si="78"/>
        <v>#N/A</v>
      </c>
      <c r="AP68" s="21" t="e">
        <f t="shared" si="93"/>
        <v>#N/A</v>
      </c>
      <c r="AQ68" s="21" t="e">
        <f t="shared" si="94"/>
        <v>#N/A</v>
      </c>
      <c r="AR68" s="92" t="str">
        <f t="shared" si="79"/>
        <v/>
      </c>
      <c r="AS68" s="21" t="str">
        <f t="shared" si="80"/>
        <v/>
      </c>
      <c r="AT68" s="59" t="str">
        <f t="shared" si="54"/>
        <v/>
      </c>
      <c r="AU68" s="105">
        <f t="shared" si="95"/>
        <v>1</v>
      </c>
      <c r="AV68" s="105">
        <f t="shared" si="96"/>
        <v>1</v>
      </c>
      <c r="AW68" s="58">
        <f t="shared" si="88"/>
        <v>2</v>
      </c>
      <c r="AX68" s="58">
        <f t="shared" si="97"/>
        <v>3</v>
      </c>
      <c r="AY68" s="58" t="str">
        <f t="shared" si="98"/>
        <v>avec vannes</v>
      </c>
      <c r="AZ68" s="58" t="str">
        <f t="shared" si="99"/>
        <v>fermé</v>
      </c>
      <c r="BA68" s="60">
        <f t="shared" si="100"/>
        <v>0</v>
      </c>
      <c r="BB68" s="60">
        <f t="shared" si="100"/>
        <v>0</v>
      </c>
      <c r="BC68" s="60">
        <f t="shared" si="100"/>
        <v>0</v>
      </c>
      <c r="BD68" s="60">
        <f t="shared" si="100"/>
        <v>0</v>
      </c>
      <c r="BE68" s="286" t="str">
        <f t="shared" si="61"/>
        <v/>
      </c>
      <c r="BF68" s="58" t="str">
        <f t="shared" si="82"/>
        <v/>
      </c>
      <c r="BG68" s="59" t="str">
        <f t="shared" si="62"/>
        <v/>
      </c>
      <c r="BH68" s="158">
        <f t="shared" ca="1" si="63"/>
        <v>1</v>
      </c>
      <c r="BI68" s="60">
        <f t="shared" ca="1" si="64"/>
        <v>0.15</v>
      </c>
      <c r="BJ68" s="60">
        <f t="shared" si="65"/>
        <v>0.2</v>
      </c>
      <c r="BK68" s="60" t="str">
        <f t="shared" si="83"/>
        <v/>
      </c>
      <c r="BL68" s="21" t="str">
        <f t="shared" si="84"/>
        <v/>
      </c>
      <c r="BM68" s="264" t="str">
        <f t="shared" si="66"/>
        <v/>
      </c>
      <c r="BN68" s="60" t="str">
        <f t="shared" si="85"/>
        <v/>
      </c>
      <c r="BO68" s="136">
        <f t="shared" si="86"/>
        <v>0</v>
      </c>
      <c r="BP68" s="59">
        <f t="shared" si="87"/>
        <v>0</v>
      </c>
      <c r="BQ68" s="136">
        <f t="shared" ca="1" si="68"/>
        <v>1253</v>
      </c>
      <c r="BR68" s="136">
        <f t="shared" ca="1" si="69"/>
        <v>1000.1760797342192</v>
      </c>
      <c r="BS68" s="136">
        <f t="shared" ca="1" si="70"/>
        <v>1468800.1760797342</v>
      </c>
      <c r="BT68" s="136">
        <f t="shared" ca="1" si="71"/>
        <v>313875.09880549344</v>
      </c>
      <c r="BU68" s="136">
        <f t="shared" ca="1" si="72"/>
        <v>1000.1760797342192</v>
      </c>
    </row>
    <row r="69" spans="1:73" x14ac:dyDescent="0.2">
      <c r="A69" s="87" t="str">
        <f>'Etape 2'!A66</f>
        <v/>
      </c>
      <c r="B69" s="87">
        <f>'Etape 2'!B66</f>
        <v>54</v>
      </c>
      <c r="C69" s="87">
        <f ca="1">'Etape 2'!C66</f>
        <v>247</v>
      </c>
      <c r="D69" s="87"/>
      <c r="E69" s="61">
        <f ca="1">RANK(BU69,BU$16:BU$315,0)+COUNTIF(BU$16:BU69,BU69)-1</f>
        <v>247</v>
      </c>
      <c r="F69" s="87" t="str">
        <f>'Etape 2'!D66</f>
        <v/>
      </c>
      <c r="G69" s="87" t="str">
        <f>'Etape 2'!E66</f>
        <v/>
      </c>
      <c r="H69" s="87" t="str">
        <f>'Etape 2'!F66</f>
        <v/>
      </c>
      <c r="I69" s="87" t="str">
        <f>'Etape 2'!G66</f>
        <v/>
      </c>
      <c r="J69" s="87" t="str">
        <f>'Etape 2'!H66</f>
        <v/>
      </c>
      <c r="K69" s="87" t="str">
        <f>'Etape 2'!I66</f>
        <v/>
      </c>
      <c r="L69" s="87">
        <f ca="1">'Etape 2'!J66</f>
        <v>999999</v>
      </c>
      <c r="M69" s="87">
        <f>'Etape 2'!K66</f>
        <v>999</v>
      </c>
      <c r="N69" s="87">
        <f ca="1">'Etape 2'!L66</f>
        <v>54</v>
      </c>
      <c r="O69" s="259">
        <f t="shared" si="43"/>
        <v>0.3</v>
      </c>
      <c r="P69" s="259">
        <f t="shared" si="44"/>
        <v>1.1000000000000001</v>
      </c>
      <c r="Q69" s="260">
        <f t="shared" si="45"/>
        <v>0</v>
      </c>
      <c r="R69" s="261">
        <f t="shared" si="89"/>
        <v>0</v>
      </c>
      <c r="S69" s="87">
        <f>IF(ISBLANK('Etape 2'!N66),0,VLOOKUP('Etape 2'!N66,Matrix_Uebersetzung,2,FALSE))</f>
        <v>0</v>
      </c>
      <c r="T69" s="87">
        <f>IF(ISBLANK('Etape 2'!O66),0,VLOOKUP('Etape 2'!O66,Matrix_Uebersetzung,2,FALSE))</f>
        <v>0</v>
      </c>
      <c r="U69" s="87">
        <f>IF(ISBLANK('Etape 2'!P66),0,VLOOKUP('Etape 2'!P66,Matrix_Uebersetzung,2,FALSE))</f>
        <v>0</v>
      </c>
      <c r="V69" s="87" t="str">
        <f>'Etape 2'!Q66</f>
        <v/>
      </c>
      <c r="W69" s="87">
        <f>'Etape 2'!R66</f>
        <v>0</v>
      </c>
      <c r="X69" s="87" t="str">
        <f>'Etape 2'!S66</f>
        <v/>
      </c>
      <c r="Y69" s="89" t="str">
        <f>'Etape 2'!T66</f>
        <v/>
      </c>
      <c r="Z69" s="87">
        <f>'Etape 2'!U66</f>
        <v>0</v>
      </c>
      <c r="AA69" s="87" t="str">
        <f>'Etape 2'!V66</f>
        <v/>
      </c>
      <c r="AB69" s="87">
        <f>IF(ISNUMBER('Etape 2'!W66),'Etape 2'!W66,0)</f>
        <v>0</v>
      </c>
      <c r="AC69" s="87">
        <f>IF(ISNUMBER('Etape 2'!X66),'Etape 2'!X66,0)</f>
        <v>0</v>
      </c>
      <c r="AD69" s="87">
        <f>IF(ISNUMBER('Etape 2'!Y66),'Etape 2'!Y66,0)</f>
        <v>0</v>
      </c>
      <c r="AE69" s="87">
        <f>IF(ISNUMBER('Etape 2'!Z66),'Etape 2'!Z66,0)</f>
        <v>0</v>
      </c>
      <c r="AF69" s="86">
        <f t="shared" si="74"/>
        <v>999</v>
      </c>
      <c r="AG69" s="288">
        <f t="shared" si="75"/>
        <v>0.25</v>
      </c>
      <c r="AH69" s="181" t="e">
        <f t="shared" si="46"/>
        <v>#VALUE!</v>
      </c>
      <c r="AI69" s="181" t="e">
        <f t="shared" si="76"/>
        <v>#VALUE!</v>
      </c>
      <c r="AJ69" s="86">
        <f t="shared" si="48"/>
        <v>200</v>
      </c>
      <c r="AK69" s="91" t="e">
        <f t="shared" si="49"/>
        <v>#N/A</v>
      </c>
      <c r="AL69" s="91" t="e">
        <f t="shared" si="91"/>
        <v>#N/A</v>
      </c>
      <c r="AM69" s="91">
        <f t="shared" si="92"/>
        <v>6</v>
      </c>
      <c r="AN69" s="91" t="e">
        <f t="shared" si="77"/>
        <v>#N/A</v>
      </c>
      <c r="AO69" s="91" t="e">
        <f t="shared" si="78"/>
        <v>#N/A</v>
      </c>
      <c r="AP69" s="21" t="e">
        <f t="shared" si="93"/>
        <v>#N/A</v>
      </c>
      <c r="AQ69" s="21" t="e">
        <f t="shared" si="94"/>
        <v>#N/A</v>
      </c>
      <c r="AR69" s="92" t="str">
        <f t="shared" si="79"/>
        <v/>
      </c>
      <c r="AS69" s="21" t="str">
        <f t="shared" si="80"/>
        <v/>
      </c>
      <c r="AT69" s="59" t="str">
        <f t="shared" si="54"/>
        <v/>
      </c>
      <c r="AU69" s="105">
        <f t="shared" si="95"/>
        <v>1</v>
      </c>
      <c r="AV69" s="105">
        <f t="shared" si="96"/>
        <v>1</v>
      </c>
      <c r="AW69" s="58">
        <f t="shared" si="88"/>
        <v>2</v>
      </c>
      <c r="AX69" s="58">
        <f t="shared" si="97"/>
        <v>3</v>
      </c>
      <c r="AY69" s="58" t="str">
        <f t="shared" si="98"/>
        <v>avec vannes</v>
      </c>
      <c r="AZ69" s="58" t="str">
        <f t="shared" si="99"/>
        <v>fermé</v>
      </c>
      <c r="BA69" s="60">
        <f t="shared" si="100"/>
        <v>0</v>
      </c>
      <c r="BB69" s="60">
        <f t="shared" si="100"/>
        <v>0</v>
      </c>
      <c r="BC69" s="60">
        <f t="shared" si="100"/>
        <v>0</v>
      </c>
      <c r="BD69" s="60">
        <f t="shared" si="100"/>
        <v>0</v>
      </c>
      <c r="BE69" s="286" t="str">
        <f t="shared" si="61"/>
        <v/>
      </c>
      <c r="BF69" s="58" t="str">
        <f t="shared" si="82"/>
        <v/>
      </c>
      <c r="BG69" s="59" t="str">
        <f t="shared" si="62"/>
        <v/>
      </c>
      <c r="BH69" s="158">
        <f t="shared" ca="1" si="63"/>
        <v>1</v>
      </c>
      <c r="BI69" s="60">
        <f t="shared" ca="1" si="64"/>
        <v>0.15</v>
      </c>
      <c r="BJ69" s="60">
        <f t="shared" si="65"/>
        <v>0.2</v>
      </c>
      <c r="BK69" s="60" t="str">
        <f t="shared" si="83"/>
        <v/>
      </c>
      <c r="BL69" s="21" t="str">
        <f t="shared" si="84"/>
        <v/>
      </c>
      <c r="BM69" s="264" t="str">
        <f t="shared" si="66"/>
        <v/>
      </c>
      <c r="BN69" s="60" t="str">
        <f t="shared" si="85"/>
        <v/>
      </c>
      <c r="BO69" s="136">
        <f t="shared" si="86"/>
        <v>0</v>
      </c>
      <c r="BP69" s="59">
        <f t="shared" si="87"/>
        <v>0</v>
      </c>
      <c r="BQ69" s="136">
        <f t="shared" ca="1" si="68"/>
        <v>1254</v>
      </c>
      <c r="BR69" s="136">
        <f t="shared" ca="1" si="69"/>
        <v>1000.1794019933554</v>
      </c>
      <c r="BS69" s="136">
        <f t="shared" ca="1" si="70"/>
        <v>1468800.1794019933</v>
      </c>
      <c r="BT69" s="136">
        <f t="shared" ca="1" si="71"/>
        <v>313875.10212775256</v>
      </c>
      <c r="BU69" s="136">
        <f t="shared" ca="1" si="72"/>
        <v>1000.1794019933554</v>
      </c>
    </row>
    <row r="70" spans="1:73" x14ac:dyDescent="0.2">
      <c r="A70" s="87" t="str">
        <f>'Etape 2'!A67</f>
        <v/>
      </c>
      <c r="B70" s="87">
        <f>'Etape 2'!B67</f>
        <v>55</v>
      </c>
      <c r="C70" s="87">
        <f ca="1">'Etape 2'!C67</f>
        <v>246</v>
      </c>
      <c r="D70" s="87"/>
      <c r="E70" s="61">
        <f ca="1">RANK(BU70,BU$16:BU$315,0)+COUNTIF(BU$16:BU70,BU70)-1</f>
        <v>246</v>
      </c>
      <c r="F70" s="87" t="str">
        <f>'Etape 2'!D67</f>
        <v/>
      </c>
      <c r="G70" s="87" t="str">
        <f>'Etape 2'!E67</f>
        <v/>
      </c>
      <c r="H70" s="87" t="str">
        <f>'Etape 2'!F67</f>
        <v/>
      </c>
      <c r="I70" s="87" t="str">
        <f>'Etape 2'!G67</f>
        <v/>
      </c>
      <c r="J70" s="87" t="str">
        <f>'Etape 2'!H67</f>
        <v/>
      </c>
      <c r="K70" s="87" t="str">
        <f>'Etape 2'!I67</f>
        <v/>
      </c>
      <c r="L70" s="87">
        <f ca="1">'Etape 2'!J67</f>
        <v>999999</v>
      </c>
      <c r="M70" s="87">
        <f>'Etape 2'!K67</f>
        <v>999</v>
      </c>
      <c r="N70" s="87">
        <f ca="1">'Etape 2'!L67</f>
        <v>55</v>
      </c>
      <c r="O70" s="259">
        <f t="shared" si="43"/>
        <v>0.3</v>
      </c>
      <c r="P70" s="259">
        <f t="shared" si="44"/>
        <v>1.1000000000000001</v>
      </c>
      <c r="Q70" s="260">
        <f t="shared" si="45"/>
        <v>0</v>
      </c>
      <c r="R70" s="261">
        <f t="shared" si="89"/>
        <v>0</v>
      </c>
      <c r="S70" s="87">
        <f>IF(ISBLANK('Etape 2'!N67),0,VLOOKUP('Etape 2'!N67,Matrix_Uebersetzung,2,FALSE))</f>
        <v>0</v>
      </c>
      <c r="T70" s="87">
        <f>IF(ISBLANK('Etape 2'!O67),0,VLOOKUP('Etape 2'!O67,Matrix_Uebersetzung,2,FALSE))</f>
        <v>0</v>
      </c>
      <c r="U70" s="87">
        <f>IF(ISBLANK('Etape 2'!P67),0,VLOOKUP('Etape 2'!P67,Matrix_Uebersetzung,2,FALSE))</f>
        <v>0</v>
      </c>
      <c r="V70" s="87" t="str">
        <f>'Etape 2'!Q67</f>
        <v/>
      </c>
      <c r="W70" s="87">
        <f>'Etape 2'!R67</f>
        <v>0</v>
      </c>
      <c r="X70" s="87" t="str">
        <f>'Etape 2'!S67</f>
        <v/>
      </c>
      <c r="Y70" s="89" t="str">
        <f>'Etape 2'!T67</f>
        <v/>
      </c>
      <c r="Z70" s="87">
        <f>'Etape 2'!U67</f>
        <v>0</v>
      </c>
      <c r="AA70" s="87" t="str">
        <f>'Etape 2'!V67</f>
        <v/>
      </c>
      <c r="AB70" s="87">
        <f>IF(ISNUMBER('Etape 2'!W67),'Etape 2'!W67,0)</f>
        <v>0</v>
      </c>
      <c r="AC70" s="87">
        <f>IF(ISNUMBER('Etape 2'!X67),'Etape 2'!X67,0)</f>
        <v>0</v>
      </c>
      <c r="AD70" s="87">
        <f>IF(ISNUMBER('Etape 2'!Y67),'Etape 2'!Y67,0)</f>
        <v>0</v>
      </c>
      <c r="AE70" s="87">
        <f>IF(ISNUMBER('Etape 2'!Z67),'Etape 2'!Z67,0)</f>
        <v>0</v>
      </c>
      <c r="AF70" s="86">
        <f t="shared" si="74"/>
        <v>999</v>
      </c>
      <c r="AG70" s="288">
        <f t="shared" si="75"/>
        <v>0.25</v>
      </c>
      <c r="AH70" s="181" t="e">
        <f t="shared" si="46"/>
        <v>#VALUE!</v>
      </c>
      <c r="AI70" s="181" t="e">
        <f t="shared" si="76"/>
        <v>#VALUE!</v>
      </c>
      <c r="AJ70" s="86">
        <f t="shared" si="48"/>
        <v>200</v>
      </c>
      <c r="AK70" s="91" t="e">
        <f t="shared" si="49"/>
        <v>#N/A</v>
      </c>
      <c r="AL70" s="91" t="e">
        <f t="shared" si="91"/>
        <v>#N/A</v>
      </c>
      <c r="AM70" s="91">
        <f t="shared" si="92"/>
        <v>6</v>
      </c>
      <c r="AN70" s="91" t="e">
        <f t="shared" si="77"/>
        <v>#N/A</v>
      </c>
      <c r="AO70" s="91" t="e">
        <f t="shared" si="78"/>
        <v>#N/A</v>
      </c>
      <c r="AP70" s="21" t="e">
        <f t="shared" si="93"/>
        <v>#N/A</v>
      </c>
      <c r="AQ70" s="21" t="e">
        <f t="shared" si="94"/>
        <v>#N/A</v>
      </c>
      <c r="AR70" s="92" t="str">
        <f t="shared" si="79"/>
        <v/>
      </c>
      <c r="AS70" s="21" t="str">
        <f t="shared" si="80"/>
        <v/>
      </c>
      <c r="AT70" s="59" t="str">
        <f t="shared" si="54"/>
        <v/>
      </c>
      <c r="AU70" s="105">
        <f t="shared" si="95"/>
        <v>1</v>
      </c>
      <c r="AV70" s="105">
        <f t="shared" si="96"/>
        <v>1</v>
      </c>
      <c r="AW70" s="58">
        <f t="shared" si="88"/>
        <v>2</v>
      </c>
      <c r="AX70" s="58">
        <f t="shared" si="97"/>
        <v>3</v>
      </c>
      <c r="AY70" s="58" t="str">
        <f t="shared" si="98"/>
        <v>avec vannes</v>
      </c>
      <c r="AZ70" s="58" t="str">
        <f t="shared" si="99"/>
        <v>fermé</v>
      </c>
      <c r="BA70" s="60">
        <f t="shared" si="100"/>
        <v>0</v>
      </c>
      <c r="BB70" s="60">
        <f t="shared" si="100"/>
        <v>0</v>
      </c>
      <c r="BC70" s="60">
        <f t="shared" si="100"/>
        <v>0</v>
      </c>
      <c r="BD70" s="60">
        <f t="shared" si="100"/>
        <v>0</v>
      </c>
      <c r="BE70" s="286" t="str">
        <f t="shared" si="61"/>
        <v/>
      </c>
      <c r="BF70" s="58" t="str">
        <f t="shared" si="82"/>
        <v/>
      </c>
      <c r="BG70" s="59" t="str">
        <f t="shared" si="62"/>
        <v/>
      </c>
      <c r="BH70" s="158">
        <f t="shared" ca="1" si="63"/>
        <v>1</v>
      </c>
      <c r="BI70" s="60">
        <f t="shared" ca="1" si="64"/>
        <v>0.15</v>
      </c>
      <c r="BJ70" s="60">
        <f t="shared" si="65"/>
        <v>0.2</v>
      </c>
      <c r="BK70" s="60" t="str">
        <f t="shared" si="83"/>
        <v/>
      </c>
      <c r="BL70" s="21" t="str">
        <f t="shared" si="84"/>
        <v/>
      </c>
      <c r="BM70" s="264" t="str">
        <f t="shared" si="66"/>
        <v/>
      </c>
      <c r="BN70" s="60" t="str">
        <f t="shared" si="85"/>
        <v/>
      </c>
      <c r="BO70" s="136">
        <f t="shared" si="86"/>
        <v>0</v>
      </c>
      <c r="BP70" s="59">
        <f t="shared" si="87"/>
        <v>0</v>
      </c>
      <c r="BQ70" s="136">
        <f t="shared" ca="1" si="68"/>
        <v>1255</v>
      </c>
      <c r="BR70" s="136">
        <f t="shared" ca="1" si="69"/>
        <v>1000.1827242524917</v>
      </c>
      <c r="BS70" s="136">
        <f t="shared" ca="1" si="70"/>
        <v>1468800.1827242526</v>
      </c>
      <c r="BT70" s="136">
        <f t="shared" ca="1" si="71"/>
        <v>313875.10545001173</v>
      </c>
      <c r="BU70" s="136">
        <f t="shared" ca="1" si="72"/>
        <v>1000.1827242524917</v>
      </c>
    </row>
    <row r="71" spans="1:73" x14ac:dyDescent="0.2">
      <c r="A71" s="87" t="str">
        <f>'Etape 2'!A68</f>
        <v/>
      </c>
      <c r="B71" s="87">
        <f>'Etape 2'!B68</f>
        <v>56</v>
      </c>
      <c r="C71" s="87">
        <f ca="1">'Etape 2'!C68</f>
        <v>245</v>
      </c>
      <c r="D71" s="87"/>
      <c r="E71" s="61">
        <f ca="1">RANK(BU71,BU$16:BU$315,0)+COUNTIF(BU$16:BU71,BU71)-1</f>
        <v>245</v>
      </c>
      <c r="F71" s="87" t="str">
        <f>'Etape 2'!D68</f>
        <v/>
      </c>
      <c r="G71" s="87" t="str">
        <f>'Etape 2'!E68</f>
        <v/>
      </c>
      <c r="H71" s="87" t="str">
        <f>'Etape 2'!F68</f>
        <v/>
      </c>
      <c r="I71" s="87" t="str">
        <f>'Etape 2'!G68</f>
        <v/>
      </c>
      <c r="J71" s="87" t="str">
        <f>'Etape 2'!H68</f>
        <v/>
      </c>
      <c r="K71" s="87" t="str">
        <f>'Etape 2'!I68</f>
        <v/>
      </c>
      <c r="L71" s="87">
        <f ca="1">'Etape 2'!J68</f>
        <v>999999</v>
      </c>
      <c r="M71" s="87">
        <f>'Etape 2'!K68</f>
        <v>999</v>
      </c>
      <c r="N71" s="87">
        <f ca="1">'Etape 2'!L68</f>
        <v>56</v>
      </c>
      <c r="O71" s="259">
        <f t="shared" si="43"/>
        <v>0.3</v>
      </c>
      <c r="P71" s="259">
        <f t="shared" si="44"/>
        <v>1.1000000000000001</v>
      </c>
      <c r="Q71" s="260">
        <f t="shared" si="45"/>
        <v>0</v>
      </c>
      <c r="R71" s="261">
        <f t="shared" si="89"/>
        <v>0</v>
      </c>
      <c r="S71" s="87">
        <f>IF(ISBLANK('Etape 2'!N68),0,VLOOKUP('Etape 2'!N68,Matrix_Uebersetzung,2,FALSE))</f>
        <v>0</v>
      </c>
      <c r="T71" s="87">
        <f>IF(ISBLANK('Etape 2'!O68),0,VLOOKUP('Etape 2'!O68,Matrix_Uebersetzung,2,FALSE))</f>
        <v>0</v>
      </c>
      <c r="U71" s="87">
        <f>IF(ISBLANK('Etape 2'!P68),0,VLOOKUP('Etape 2'!P68,Matrix_Uebersetzung,2,FALSE))</f>
        <v>0</v>
      </c>
      <c r="V71" s="87" t="str">
        <f>'Etape 2'!Q68</f>
        <v/>
      </c>
      <c r="W71" s="87">
        <f>'Etape 2'!R68</f>
        <v>0</v>
      </c>
      <c r="X71" s="87" t="str">
        <f>'Etape 2'!S68</f>
        <v/>
      </c>
      <c r="Y71" s="89" t="str">
        <f>'Etape 2'!T68</f>
        <v/>
      </c>
      <c r="Z71" s="87">
        <f>'Etape 2'!U68</f>
        <v>0</v>
      </c>
      <c r="AA71" s="87" t="str">
        <f>'Etape 2'!V68</f>
        <v/>
      </c>
      <c r="AB71" s="87">
        <f>IF(ISNUMBER('Etape 2'!W68),'Etape 2'!W68,0)</f>
        <v>0</v>
      </c>
      <c r="AC71" s="87">
        <f>IF(ISNUMBER('Etape 2'!X68),'Etape 2'!X68,0)</f>
        <v>0</v>
      </c>
      <c r="AD71" s="87">
        <f>IF(ISNUMBER('Etape 2'!Y68),'Etape 2'!Y68,0)</f>
        <v>0</v>
      </c>
      <c r="AE71" s="87">
        <f>IF(ISNUMBER('Etape 2'!Z68),'Etape 2'!Z68,0)</f>
        <v>0</v>
      </c>
      <c r="AF71" s="86">
        <f t="shared" si="74"/>
        <v>999</v>
      </c>
      <c r="AG71" s="288">
        <f t="shared" si="75"/>
        <v>0.25</v>
      </c>
      <c r="AH71" s="181" t="e">
        <f t="shared" si="46"/>
        <v>#VALUE!</v>
      </c>
      <c r="AI71" s="181" t="e">
        <f t="shared" si="76"/>
        <v>#VALUE!</v>
      </c>
      <c r="AJ71" s="86">
        <f t="shared" si="48"/>
        <v>200</v>
      </c>
      <c r="AK71" s="91" t="e">
        <f t="shared" si="49"/>
        <v>#N/A</v>
      </c>
      <c r="AL71" s="91" t="e">
        <f t="shared" si="91"/>
        <v>#N/A</v>
      </c>
      <c r="AM71" s="91">
        <f t="shared" si="92"/>
        <v>6</v>
      </c>
      <c r="AN71" s="91" t="e">
        <f t="shared" si="77"/>
        <v>#N/A</v>
      </c>
      <c r="AO71" s="91" t="e">
        <f t="shared" si="78"/>
        <v>#N/A</v>
      </c>
      <c r="AP71" s="21" t="e">
        <f t="shared" si="93"/>
        <v>#N/A</v>
      </c>
      <c r="AQ71" s="21" t="e">
        <f t="shared" si="94"/>
        <v>#N/A</v>
      </c>
      <c r="AR71" s="92" t="str">
        <f t="shared" si="79"/>
        <v/>
      </c>
      <c r="AS71" s="21" t="str">
        <f t="shared" si="80"/>
        <v/>
      </c>
      <c r="AT71" s="59" t="str">
        <f t="shared" si="54"/>
        <v/>
      </c>
      <c r="AU71" s="105">
        <f t="shared" si="95"/>
        <v>1</v>
      </c>
      <c r="AV71" s="105">
        <f t="shared" si="96"/>
        <v>1</v>
      </c>
      <c r="AW71" s="58">
        <f t="shared" si="88"/>
        <v>2</v>
      </c>
      <c r="AX71" s="58">
        <f t="shared" si="97"/>
        <v>3</v>
      </c>
      <c r="AY71" s="58" t="str">
        <f t="shared" si="98"/>
        <v>avec vannes</v>
      </c>
      <c r="AZ71" s="58" t="str">
        <f t="shared" si="99"/>
        <v>fermé</v>
      </c>
      <c r="BA71" s="60">
        <f t="shared" si="100"/>
        <v>0</v>
      </c>
      <c r="BB71" s="60">
        <f t="shared" si="100"/>
        <v>0</v>
      </c>
      <c r="BC71" s="60">
        <f t="shared" si="100"/>
        <v>0</v>
      </c>
      <c r="BD71" s="60">
        <f t="shared" si="100"/>
        <v>0</v>
      </c>
      <c r="BE71" s="286" t="str">
        <f t="shared" si="61"/>
        <v/>
      </c>
      <c r="BF71" s="58" t="str">
        <f t="shared" si="82"/>
        <v/>
      </c>
      <c r="BG71" s="59" t="str">
        <f t="shared" si="62"/>
        <v/>
      </c>
      <c r="BH71" s="158">
        <f t="shared" ca="1" si="63"/>
        <v>1</v>
      </c>
      <c r="BI71" s="60">
        <f t="shared" ca="1" si="64"/>
        <v>0.15</v>
      </c>
      <c r="BJ71" s="60">
        <f t="shared" si="65"/>
        <v>0.2</v>
      </c>
      <c r="BK71" s="60" t="str">
        <f t="shared" si="83"/>
        <v/>
      </c>
      <c r="BL71" s="21" t="str">
        <f t="shared" si="84"/>
        <v/>
      </c>
      <c r="BM71" s="264" t="str">
        <f t="shared" si="66"/>
        <v/>
      </c>
      <c r="BN71" s="60" t="str">
        <f t="shared" si="85"/>
        <v/>
      </c>
      <c r="BO71" s="136">
        <f t="shared" si="86"/>
        <v>0</v>
      </c>
      <c r="BP71" s="59">
        <f t="shared" si="87"/>
        <v>0</v>
      </c>
      <c r="BQ71" s="136">
        <f t="shared" ca="1" si="68"/>
        <v>1256</v>
      </c>
      <c r="BR71" s="136">
        <f t="shared" ca="1" si="69"/>
        <v>1000.1860465116279</v>
      </c>
      <c r="BS71" s="136">
        <f t="shared" ca="1" si="70"/>
        <v>1468800.1860465116</v>
      </c>
      <c r="BT71" s="136">
        <f t="shared" ca="1" si="71"/>
        <v>313875.10877227085</v>
      </c>
      <c r="BU71" s="136">
        <f t="shared" ca="1" si="72"/>
        <v>1000.1860465116279</v>
      </c>
    </row>
    <row r="72" spans="1:73" x14ac:dyDescent="0.2">
      <c r="A72" s="87" t="str">
        <f>'Etape 2'!A69</f>
        <v/>
      </c>
      <c r="B72" s="87">
        <f>'Etape 2'!B69</f>
        <v>57</v>
      </c>
      <c r="C72" s="87">
        <f ca="1">'Etape 2'!C69</f>
        <v>244</v>
      </c>
      <c r="D72" s="87"/>
      <c r="E72" s="61">
        <f ca="1">RANK(BU72,BU$16:BU$315,0)+COUNTIF(BU$16:BU72,BU72)-1</f>
        <v>244</v>
      </c>
      <c r="F72" s="87" t="str">
        <f>'Etape 2'!D69</f>
        <v/>
      </c>
      <c r="G72" s="87" t="str">
        <f>'Etape 2'!E69</f>
        <v/>
      </c>
      <c r="H72" s="87" t="str">
        <f>'Etape 2'!F69</f>
        <v/>
      </c>
      <c r="I72" s="87" t="str">
        <f>'Etape 2'!G69</f>
        <v/>
      </c>
      <c r="J72" s="87" t="str">
        <f>'Etape 2'!H69</f>
        <v/>
      </c>
      <c r="K72" s="87" t="str">
        <f>'Etape 2'!I69</f>
        <v/>
      </c>
      <c r="L72" s="87">
        <f ca="1">'Etape 2'!J69</f>
        <v>999999</v>
      </c>
      <c r="M72" s="87">
        <f>'Etape 2'!K69</f>
        <v>999</v>
      </c>
      <c r="N72" s="87">
        <f ca="1">'Etape 2'!L69</f>
        <v>57</v>
      </c>
      <c r="O72" s="259">
        <f t="shared" si="43"/>
        <v>0.3</v>
      </c>
      <c r="P72" s="259">
        <f t="shared" si="44"/>
        <v>1.1000000000000001</v>
      </c>
      <c r="Q72" s="260">
        <f t="shared" si="45"/>
        <v>0</v>
      </c>
      <c r="R72" s="261">
        <f t="shared" si="89"/>
        <v>0</v>
      </c>
      <c r="S72" s="87">
        <f>IF(ISBLANK('Etape 2'!N69),0,VLOOKUP('Etape 2'!N69,Matrix_Uebersetzung,2,FALSE))</f>
        <v>0</v>
      </c>
      <c r="T72" s="87">
        <f>IF(ISBLANK('Etape 2'!O69),0,VLOOKUP('Etape 2'!O69,Matrix_Uebersetzung,2,FALSE))</f>
        <v>0</v>
      </c>
      <c r="U72" s="87">
        <f>IF(ISBLANK('Etape 2'!P69),0,VLOOKUP('Etape 2'!P69,Matrix_Uebersetzung,2,FALSE))</f>
        <v>0</v>
      </c>
      <c r="V72" s="87" t="str">
        <f>'Etape 2'!Q69</f>
        <v/>
      </c>
      <c r="W72" s="87">
        <f>'Etape 2'!R69</f>
        <v>0</v>
      </c>
      <c r="X72" s="87" t="str">
        <f>'Etape 2'!S69</f>
        <v/>
      </c>
      <c r="Y72" s="89" t="str">
        <f>'Etape 2'!T69</f>
        <v/>
      </c>
      <c r="Z72" s="87">
        <f>'Etape 2'!U69</f>
        <v>0</v>
      </c>
      <c r="AA72" s="87" t="str">
        <f>'Etape 2'!V69</f>
        <v/>
      </c>
      <c r="AB72" s="87">
        <f>IF(ISNUMBER('Etape 2'!W69),'Etape 2'!W69,0)</f>
        <v>0</v>
      </c>
      <c r="AC72" s="87">
        <f>IF(ISNUMBER('Etape 2'!X69),'Etape 2'!X69,0)</f>
        <v>0</v>
      </c>
      <c r="AD72" s="87">
        <f>IF(ISNUMBER('Etape 2'!Y69),'Etape 2'!Y69,0)</f>
        <v>0</v>
      </c>
      <c r="AE72" s="87">
        <f>IF(ISNUMBER('Etape 2'!Z69),'Etape 2'!Z69,0)</f>
        <v>0</v>
      </c>
      <c r="AF72" s="86">
        <f t="shared" si="74"/>
        <v>999</v>
      </c>
      <c r="AG72" s="288">
        <f t="shared" si="75"/>
        <v>0.25</v>
      </c>
      <c r="AH72" s="181" t="e">
        <f t="shared" si="46"/>
        <v>#VALUE!</v>
      </c>
      <c r="AI72" s="181" t="e">
        <f t="shared" si="76"/>
        <v>#VALUE!</v>
      </c>
      <c r="AJ72" s="86">
        <f t="shared" si="48"/>
        <v>200</v>
      </c>
      <c r="AK72" s="91" t="e">
        <f t="shared" si="49"/>
        <v>#N/A</v>
      </c>
      <c r="AL72" s="91" t="e">
        <f t="shared" si="91"/>
        <v>#N/A</v>
      </c>
      <c r="AM72" s="91">
        <f t="shared" si="92"/>
        <v>6</v>
      </c>
      <c r="AN72" s="91" t="e">
        <f t="shared" si="77"/>
        <v>#N/A</v>
      </c>
      <c r="AO72" s="91" t="e">
        <f t="shared" si="78"/>
        <v>#N/A</v>
      </c>
      <c r="AP72" s="21" t="e">
        <f t="shared" si="93"/>
        <v>#N/A</v>
      </c>
      <c r="AQ72" s="21" t="e">
        <f t="shared" si="94"/>
        <v>#N/A</v>
      </c>
      <c r="AR72" s="92" t="str">
        <f t="shared" si="79"/>
        <v/>
      </c>
      <c r="AS72" s="21" t="str">
        <f t="shared" si="80"/>
        <v/>
      </c>
      <c r="AT72" s="59" t="str">
        <f t="shared" si="54"/>
        <v/>
      </c>
      <c r="AU72" s="105">
        <f t="shared" si="95"/>
        <v>1</v>
      </c>
      <c r="AV72" s="105">
        <f t="shared" si="96"/>
        <v>1</v>
      </c>
      <c r="AW72" s="58">
        <f t="shared" si="88"/>
        <v>2</v>
      </c>
      <c r="AX72" s="58">
        <f t="shared" si="97"/>
        <v>3</v>
      </c>
      <c r="AY72" s="58" t="str">
        <f t="shared" si="98"/>
        <v>avec vannes</v>
      </c>
      <c r="AZ72" s="58" t="str">
        <f t="shared" si="99"/>
        <v>fermé</v>
      </c>
      <c r="BA72" s="60">
        <f t="shared" si="100"/>
        <v>0</v>
      </c>
      <c r="BB72" s="60">
        <f t="shared" si="100"/>
        <v>0</v>
      </c>
      <c r="BC72" s="60">
        <f t="shared" si="100"/>
        <v>0</v>
      </c>
      <c r="BD72" s="60">
        <f t="shared" si="100"/>
        <v>0</v>
      </c>
      <c r="BE72" s="286" t="str">
        <f t="shared" si="61"/>
        <v/>
      </c>
      <c r="BF72" s="58" t="str">
        <f t="shared" si="82"/>
        <v/>
      </c>
      <c r="BG72" s="59" t="str">
        <f t="shared" si="62"/>
        <v/>
      </c>
      <c r="BH72" s="158">
        <f t="shared" ca="1" si="63"/>
        <v>1</v>
      </c>
      <c r="BI72" s="60">
        <f t="shared" ca="1" si="64"/>
        <v>0.15</v>
      </c>
      <c r="BJ72" s="60">
        <f t="shared" si="65"/>
        <v>0.2</v>
      </c>
      <c r="BK72" s="60" t="str">
        <f t="shared" si="83"/>
        <v/>
      </c>
      <c r="BL72" s="21" t="str">
        <f t="shared" si="84"/>
        <v/>
      </c>
      <c r="BM72" s="264" t="str">
        <f t="shared" si="66"/>
        <v/>
      </c>
      <c r="BN72" s="60" t="str">
        <f t="shared" si="85"/>
        <v/>
      </c>
      <c r="BO72" s="136">
        <f t="shared" si="86"/>
        <v>0</v>
      </c>
      <c r="BP72" s="59">
        <f t="shared" si="87"/>
        <v>0</v>
      </c>
      <c r="BQ72" s="136">
        <f t="shared" ca="1" si="68"/>
        <v>1257</v>
      </c>
      <c r="BR72" s="136">
        <f t="shared" ca="1" si="69"/>
        <v>1000.1893687707641</v>
      </c>
      <c r="BS72" s="136">
        <f t="shared" ca="1" si="70"/>
        <v>1468800.1893687707</v>
      </c>
      <c r="BT72" s="136">
        <f t="shared" ca="1" si="71"/>
        <v>313875.11209452996</v>
      </c>
      <c r="BU72" s="136">
        <f t="shared" ca="1" si="72"/>
        <v>1000.1893687707641</v>
      </c>
    </row>
    <row r="73" spans="1:73" x14ac:dyDescent="0.2">
      <c r="A73" s="87" t="str">
        <f>'Etape 2'!A70</f>
        <v/>
      </c>
      <c r="B73" s="87">
        <f>'Etape 2'!B70</f>
        <v>58</v>
      </c>
      <c r="C73" s="87">
        <f ca="1">'Etape 2'!C70</f>
        <v>243</v>
      </c>
      <c r="D73" s="87"/>
      <c r="E73" s="61">
        <f ca="1">RANK(BU73,BU$16:BU$315,0)+COUNTIF(BU$16:BU73,BU73)-1</f>
        <v>243</v>
      </c>
      <c r="F73" s="87" t="str">
        <f>'Etape 2'!D70</f>
        <v/>
      </c>
      <c r="G73" s="87" t="str">
        <f>'Etape 2'!E70</f>
        <v/>
      </c>
      <c r="H73" s="87" t="str">
        <f>'Etape 2'!F70</f>
        <v/>
      </c>
      <c r="I73" s="87" t="str">
        <f>'Etape 2'!G70</f>
        <v/>
      </c>
      <c r="J73" s="87" t="str">
        <f>'Etape 2'!H70</f>
        <v/>
      </c>
      <c r="K73" s="87" t="str">
        <f>'Etape 2'!I70</f>
        <v/>
      </c>
      <c r="L73" s="87">
        <f ca="1">'Etape 2'!J70</f>
        <v>999999</v>
      </c>
      <c r="M73" s="87">
        <f>'Etape 2'!K70</f>
        <v>999</v>
      </c>
      <c r="N73" s="87">
        <f ca="1">'Etape 2'!L70</f>
        <v>58</v>
      </c>
      <c r="O73" s="259">
        <f t="shared" si="43"/>
        <v>0.3</v>
      </c>
      <c r="P73" s="259">
        <f t="shared" si="44"/>
        <v>1.1000000000000001</v>
      </c>
      <c r="Q73" s="260">
        <f t="shared" si="45"/>
        <v>0</v>
      </c>
      <c r="R73" s="261">
        <f t="shared" si="89"/>
        <v>0</v>
      </c>
      <c r="S73" s="87">
        <f>IF(ISBLANK('Etape 2'!N70),0,VLOOKUP('Etape 2'!N70,Matrix_Uebersetzung,2,FALSE))</f>
        <v>0</v>
      </c>
      <c r="T73" s="87">
        <f>IF(ISBLANK('Etape 2'!O70),0,VLOOKUP('Etape 2'!O70,Matrix_Uebersetzung,2,FALSE))</f>
        <v>0</v>
      </c>
      <c r="U73" s="87">
        <f>IF(ISBLANK('Etape 2'!P70),0,VLOOKUP('Etape 2'!P70,Matrix_Uebersetzung,2,FALSE))</f>
        <v>0</v>
      </c>
      <c r="V73" s="87" t="str">
        <f>'Etape 2'!Q70</f>
        <v/>
      </c>
      <c r="W73" s="87">
        <f>'Etape 2'!R70</f>
        <v>0</v>
      </c>
      <c r="X73" s="87" t="str">
        <f>'Etape 2'!S70</f>
        <v/>
      </c>
      <c r="Y73" s="89" t="str">
        <f>'Etape 2'!T70</f>
        <v/>
      </c>
      <c r="Z73" s="87">
        <f>'Etape 2'!U70</f>
        <v>0</v>
      </c>
      <c r="AA73" s="87" t="str">
        <f>'Etape 2'!V70</f>
        <v/>
      </c>
      <c r="AB73" s="87">
        <f>IF(ISNUMBER('Etape 2'!W70),'Etape 2'!W70,0)</f>
        <v>0</v>
      </c>
      <c r="AC73" s="87">
        <f>IF(ISNUMBER('Etape 2'!X70),'Etape 2'!X70,0)</f>
        <v>0</v>
      </c>
      <c r="AD73" s="87">
        <f>IF(ISNUMBER('Etape 2'!Y70),'Etape 2'!Y70,0)</f>
        <v>0</v>
      </c>
      <c r="AE73" s="87">
        <f>IF(ISNUMBER('Etape 2'!Z70),'Etape 2'!Z70,0)</f>
        <v>0</v>
      </c>
      <c r="AF73" s="86">
        <f t="shared" si="74"/>
        <v>999</v>
      </c>
      <c r="AG73" s="288">
        <f t="shared" si="75"/>
        <v>0.25</v>
      </c>
      <c r="AH73" s="181" t="e">
        <f t="shared" si="46"/>
        <v>#VALUE!</v>
      </c>
      <c r="AI73" s="181" t="e">
        <f t="shared" si="76"/>
        <v>#VALUE!</v>
      </c>
      <c r="AJ73" s="86">
        <f t="shared" si="48"/>
        <v>200</v>
      </c>
      <c r="AK73" s="91" t="e">
        <f t="shared" si="49"/>
        <v>#N/A</v>
      </c>
      <c r="AL73" s="91" t="e">
        <f t="shared" si="91"/>
        <v>#N/A</v>
      </c>
      <c r="AM73" s="91">
        <f t="shared" si="92"/>
        <v>6</v>
      </c>
      <c r="AN73" s="91" t="e">
        <f t="shared" si="77"/>
        <v>#N/A</v>
      </c>
      <c r="AO73" s="91" t="e">
        <f t="shared" si="78"/>
        <v>#N/A</v>
      </c>
      <c r="AP73" s="21" t="e">
        <f t="shared" si="93"/>
        <v>#N/A</v>
      </c>
      <c r="AQ73" s="21" t="e">
        <f t="shared" si="94"/>
        <v>#N/A</v>
      </c>
      <c r="AR73" s="92" t="str">
        <f t="shared" si="79"/>
        <v/>
      </c>
      <c r="AS73" s="21" t="str">
        <f t="shared" si="80"/>
        <v/>
      </c>
      <c r="AT73" s="59" t="str">
        <f t="shared" si="54"/>
        <v/>
      </c>
      <c r="AU73" s="105">
        <f t="shared" si="95"/>
        <v>1</v>
      </c>
      <c r="AV73" s="105">
        <f t="shared" si="96"/>
        <v>1</v>
      </c>
      <c r="AW73" s="58">
        <f t="shared" si="88"/>
        <v>2</v>
      </c>
      <c r="AX73" s="58">
        <f t="shared" si="97"/>
        <v>3</v>
      </c>
      <c r="AY73" s="58" t="str">
        <f t="shared" si="98"/>
        <v>avec vannes</v>
      </c>
      <c r="AZ73" s="58" t="str">
        <f t="shared" si="99"/>
        <v>fermé</v>
      </c>
      <c r="BA73" s="60">
        <f t="shared" si="100"/>
        <v>0</v>
      </c>
      <c r="BB73" s="60">
        <f t="shared" si="100"/>
        <v>0</v>
      </c>
      <c r="BC73" s="60">
        <f t="shared" si="100"/>
        <v>0</v>
      </c>
      <c r="BD73" s="60">
        <f t="shared" si="100"/>
        <v>0</v>
      </c>
      <c r="BE73" s="286" t="str">
        <f t="shared" si="61"/>
        <v/>
      </c>
      <c r="BF73" s="58" t="str">
        <f t="shared" si="82"/>
        <v/>
      </c>
      <c r="BG73" s="59" t="str">
        <f t="shared" si="62"/>
        <v/>
      </c>
      <c r="BH73" s="158">
        <f t="shared" ca="1" si="63"/>
        <v>1</v>
      </c>
      <c r="BI73" s="60">
        <f t="shared" ca="1" si="64"/>
        <v>0.15</v>
      </c>
      <c r="BJ73" s="60">
        <f t="shared" si="65"/>
        <v>0.2</v>
      </c>
      <c r="BK73" s="60" t="str">
        <f t="shared" si="83"/>
        <v/>
      </c>
      <c r="BL73" s="21" t="str">
        <f t="shared" si="84"/>
        <v/>
      </c>
      <c r="BM73" s="264" t="str">
        <f t="shared" si="66"/>
        <v/>
      </c>
      <c r="BN73" s="60" t="str">
        <f t="shared" si="85"/>
        <v/>
      </c>
      <c r="BO73" s="136">
        <f t="shared" si="86"/>
        <v>0</v>
      </c>
      <c r="BP73" s="59">
        <f t="shared" si="87"/>
        <v>0</v>
      </c>
      <c r="BQ73" s="136">
        <f t="shared" ca="1" si="68"/>
        <v>1258</v>
      </c>
      <c r="BR73" s="136">
        <f t="shared" ca="1" si="69"/>
        <v>1000.1926910299003</v>
      </c>
      <c r="BS73" s="136">
        <f t="shared" ca="1" si="70"/>
        <v>1468800.19269103</v>
      </c>
      <c r="BT73" s="136">
        <f t="shared" ca="1" si="71"/>
        <v>313875.11541678914</v>
      </c>
      <c r="BU73" s="136">
        <f t="shared" ca="1" si="72"/>
        <v>1000.1926910299003</v>
      </c>
    </row>
    <row r="74" spans="1:73" x14ac:dyDescent="0.2">
      <c r="A74" s="87" t="str">
        <f>'Etape 2'!A71</f>
        <v/>
      </c>
      <c r="B74" s="87">
        <f>'Etape 2'!B71</f>
        <v>59</v>
      </c>
      <c r="C74" s="87">
        <f ca="1">'Etape 2'!C71</f>
        <v>242</v>
      </c>
      <c r="D74" s="87"/>
      <c r="E74" s="61">
        <f ca="1">RANK(BU74,BU$16:BU$315,0)+COUNTIF(BU$16:BU74,BU74)-1</f>
        <v>242</v>
      </c>
      <c r="F74" s="87" t="str">
        <f>'Etape 2'!D71</f>
        <v/>
      </c>
      <c r="G74" s="87" t="str">
        <f>'Etape 2'!E71</f>
        <v/>
      </c>
      <c r="H74" s="87" t="str">
        <f>'Etape 2'!F71</f>
        <v/>
      </c>
      <c r="I74" s="87" t="str">
        <f>'Etape 2'!G71</f>
        <v/>
      </c>
      <c r="J74" s="87" t="str">
        <f>'Etape 2'!H71</f>
        <v/>
      </c>
      <c r="K74" s="87" t="str">
        <f>'Etape 2'!I71</f>
        <v/>
      </c>
      <c r="L74" s="87">
        <f ca="1">'Etape 2'!J71</f>
        <v>999999</v>
      </c>
      <c r="M74" s="87">
        <f>'Etape 2'!K71</f>
        <v>999</v>
      </c>
      <c r="N74" s="87">
        <f ca="1">'Etape 2'!L71</f>
        <v>59</v>
      </c>
      <c r="O74" s="259">
        <f t="shared" si="43"/>
        <v>0.3</v>
      </c>
      <c r="P74" s="259">
        <f t="shared" si="44"/>
        <v>1.1000000000000001</v>
      </c>
      <c r="Q74" s="260">
        <f t="shared" si="45"/>
        <v>0</v>
      </c>
      <c r="R74" s="261">
        <f t="shared" si="89"/>
        <v>0</v>
      </c>
      <c r="S74" s="87">
        <f>IF(ISBLANK('Etape 2'!N71),0,VLOOKUP('Etape 2'!N71,Matrix_Uebersetzung,2,FALSE))</f>
        <v>0</v>
      </c>
      <c r="T74" s="87">
        <f>IF(ISBLANK('Etape 2'!O71),0,VLOOKUP('Etape 2'!O71,Matrix_Uebersetzung,2,FALSE))</f>
        <v>0</v>
      </c>
      <c r="U74" s="87">
        <f>IF(ISBLANK('Etape 2'!P71),0,VLOOKUP('Etape 2'!P71,Matrix_Uebersetzung,2,FALSE))</f>
        <v>0</v>
      </c>
      <c r="V74" s="87" t="str">
        <f>'Etape 2'!Q71</f>
        <v/>
      </c>
      <c r="W74" s="87">
        <f>'Etape 2'!R71</f>
        <v>0</v>
      </c>
      <c r="X74" s="87" t="str">
        <f>'Etape 2'!S71</f>
        <v/>
      </c>
      <c r="Y74" s="89" t="str">
        <f>'Etape 2'!T71</f>
        <v/>
      </c>
      <c r="Z74" s="87">
        <f>'Etape 2'!U71</f>
        <v>0</v>
      </c>
      <c r="AA74" s="87" t="str">
        <f>'Etape 2'!V71</f>
        <v/>
      </c>
      <c r="AB74" s="87">
        <f>IF(ISNUMBER('Etape 2'!W71),'Etape 2'!W71,0)</f>
        <v>0</v>
      </c>
      <c r="AC74" s="87">
        <f>IF(ISNUMBER('Etape 2'!X71),'Etape 2'!X71,0)</f>
        <v>0</v>
      </c>
      <c r="AD74" s="87">
        <f>IF(ISNUMBER('Etape 2'!Y71),'Etape 2'!Y71,0)</f>
        <v>0</v>
      </c>
      <c r="AE74" s="87">
        <f>IF(ISNUMBER('Etape 2'!Z71),'Etape 2'!Z71,0)</f>
        <v>0</v>
      </c>
      <c r="AF74" s="86">
        <f t="shared" si="74"/>
        <v>999</v>
      </c>
      <c r="AG74" s="288">
        <f t="shared" si="75"/>
        <v>0.25</v>
      </c>
      <c r="AH74" s="181" t="e">
        <f t="shared" si="46"/>
        <v>#VALUE!</v>
      </c>
      <c r="AI74" s="181" t="e">
        <f t="shared" si="76"/>
        <v>#VALUE!</v>
      </c>
      <c r="AJ74" s="86">
        <f t="shared" si="48"/>
        <v>200</v>
      </c>
      <c r="AK74" s="91" t="e">
        <f t="shared" si="49"/>
        <v>#N/A</v>
      </c>
      <c r="AL74" s="91" t="e">
        <f t="shared" si="91"/>
        <v>#N/A</v>
      </c>
      <c r="AM74" s="91">
        <f t="shared" si="92"/>
        <v>6</v>
      </c>
      <c r="AN74" s="91" t="e">
        <f t="shared" si="77"/>
        <v>#N/A</v>
      </c>
      <c r="AO74" s="91" t="e">
        <f t="shared" si="78"/>
        <v>#N/A</v>
      </c>
      <c r="AP74" s="21" t="e">
        <f t="shared" si="93"/>
        <v>#N/A</v>
      </c>
      <c r="AQ74" s="21" t="e">
        <f t="shared" si="94"/>
        <v>#N/A</v>
      </c>
      <c r="AR74" s="92" t="str">
        <f t="shared" si="79"/>
        <v/>
      </c>
      <c r="AS74" s="21" t="str">
        <f t="shared" si="80"/>
        <v/>
      </c>
      <c r="AT74" s="59" t="str">
        <f t="shared" si="54"/>
        <v/>
      </c>
      <c r="AU74" s="105">
        <f t="shared" si="95"/>
        <v>1</v>
      </c>
      <c r="AV74" s="105">
        <f t="shared" si="96"/>
        <v>1</v>
      </c>
      <c r="AW74" s="58">
        <f t="shared" si="88"/>
        <v>2</v>
      </c>
      <c r="AX74" s="58">
        <f t="shared" si="97"/>
        <v>3</v>
      </c>
      <c r="AY74" s="58" t="str">
        <f t="shared" si="98"/>
        <v>avec vannes</v>
      </c>
      <c r="AZ74" s="58" t="str">
        <f t="shared" si="99"/>
        <v>fermé</v>
      </c>
      <c r="BA74" s="60">
        <f t="shared" si="100"/>
        <v>0</v>
      </c>
      <c r="BB74" s="60">
        <f t="shared" si="100"/>
        <v>0</v>
      </c>
      <c r="BC74" s="60">
        <f t="shared" si="100"/>
        <v>0</v>
      </c>
      <c r="BD74" s="60">
        <f t="shared" si="100"/>
        <v>0</v>
      </c>
      <c r="BE74" s="286" t="str">
        <f t="shared" si="61"/>
        <v/>
      </c>
      <c r="BF74" s="58" t="str">
        <f t="shared" si="82"/>
        <v/>
      </c>
      <c r="BG74" s="59" t="str">
        <f t="shared" si="62"/>
        <v/>
      </c>
      <c r="BH74" s="158">
        <f t="shared" ca="1" si="63"/>
        <v>1</v>
      </c>
      <c r="BI74" s="60">
        <f t="shared" ca="1" si="64"/>
        <v>0.15</v>
      </c>
      <c r="BJ74" s="60">
        <f t="shared" si="65"/>
        <v>0.2</v>
      </c>
      <c r="BK74" s="60" t="str">
        <f t="shared" si="83"/>
        <v/>
      </c>
      <c r="BL74" s="21" t="str">
        <f t="shared" si="84"/>
        <v/>
      </c>
      <c r="BM74" s="264" t="str">
        <f t="shared" si="66"/>
        <v/>
      </c>
      <c r="BN74" s="60" t="str">
        <f t="shared" si="85"/>
        <v/>
      </c>
      <c r="BO74" s="136">
        <f t="shared" si="86"/>
        <v>0</v>
      </c>
      <c r="BP74" s="59">
        <f t="shared" si="87"/>
        <v>0</v>
      </c>
      <c r="BQ74" s="136">
        <f t="shared" ca="1" si="68"/>
        <v>1259</v>
      </c>
      <c r="BR74" s="136">
        <f t="shared" ca="1" si="69"/>
        <v>1000.1960132890365</v>
      </c>
      <c r="BS74" s="136">
        <f t="shared" ca="1" si="70"/>
        <v>1468800.196013289</v>
      </c>
      <c r="BT74" s="136">
        <f t="shared" ca="1" si="71"/>
        <v>313875.11873904825</v>
      </c>
      <c r="BU74" s="136">
        <f t="shared" ca="1" si="72"/>
        <v>1000.1960132890365</v>
      </c>
    </row>
    <row r="75" spans="1:73" x14ac:dyDescent="0.2">
      <c r="A75" s="87" t="str">
        <f>'Etape 2'!A72</f>
        <v/>
      </c>
      <c r="B75" s="87">
        <f>'Etape 2'!B72</f>
        <v>60</v>
      </c>
      <c r="C75" s="87">
        <f ca="1">'Etape 2'!C72</f>
        <v>241</v>
      </c>
      <c r="D75" s="87"/>
      <c r="E75" s="61">
        <f ca="1">RANK(BU75,BU$16:BU$315,0)+COUNTIF(BU$16:BU75,BU75)-1</f>
        <v>241</v>
      </c>
      <c r="F75" s="87" t="str">
        <f>'Etape 2'!D72</f>
        <v/>
      </c>
      <c r="G75" s="87" t="str">
        <f>'Etape 2'!E72</f>
        <v/>
      </c>
      <c r="H75" s="87" t="str">
        <f>'Etape 2'!F72</f>
        <v/>
      </c>
      <c r="I75" s="87" t="str">
        <f>'Etape 2'!G72</f>
        <v/>
      </c>
      <c r="J75" s="87" t="str">
        <f>'Etape 2'!H72</f>
        <v/>
      </c>
      <c r="K75" s="87" t="str">
        <f>'Etape 2'!I72</f>
        <v/>
      </c>
      <c r="L75" s="87">
        <f ca="1">'Etape 2'!J72</f>
        <v>999999</v>
      </c>
      <c r="M75" s="87">
        <f>'Etape 2'!K72</f>
        <v>999</v>
      </c>
      <c r="N75" s="87">
        <f ca="1">'Etape 2'!L72</f>
        <v>60</v>
      </c>
      <c r="O75" s="259">
        <f t="shared" si="43"/>
        <v>0.3</v>
      </c>
      <c r="P75" s="259">
        <f t="shared" si="44"/>
        <v>1.1000000000000001</v>
      </c>
      <c r="Q75" s="260">
        <f t="shared" si="45"/>
        <v>0</v>
      </c>
      <c r="R75" s="261">
        <f t="shared" si="89"/>
        <v>0</v>
      </c>
      <c r="S75" s="87">
        <f>IF(ISBLANK('Etape 2'!N72),0,VLOOKUP('Etape 2'!N72,Matrix_Uebersetzung,2,FALSE))</f>
        <v>0</v>
      </c>
      <c r="T75" s="87">
        <f>IF(ISBLANK('Etape 2'!O72),0,VLOOKUP('Etape 2'!O72,Matrix_Uebersetzung,2,FALSE))</f>
        <v>0</v>
      </c>
      <c r="U75" s="87">
        <f>IF(ISBLANK('Etape 2'!P72),0,VLOOKUP('Etape 2'!P72,Matrix_Uebersetzung,2,FALSE))</f>
        <v>0</v>
      </c>
      <c r="V75" s="87" t="str">
        <f>'Etape 2'!Q72</f>
        <v/>
      </c>
      <c r="W75" s="87">
        <f>'Etape 2'!R72</f>
        <v>0</v>
      </c>
      <c r="X75" s="87" t="str">
        <f>'Etape 2'!S72</f>
        <v/>
      </c>
      <c r="Y75" s="89" t="str">
        <f>'Etape 2'!T72</f>
        <v/>
      </c>
      <c r="Z75" s="87">
        <f>'Etape 2'!U72</f>
        <v>0</v>
      </c>
      <c r="AA75" s="87" t="str">
        <f>'Etape 2'!V72</f>
        <v/>
      </c>
      <c r="AB75" s="87">
        <f>IF(ISNUMBER('Etape 2'!W72),'Etape 2'!W72,0)</f>
        <v>0</v>
      </c>
      <c r="AC75" s="87">
        <f>IF(ISNUMBER('Etape 2'!X72),'Etape 2'!X72,0)</f>
        <v>0</v>
      </c>
      <c r="AD75" s="87">
        <f>IF(ISNUMBER('Etape 2'!Y72),'Etape 2'!Y72,0)</f>
        <v>0</v>
      </c>
      <c r="AE75" s="87">
        <f>IF(ISNUMBER('Etape 2'!Z72),'Etape 2'!Z72,0)</f>
        <v>0</v>
      </c>
      <c r="AF75" s="86">
        <f t="shared" si="74"/>
        <v>999</v>
      </c>
      <c r="AG75" s="288">
        <f t="shared" si="75"/>
        <v>0.25</v>
      </c>
      <c r="AH75" s="181" t="e">
        <f t="shared" si="46"/>
        <v>#VALUE!</v>
      </c>
      <c r="AI75" s="181" t="e">
        <f t="shared" si="76"/>
        <v>#VALUE!</v>
      </c>
      <c r="AJ75" s="86">
        <f t="shared" si="48"/>
        <v>200</v>
      </c>
      <c r="AK75" s="91" t="e">
        <f t="shared" si="49"/>
        <v>#N/A</v>
      </c>
      <c r="AL75" s="91" t="e">
        <f t="shared" si="91"/>
        <v>#N/A</v>
      </c>
      <c r="AM75" s="91">
        <f t="shared" si="92"/>
        <v>6</v>
      </c>
      <c r="AN75" s="91" t="e">
        <f t="shared" si="77"/>
        <v>#N/A</v>
      </c>
      <c r="AO75" s="91" t="e">
        <f t="shared" si="78"/>
        <v>#N/A</v>
      </c>
      <c r="AP75" s="21" t="e">
        <f t="shared" si="93"/>
        <v>#N/A</v>
      </c>
      <c r="AQ75" s="21" t="e">
        <f t="shared" si="94"/>
        <v>#N/A</v>
      </c>
      <c r="AR75" s="92" t="str">
        <f t="shared" si="79"/>
        <v/>
      </c>
      <c r="AS75" s="21" t="str">
        <f t="shared" si="80"/>
        <v/>
      </c>
      <c r="AT75" s="59" t="str">
        <f t="shared" si="54"/>
        <v/>
      </c>
      <c r="AU75" s="105">
        <f t="shared" si="95"/>
        <v>1</v>
      </c>
      <c r="AV75" s="105">
        <f t="shared" si="96"/>
        <v>1</v>
      </c>
      <c r="AW75" s="58">
        <f t="shared" si="88"/>
        <v>2</v>
      </c>
      <c r="AX75" s="58">
        <f t="shared" si="97"/>
        <v>3</v>
      </c>
      <c r="AY75" s="58" t="str">
        <f t="shared" si="98"/>
        <v>avec vannes</v>
      </c>
      <c r="AZ75" s="58" t="str">
        <f t="shared" si="99"/>
        <v>fermé</v>
      </c>
      <c r="BA75" s="60">
        <f t="shared" si="100"/>
        <v>0</v>
      </c>
      <c r="BB75" s="60">
        <f t="shared" si="100"/>
        <v>0</v>
      </c>
      <c r="BC75" s="60">
        <f t="shared" si="100"/>
        <v>0</v>
      </c>
      <c r="BD75" s="60">
        <f t="shared" si="100"/>
        <v>0</v>
      </c>
      <c r="BE75" s="286" t="str">
        <f t="shared" si="61"/>
        <v/>
      </c>
      <c r="BF75" s="58" t="str">
        <f t="shared" si="82"/>
        <v/>
      </c>
      <c r="BG75" s="59" t="str">
        <f t="shared" si="62"/>
        <v/>
      </c>
      <c r="BH75" s="158">
        <f t="shared" ca="1" si="63"/>
        <v>1</v>
      </c>
      <c r="BI75" s="60">
        <f t="shared" ca="1" si="64"/>
        <v>0.15</v>
      </c>
      <c r="BJ75" s="60">
        <f t="shared" si="65"/>
        <v>0.2</v>
      </c>
      <c r="BK75" s="60" t="str">
        <f t="shared" si="83"/>
        <v/>
      </c>
      <c r="BL75" s="21" t="str">
        <f t="shared" si="84"/>
        <v/>
      </c>
      <c r="BM75" s="264" t="str">
        <f t="shared" si="66"/>
        <v/>
      </c>
      <c r="BN75" s="60" t="str">
        <f t="shared" si="85"/>
        <v/>
      </c>
      <c r="BO75" s="136">
        <f t="shared" si="86"/>
        <v>0</v>
      </c>
      <c r="BP75" s="59">
        <f t="shared" si="87"/>
        <v>0</v>
      </c>
      <c r="BQ75" s="136">
        <f t="shared" ca="1" si="68"/>
        <v>1260</v>
      </c>
      <c r="BR75" s="136">
        <f t="shared" ca="1" si="69"/>
        <v>1000.1993355481727</v>
      </c>
      <c r="BS75" s="136">
        <f t="shared" ca="1" si="70"/>
        <v>1468800.1993355481</v>
      </c>
      <c r="BT75" s="136">
        <f t="shared" ca="1" si="71"/>
        <v>313875.12206130737</v>
      </c>
      <c r="BU75" s="136">
        <f t="shared" ca="1" si="72"/>
        <v>1000.1993355481727</v>
      </c>
    </row>
    <row r="76" spans="1:73" x14ac:dyDescent="0.2">
      <c r="A76" s="87" t="str">
        <f>'Etape 2'!A73</f>
        <v/>
      </c>
      <c r="B76" s="87">
        <f>'Etape 2'!B73</f>
        <v>61</v>
      </c>
      <c r="C76" s="87">
        <f ca="1">'Etape 2'!C73</f>
        <v>240</v>
      </c>
      <c r="D76" s="87"/>
      <c r="E76" s="61">
        <f ca="1">RANK(BU76,BU$16:BU$315,0)+COUNTIF(BU$16:BU76,BU76)-1</f>
        <v>240</v>
      </c>
      <c r="F76" s="87" t="str">
        <f>'Etape 2'!D73</f>
        <v/>
      </c>
      <c r="G76" s="87" t="str">
        <f>'Etape 2'!E73</f>
        <v/>
      </c>
      <c r="H76" s="87" t="str">
        <f>'Etape 2'!F73</f>
        <v/>
      </c>
      <c r="I76" s="87" t="str">
        <f>'Etape 2'!G73</f>
        <v/>
      </c>
      <c r="J76" s="87" t="str">
        <f>'Etape 2'!H73</f>
        <v/>
      </c>
      <c r="K76" s="87" t="str">
        <f>'Etape 2'!I73</f>
        <v/>
      </c>
      <c r="L76" s="87">
        <f ca="1">'Etape 2'!J73</f>
        <v>999999</v>
      </c>
      <c r="M76" s="87">
        <f>'Etape 2'!K73</f>
        <v>999</v>
      </c>
      <c r="N76" s="87">
        <f ca="1">'Etape 2'!L73</f>
        <v>61</v>
      </c>
      <c r="O76" s="259">
        <f t="shared" si="43"/>
        <v>0.3</v>
      </c>
      <c r="P76" s="259">
        <f t="shared" si="44"/>
        <v>1.1000000000000001</v>
      </c>
      <c r="Q76" s="260">
        <f t="shared" si="45"/>
        <v>0</v>
      </c>
      <c r="R76" s="261">
        <f t="shared" si="89"/>
        <v>0</v>
      </c>
      <c r="S76" s="87">
        <f>IF(ISBLANK('Etape 2'!N73),0,VLOOKUP('Etape 2'!N73,Matrix_Uebersetzung,2,FALSE))</f>
        <v>0</v>
      </c>
      <c r="T76" s="87">
        <f>IF(ISBLANK('Etape 2'!O73),0,VLOOKUP('Etape 2'!O73,Matrix_Uebersetzung,2,FALSE))</f>
        <v>0</v>
      </c>
      <c r="U76" s="87">
        <f>IF(ISBLANK('Etape 2'!P73),0,VLOOKUP('Etape 2'!P73,Matrix_Uebersetzung,2,FALSE))</f>
        <v>0</v>
      </c>
      <c r="V76" s="87" t="str">
        <f>'Etape 2'!Q73</f>
        <v/>
      </c>
      <c r="W76" s="87">
        <f>'Etape 2'!R73</f>
        <v>0</v>
      </c>
      <c r="X76" s="87" t="str">
        <f>'Etape 2'!S73</f>
        <v/>
      </c>
      <c r="Y76" s="89" t="str">
        <f>'Etape 2'!T73</f>
        <v/>
      </c>
      <c r="Z76" s="87">
        <f>'Etape 2'!U73</f>
        <v>0</v>
      </c>
      <c r="AA76" s="87" t="str">
        <f>'Etape 2'!V73</f>
        <v/>
      </c>
      <c r="AB76" s="87">
        <f>IF(ISNUMBER('Etape 2'!W73),'Etape 2'!W73,0)</f>
        <v>0</v>
      </c>
      <c r="AC76" s="87">
        <f>IF(ISNUMBER('Etape 2'!X73),'Etape 2'!X73,0)</f>
        <v>0</v>
      </c>
      <c r="AD76" s="87">
        <f>IF(ISNUMBER('Etape 2'!Y73),'Etape 2'!Y73,0)</f>
        <v>0</v>
      </c>
      <c r="AE76" s="87">
        <f>IF(ISNUMBER('Etape 2'!Z73),'Etape 2'!Z73,0)</f>
        <v>0</v>
      </c>
      <c r="AF76" s="86">
        <f t="shared" si="74"/>
        <v>999</v>
      </c>
      <c r="AG76" s="288">
        <f t="shared" si="75"/>
        <v>0.25</v>
      </c>
      <c r="AH76" s="181" t="e">
        <f t="shared" si="46"/>
        <v>#VALUE!</v>
      </c>
      <c r="AI76" s="181" t="e">
        <f t="shared" si="76"/>
        <v>#VALUE!</v>
      </c>
      <c r="AJ76" s="86">
        <f t="shared" si="48"/>
        <v>200</v>
      </c>
      <c r="AK76" s="91" t="e">
        <f t="shared" si="49"/>
        <v>#N/A</v>
      </c>
      <c r="AL76" s="91" t="e">
        <f t="shared" si="91"/>
        <v>#N/A</v>
      </c>
      <c r="AM76" s="91">
        <f t="shared" si="92"/>
        <v>6</v>
      </c>
      <c r="AN76" s="91" t="e">
        <f t="shared" si="77"/>
        <v>#N/A</v>
      </c>
      <c r="AO76" s="91" t="e">
        <f t="shared" si="78"/>
        <v>#N/A</v>
      </c>
      <c r="AP76" s="21" t="e">
        <f t="shared" si="93"/>
        <v>#N/A</v>
      </c>
      <c r="AQ76" s="21" t="e">
        <f t="shared" si="94"/>
        <v>#N/A</v>
      </c>
      <c r="AR76" s="92" t="str">
        <f t="shared" si="79"/>
        <v/>
      </c>
      <c r="AS76" s="21" t="str">
        <f t="shared" si="80"/>
        <v/>
      </c>
      <c r="AT76" s="59" t="str">
        <f t="shared" si="54"/>
        <v/>
      </c>
      <c r="AU76" s="105">
        <f t="shared" si="95"/>
        <v>1</v>
      </c>
      <c r="AV76" s="105">
        <f t="shared" si="96"/>
        <v>1</v>
      </c>
      <c r="AW76" s="58">
        <f t="shared" si="88"/>
        <v>2</v>
      </c>
      <c r="AX76" s="58">
        <f t="shared" si="97"/>
        <v>3</v>
      </c>
      <c r="AY76" s="58" t="str">
        <f t="shared" si="98"/>
        <v>avec vannes</v>
      </c>
      <c r="AZ76" s="58" t="str">
        <f t="shared" si="99"/>
        <v>fermé</v>
      </c>
      <c r="BA76" s="60">
        <f t="shared" ref="BA76:BD95" si="101">IF(BA$15/$AG76&gt;1,0,VLOOKUP(BA$15/$AG76,Matrix_Regelung.Teilvolumenstrom.Einsparpotential.ID,$AX76,0))</f>
        <v>0</v>
      </c>
      <c r="BB76" s="60">
        <f t="shared" si="101"/>
        <v>0</v>
      </c>
      <c r="BC76" s="60">
        <f t="shared" si="101"/>
        <v>0</v>
      </c>
      <c r="BD76" s="60">
        <f t="shared" si="101"/>
        <v>0</v>
      </c>
      <c r="BE76" s="286" t="str">
        <f t="shared" si="61"/>
        <v/>
      </c>
      <c r="BF76" s="58" t="str">
        <f t="shared" si="82"/>
        <v/>
      </c>
      <c r="BG76" s="59" t="str">
        <f t="shared" si="62"/>
        <v/>
      </c>
      <c r="BH76" s="158">
        <f t="shared" ca="1" si="63"/>
        <v>1</v>
      </c>
      <c r="BI76" s="60">
        <f t="shared" ca="1" si="64"/>
        <v>0.15</v>
      </c>
      <c r="BJ76" s="60">
        <f t="shared" si="65"/>
        <v>0.2</v>
      </c>
      <c r="BK76" s="60" t="str">
        <f t="shared" si="83"/>
        <v/>
      </c>
      <c r="BL76" s="21" t="str">
        <f t="shared" si="84"/>
        <v/>
      </c>
      <c r="BM76" s="264" t="str">
        <f t="shared" si="66"/>
        <v/>
      </c>
      <c r="BN76" s="60" t="str">
        <f t="shared" si="85"/>
        <v/>
      </c>
      <c r="BO76" s="136">
        <f t="shared" si="86"/>
        <v>0</v>
      </c>
      <c r="BP76" s="59">
        <f t="shared" si="87"/>
        <v>0</v>
      </c>
      <c r="BQ76" s="136">
        <f t="shared" ca="1" si="68"/>
        <v>1261</v>
      </c>
      <c r="BR76" s="136">
        <f t="shared" ca="1" si="69"/>
        <v>1000.2026578073089</v>
      </c>
      <c r="BS76" s="136">
        <f t="shared" ca="1" si="70"/>
        <v>1468800.2026578074</v>
      </c>
      <c r="BT76" s="136">
        <f t="shared" ca="1" si="71"/>
        <v>313875.12538356654</v>
      </c>
      <c r="BU76" s="136">
        <f t="shared" ca="1" si="72"/>
        <v>1000.2026578073089</v>
      </c>
    </row>
    <row r="77" spans="1:73" x14ac:dyDescent="0.2">
      <c r="A77" s="87" t="str">
        <f>'Etape 2'!A74</f>
        <v/>
      </c>
      <c r="B77" s="87">
        <f>'Etape 2'!B74</f>
        <v>62</v>
      </c>
      <c r="C77" s="87">
        <f ca="1">'Etape 2'!C74</f>
        <v>239</v>
      </c>
      <c r="D77" s="87"/>
      <c r="E77" s="61">
        <f ca="1">RANK(BU77,BU$16:BU$315,0)+COUNTIF(BU$16:BU77,BU77)-1</f>
        <v>239</v>
      </c>
      <c r="F77" s="87" t="str">
        <f>'Etape 2'!D74</f>
        <v/>
      </c>
      <c r="G77" s="87" t="str">
        <f>'Etape 2'!E74</f>
        <v/>
      </c>
      <c r="H77" s="87" t="str">
        <f>'Etape 2'!F74</f>
        <v/>
      </c>
      <c r="I77" s="87" t="str">
        <f>'Etape 2'!G74</f>
        <v/>
      </c>
      <c r="J77" s="87" t="str">
        <f>'Etape 2'!H74</f>
        <v/>
      </c>
      <c r="K77" s="87" t="str">
        <f>'Etape 2'!I74</f>
        <v/>
      </c>
      <c r="L77" s="87">
        <f ca="1">'Etape 2'!J74</f>
        <v>999999</v>
      </c>
      <c r="M77" s="87">
        <f>'Etape 2'!K74</f>
        <v>999</v>
      </c>
      <c r="N77" s="87">
        <f ca="1">'Etape 2'!L74</f>
        <v>62</v>
      </c>
      <c r="O77" s="259">
        <f t="shared" si="43"/>
        <v>0.3</v>
      </c>
      <c r="P77" s="259">
        <f t="shared" si="44"/>
        <v>1.1000000000000001</v>
      </c>
      <c r="Q77" s="260">
        <f t="shared" si="45"/>
        <v>0</v>
      </c>
      <c r="R77" s="261">
        <f t="shared" si="89"/>
        <v>0</v>
      </c>
      <c r="S77" s="87">
        <f>IF(ISBLANK('Etape 2'!N74),0,VLOOKUP('Etape 2'!N74,Matrix_Uebersetzung,2,FALSE))</f>
        <v>0</v>
      </c>
      <c r="T77" s="87">
        <f>IF(ISBLANK('Etape 2'!O74),0,VLOOKUP('Etape 2'!O74,Matrix_Uebersetzung,2,FALSE))</f>
        <v>0</v>
      </c>
      <c r="U77" s="87">
        <f>IF(ISBLANK('Etape 2'!P74),0,VLOOKUP('Etape 2'!P74,Matrix_Uebersetzung,2,FALSE))</f>
        <v>0</v>
      </c>
      <c r="V77" s="87" t="str">
        <f>'Etape 2'!Q74</f>
        <v/>
      </c>
      <c r="W77" s="87">
        <f>'Etape 2'!R74</f>
        <v>0</v>
      </c>
      <c r="X77" s="87" t="str">
        <f>'Etape 2'!S74</f>
        <v/>
      </c>
      <c r="Y77" s="89" t="str">
        <f>'Etape 2'!T74</f>
        <v/>
      </c>
      <c r="Z77" s="87">
        <f>'Etape 2'!U74</f>
        <v>0</v>
      </c>
      <c r="AA77" s="87" t="str">
        <f>'Etape 2'!V74</f>
        <v/>
      </c>
      <c r="AB77" s="87">
        <f>IF(ISNUMBER('Etape 2'!W74),'Etape 2'!W74,0)</f>
        <v>0</v>
      </c>
      <c r="AC77" s="87">
        <f>IF(ISNUMBER('Etape 2'!X74),'Etape 2'!X74,0)</f>
        <v>0</v>
      </c>
      <c r="AD77" s="87">
        <f>IF(ISNUMBER('Etape 2'!Y74),'Etape 2'!Y74,0)</f>
        <v>0</v>
      </c>
      <c r="AE77" s="87">
        <f>IF(ISNUMBER('Etape 2'!Z74),'Etape 2'!Z74,0)</f>
        <v>0</v>
      </c>
      <c r="AF77" s="86">
        <f t="shared" si="74"/>
        <v>999</v>
      </c>
      <c r="AG77" s="288">
        <f t="shared" si="75"/>
        <v>0.25</v>
      </c>
      <c r="AH77" s="181" t="e">
        <f t="shared" si="46"/>
        <v>#VALUE!</v>
      </c>
      <c r="AI77" s="181" t="e">
        <f t="shared" si="76"/>
        <v>#VALUE!</v>
      </c>
      <c r="AJ77" s="86">
        <f t="shared" si="48"/>
        <v>200</v>
      </c>
      <c r="AK77" s="91" t="e">
        <f t="shared" si="49"/>
        <v>#N/A</v>
      </c>
      <c r="AL77" s="91" t="e">
        <f t="shared" si="91"/>
        <v>#N/A</v>
      </c>
      <c r="AM77" s="91">
        <f t="shared" si="92"/>
        <v>6</v>
      </c>
      <c r="AN77" s="91" t="e">
        <f t="shared" si="77"/>
        <v>#N/A</v>
      </c>
      <c r="AO77" s="91" t="e">
        <f t="shared" si="78"/>
        <v>#N/A</v>
      </c>
      <c r="AP77" s="21" t="e">
        <f t="shared" si="93"/>
        <v>#N/A</v>
      </c>
      <c r="AQ77" s="21" t="e">
        <f t="shared" si="94"/>
        <v>#N/A</v>
      </c>
      <c r="AR77" s="92" t="str">
        <f t="shared" si="79"/>
        <v/>
      </c>
      <c r="AS77" s="21" t="str">
        <f t="shared" si="80"/>
        <v/>
      </c>
      <c r="AT77" s="59" t="str">
        <f t="shared" si="54"/>
        <v/>
      </c>
      <c r="AU77" s="105">
        <f t="shared" si="95"/>
        <v>1</v>
      </c>
      <c r="AV77" s="105">
        <f t="shared" si="96"/>
        <v>1</v>
      </c>
      <c r="AW77" s="58">
        <f t="shared" si="88"/>
        <v>2</v>
      </c>
      <c r="AX77" s="58">
        <f t="shared" si="97"/>
        <v>3</v>
      </c>
      <c r="AY77" s="58" t="str">
        <f t="shared" si="98"/>
        <v>avec vannes</v>
      </c>
      <c r="AZ77" s="58" t="str">
        <f t="shared" si="99"/>
        <v>fermé</v>
      </c>
      <c r="BA77" s="60">
        <f t="shared" si="101"/>
        <v>0</v>
      </c>
      <c r="BB77" s="60">
        <f t="shared" si="101"/>
        <v>0</v>
      </c>
      <c r="BC77" s="60">
        <f t="shared" si="101"/>
        <v>0</v>
      </c>
      <c r="BD77" s="60">
        <f t="shared" si="101"/>
        <v>0</v>
      </c>
      <c r="BE77" s="286" t="str">
        <f t="shared" si="61"/>
        <v/>
      </c>
      <c r="BF77" s="58" t="str">
        <f t="shared" si="82"/>
        <v/>
      </c>
      <c r="BG77" s="59" t="str">
        <f t="shared" si="62"/>
        <v/>
      </c>
      <c r="BH77" s="158">
        <f t="shared" ca="1" si="63"/>
        <v>1</v>
      </c>
      <c r="BI77" s="60">
        <f t="shared" ca="1" si="64"/>
        <v>0.15</v>
      </c>
      <c r="BJ77" s="60">
        <f t="shared" si="65"/>
        <v>0.2</v>
      </c>
      <c r="BK77" s="60" t="str">
        <f t="shared" si="83"/>
        <v/>
      </c>
      <c r="BL77" s="21" t="str">
        <f t="shared" si="84"/>
        <v/>
      </c>
      <c r="BM77" s="264" t="str">
        <f t="shared" si="66"/>
        <v/>
      </c>
      <c r="BN77" s="60" t="str">
        <f t="shared" si="85"/>
        <v/>
      </c>
      <c r="BO77" s="136">
        <f t="shared" si="86"/>
        <v>0</v>
      </c>
      <c r="BP77" s="59">
        <f t="shared" si="87"/>
        <v>0</v>
      </c>
      <c r="BQ77" s="136">
        <f t="shared" ca="1" si="68"/>
        <v>1262</v>
      </c>
      <c r="BR77" s="136">
        <f t="shared" ca="1" si="69"/>
        <v>1000.2059800664451</v>
      </c>
      <c r="BS77" s="136">
        <f t="shared" ca="1" si="70"/>
        <v>1468800.2059800664</v>
      </c>
      <c r="BT77" s="136">
        <f t="shared" ca="1" si="71"/>
        <v>313875.12870582566</v>
      </c>
      <c r="BU77" s="136">
        <f t="shared" ca="1" si="72"/>
        <v>1000.2059800664451</v>
      </c>
    </row>
    <row r="78" spans="1:73" x14ac:dyDescent="0.2">
      <c r="A78" s="87" t="str">
        <f>'Etape 2'!A75</f>
        <v/>
      </c>
      <c r="B78" s="87">
        <f>'Etape 2'!B75</f>
        <v>63</v>
      </c>
      <c r="C78" s="87">
        <f ca="1">'Etape 2'!C75</f>
        <v>238</v>
      </c>
      <c r="D78" s="87"/>
      <c r="E78" s="61">
        <f ca="1">RANK(BU78,BU$16:BU$315,0)+COUNTIF(BU$16:BU78,BU78)-1</f>
        <v>238</v>
      </c>
      <c r="F78" s="87" t="str">
        <f>'Etape 2'!D75</f>
        <v/>
      </c>
      <c r="G78" s="87" t="str">
        <f>'Etape 2'!E75</f>
        <v/>
      </c>
      <c r="H78" s="87" t="str">
        <f>'Etape 2'!F75</f>
        <v/>
      </c>
      <c r="I78" s="87" t="str">
        <f>'Etape 2'!G75</f>
        <v/>
      </c>
      <c r="J78" s="87" t="str">
        <f>'Etape 2'!H75</f>
        <v/>
      </c>
      <c r="K78" s="87" t="str">
        <f>'Etape 2'!I75</f>
        <v/>
      </c>
      <c r="L78" s="87">
        <f ca="1">'Etape 2'!J75</f>
        <v>999999</v>
      </c>
      <c r="M78" s="87">
        <f>'Etape 2'!K75</f>
        <v>999</v>
      </c>
      <c r="N78" s="87">
        <f ca="1">'Etape 2'!L75</f>
        <v>63</v>
      </c>
      <c r="O78" s="259">
        <f t="shared" si="43"/>
        <v>0.3</v>
      </c>
      <c r="P78" s="259">
        <f t="shared" si="44"/>
        <v>1.1000000000000001</v>
      </c>
      <c r="Q78" s="260">
        <f t="shared" si="45"/>
        <v>0</v>
      </c>
      <c r="R78" s="261">
        <f t="shared" si="89"/>
        <v>0</v>
      </c>
      <c r="S78" s="87">
        <f>IF(ISBLANK('Etape 2'!N75),0,VLOOKUP('Etape 2'!N75,Matrix_Uebersetzung,2,FALSE))</f>
        <v>0</v>
      </c>
      <c r="T78" s="87">
        <f>IF(ISBLANK('Etape 2'!O75),0,VLOOKUP('Etape 2'!O75,Matrix_Uebersetzung,2,FALSE))</f>
        <v>0</v>
      </c>
      <c r="U78" s="87">
        <f>IF(ISBLANK('Etape 2'!P75),0,VLOOKUP('Etape 2'!P75,Matrix_Uebersetzung,2,FALSE))</f>
        <v>0</v>
      </c>
      <c r="V78" s="87" t="str">
        <f>'Etape 2'!Q75</f>
        <v/>
      </c>
      <c r="W78" s="87">
        <f>'Etape 2'!R75</f>
        <v>0</v>
      </c>
      <c r="X78" s="87" t="str">
        <f>'Etape 2'!S75</f>
        <v/>
      </c>
      <c r="Y78" s="89" t="str">
        <f>'Etape 2'!T75</f>
        <v/>
      </c>
      <c r="Z78" s="87">
        <f>'Etape 2'!U75</f>
        <v>0</v>
      </c>
      <c r="AA78" s="87" t="str">
        <f>'Etape 2'!V75</f>
        <v/>
      </c>
      <c r="AB78" s="87">
        <f>IF(ISNUMBER('Etape 2'!W75),'Etape 2'!W75,0)</f>
        <v>0</v>
      </c>
      <c r="AC78" s="87">
        <f>IF(ISNUMBER('Etape 2'!X75),'Etape 2'!X75,0)</f>
        <v>0</v>
      </c>
      <c r="AD78" s="87">
        <f>IF(ISNUMBER('Etape 2'!Y75),'Etape 2'!Y75,0)</f>
        <v>0</v>
      </c>
      <c r="AE78" s="87">
        <f>IF(ISNUMBER('Etape 2'!Z75),'Etape 2'!Z75,0)</f>
        <v>0</v>
      </c>
      <c r="AF78" s="86">
        <f t="shared" si="74"/>
        <v>999</v>
      </c>
      <c r="AG78" s="288">
        <f t="shared" si="75"/>
        <v>0.25</v>
      </c>
      <c r="AH78" s="181" t="e">
        <f t="shared" si="46"/>
        <v>#VALUE!</v>
      </c>
      <c r="AI78" s="181" t="e">
        <f t="shared" si="76"/>
        <v>#VALUE!</v>
      </c>
      <c r="AJ78" s="86">
        <f t="shared" si="48"/>
        <v>200</v>
      </c>
      <c r="AK78" s="91" t="e">
        <f t="shared" si="49"/>
        <v>#N/A</v>
      </c>
      <c r="AL78" s="91" t="e">
        <f t="shared" si="91"/>
        <v>#N/A</v>
      </c>
      <c r="AM78" s="91">
        <f t="shared" si="92"/>
        <v>6</v>
      </c>
      <c r="AN78" s="91" t="e">
        <f t="shared" si="77"/>
        <v>#N/A</v>
      </c>
      <c r="AO78" s="91" t="e">
        <f t="shared" si="78"/>
        <v>#N/A</v>
      </c>
      <c r="AP78" s="21" t="e">
        <f t="shared" si="93"/>
        <v>#N/A</v>
      </c>
      <c r="AQ78" s="21" t="e">
        <f t="shared" si="94"/>
        <v>#N/A</v>
      </c>
      <c r="AR78" s="92" t="str">
        <f t="shared" si="79"/>
        <v/>
      </c>
      <c r="AS78" s="21" t="str">
        <f t="shared" si="80"/>
        <v/>
      </c>
      <c r="AT78" s="59" t="str">
        <f t="shared" si="54"/>
        <v/>
      </c>
      <c r="AU78" s="105">
        <f t="shared" si="95"/>
        <v>1</v>
      </c>
      <c r="AV78" s="105">
        <f t="shared" si="96"/>
        <v>1</v>
      </c>
      <c r="AW78" s="58">
        <f t="shared" si="88"/>
        <v>2</v>
      </c>
      <c r="AX78" s="58">
        <f t="shared" si="97"/>
        <v>3</v>
      </c>
      <c r="AY78" s="58" t="str">
        <f t="shared" si="98"/>
        <v>avec vannes</v>
      </c>
      <c r="AZ78" s="58" t="str">
        <f t="shared" si="99"/>
        <v>fermé</v>
      </c>
      <c r="BA78" s="60">
        <f t="shared" si="101"/>
        <v>0</v>
      </c>
      <c r="BB78" s="60">
        <f t="shared" si="101"/>
        <v>0</v>
      </c>
      <c r="BC78" s="60">
        <f t="shared" si="101"/>
        <v>0</v>
      </c>
      <c r="BD78" s="60">
        <f t="shared" si="101"/>
        <v>0</v>
      </c>
      <c r="BE78" s="286" t="str">
        <f t="shared" si="61"/>
        <v/>
      </c>
      <c r="BF78" s="58" t="str">
        <f t="shared" si="82"/>
        <v/>
      </c>
      <c r="BG78" s="59" t="str">
        <f t="shared" si="62"/>
        <v/>
      </c>
      <c r="BH78" s="158">
        <f t="shared" ca="1" si="63"/>
        <v>1</v>
      </c>
      <c r="BI78" s="60">
        <f t="shared" ca="1" si="64"/>
        <v>0.15</v>
      </c>
      <c r="BJ78" s="60">
        <f t="shared" si="65"/>
        <v>0.2</v>
      </c>
      <c r="BK78" s="60" t="str">
        <f t="shared" si="83"/>
        <v/>
      </c>
      <c r="BL78" s="21" t="str">
        <f t="shared" si="84"/>
        <v/>
      </c>
      <c r="BM78" s="264" t="str">
        <f t="shared" si="66"/>
        <v/>
      </c>
      <c r="BN78" s="60" t="str">
        <f t="shared" si="85"/>
        <v/>
      </c>
      <c r="BO78" s="136">
        <f t="shared" si="86"/>
        <v>0</v>
      </c>
      <c r="BP78" s="59">
        <f t="shared" si="87"/>
        <v>0</v>
      </c>
      <c r="BQ78" s="136">
        <f t="shared" ca="1" si="68"/>
        <v>1263</v>
      </c>
      <c r="BR78" s="136">
        <f t="shared" ca="1" si="69"/>
        <v>1000.2093023255813</v>
      </c>
      <c r="BS78" s="136">
        <f t="shared" ca="1" si="70"/>
        <v>1468800.2093023255</v>
      </c>
      <c r="BT78" s="136">
        <f t="shared" ca="1" si="71"/>
        <v>313875.13202808477</v>
      </c>
      <c r="BU78" s="136">
        <f t="shared" ca="1" si="72"/>
        <v>1000.2093023255813</v>
      </c>
    </row>
    <row r="79" spans="1:73" x14ac:dyDescent="0.2">
      <c r="A79" s="87" t="str">
        <f>'Etape 2'!A76</f>
        <v/>
      </c>
      <c r="B79" s="87">
        <f>'Etape 2'!B76</f>
        <v>64</v>
      </c>
      <c r="C79" s="87">
        <f ca="1">'Etape 2'!C76</f>
        <v>237</v>
      </c>
      <c r="D79" s="87"/>
      <c r="E79" s="61">
        <f ca="1">RANK(BU79,BU$16:BU$315,0)+COUNTIF(BU$16:BU79,BU79)-1</f>
        <v>237</v>
      </c>
      <c r="F79" s="87" t="str">
        <f>'Etape 2'!D76</f>
        <v/>
      </c>
      <c r="G79" s="87" t="str">
        <f>'Etape 2'!E76</f>
        <v/>
      </c>
      <c r="H79" s="87" t="str">
        <f>'Etape 2'!F76</f>
        <v/>
      </c>
      <c r="I79" s="87" t="str">
        <f>'Etape 2'!G76</f>
        <v/>
      </c>
      <c r="J79" s="87" t="str">
        <f>'Etape 2'!H76</f>
        <v/>
      </c>
      <c r="K79" s="87" t="str">
        <f>'Etape 2'!I76</f>
        <v/>
      </c>
      <c r="L79" s="87">
        <f ca="1">'Etape 2'!J76</f>
        <v>999999</v>
      </c>
      <c r="M79" s="87">
        <f>'Etape 2'!K76</f>
        <v>999</v>
      </c>
      <c r="N79" s="87">
        <f ca="1">'Etape 2'!L76</f>
        <v>64</v>
      </c>
      <c r="O79" s="259">
        <f t="shared" si="43"/>
        <v>0.3</v>
      </c>
      <c r="P79" s="259">
        <f t="shared" si="44"/>
        <v>1.1000000000000001</v>
      </c>
      <c r="Q79" s="260">
        <f t="shared" si="45"/>
        <v>0</v>
      </c>
      <c r="R79" s="261">
        <f t="shared" si="89"/>
        <v>0</v>
      </c>
      <c r="S79" s="87">
        <f>IF(ISBLANK('Etape 2'!N76),0,VLOOKUP('Etape 2'!N76,Matrix_Uebersetzung,2,FALSE))</f>
        <v>0</v>
      </c>
      <c r="T79" s="87">
        <f>IF(ISBLANK('Etape 2'!O76),0,VLOOKUP('Etape 2'!O76,Matrix_Uebersetzung,2,FALSE))</f>
        <v>0</v>
      </c>
      <c r="U79" s="87">
        <f>IF(ISBLANK('Etape 2'!P76),0,VLOOKUP('Etape 2'!P76,Matrix_Uebersetzung,2,FALSE))</f>
        <v>0</v>
      </c>
      <c r="V79" s="87" t="str">
        <f>'Etape 2'!Q76</f>
        <v/>
      </c>
      <c r="W79" s="87">
        <f>'Etape 2'!R76</f>
        <v>0</v>
      </c>
      <c r="X79" s="87" t="str">
        <f>'Etape 2'!S76</f>
        <v/>
      </c>
      <c r="Y79" s="89" t="str">
        <f>'Etape 2'!T76</f>
        <v/>
      </c>
      <c r="Z79" s="87">
        <f>'Etape 2'!U76</f>
        <v>0</v>
      </c>
      <c r="AA79" s="87" t="str">
        <f>'Etape 2'!V76</f>
        <v/>
      </c>
      <c r="AB79" s="87">
        <f>IF(ISNUMBER('Etape 2'!W76),'Etape 2'!W76,0)</f>
        <v>0</v>
      </c>
      <c r="AC79" s="87">
        <f>IF(ISNUMBER('Etape 2'!X76),'Etape 2'!X76,0)</f>
        <v>0</v>
      </c>
      <c r="AD79" s="87">
        <f>IF(ISNUMBER('Etape 2'!Y76),'Etape 2'!Y76,0)</f>
        <v>0</v>
      </c>
      <c r="AE79" s="87">
        <f>IF(ISNUMBER('Etape 2'!Z76),'Etape 2'!Z76,0)</f>
        <v>0</v>
      </c>
      <c r="AF79" s="86">
        <f t="shared" si="74"/>
        <v>999</v>
      </c>
      <c r="AG79" s="288">
        <f t="shared" si="75"/>
        <v>0.25</v>
      </c>
      <c r="AH79" s="181" t="e">
        <f t="shared" si="46"/>
        <v>#VALUE!</v>
      </c>
      <c r="AI79" s="181" t="e">
        <f t="shared" si="76"/>
        <v>#VALUE!</v>
      </c>
      <c r="AJ79" s="86">
        <f t="shared" si="48"/>
        <v>200</v>
      </c>
      <c r="AK79" s="91" t="e">
        <f t="shared" si="49"/>
        <v>#N/A</v>
      </c>
      <c r="AL79" s="91" t="e">
        <f t="shared" si="91"/>
        <v>#N/A</v>
      </c>
      <c r="AM79" s="91">
        <f t="shared" si="92"/>
        <v>6</v>
      </c>
      <c r="AN79" s="91" t="e">
        <f t="shared" si="77"/>
        <v>#N/A</v>
      </c>
      <c r="AO79" s="91" t="e">
        <f t="shared" si="78"/>
        <v>#N/A</v>
      </c>
      <c r="AP79" s="21" t="e">
        <f t="shared" si="93"/>
        <v>#N/A</v>
      </c>
      <c r="AQ79" s="21" t="e">
        <f t="shared" si="94"/>
        <v>#N/A</v>
      </c>
      <c r="AR79" s="92" t="str">
        <f t="shared" si="79"/>
        <v/>
      </c>
      <c r="AS79" s="21" t="str">
        <f t="shared" si="80"/>
        <v/>
      </c>
      <c r="AT79" s="59" t="str">
        <f t="shared" si="54"/>
        <v/>
      </c>
      <c r="AU79" s="105">
        <f t="shared" si="95"/>
        <v>1</v>
      </c>
      <c r="AV79" s="105">
        <f t="shared" si="96"/>
        <v>1</v>
      </c>
      <c r="AW79" s="58">
        <f t="shared" si="88"/>
        <v>2</v>
      </c>
      <c r="AX79" s="58">
        <f t="shared" si="97"/>
        <v>3</v>
      </c>
      <c r="AY79" s="58" t="str">
        <f t="shared" si="98"/>
        <v>avec vannes</v>
      </c>
      <c r="AZ79" s="58" t="str">
        <f t="shared" si="99"/>
        <v>fermé</v>
      </c>
      <c r="BA79" s="60">
        <f t="shared" si="101"/>
        <v>0</v>
      </c>
      <c r="BB79" s="60">
        <f t="shared" si="101"/>
        <v>0</v>
      </c>
      <c r="BC79" s="60">
        <f t="shared" si="101"/>
        <v>0</v>
      </c>
      <c r="BD79" s="60">
        <f t="shared" si="101"/>
        <v>0</v>
      </c>
      <c r="BE79" s="286" t="str">
        <f t="shared" si="61"/>
        <v/>
      </c>
      <c r="BF79" s="58" t="str">
        <f t="shared" si="82"/>
        <v/>
      </c>
      <c r="BG79" s="59" t="str">
        <f t="shared" si="62"/>
        <v/>
      </c>
      <c r="BH79" s="158">
        <f t="shared" ca="1" si="63"/>
        <v>1</v>
      </c>
      <c r="BI79" s="60">
        <f t="shared" ca="1" si="64"/>
        <v>0.15</v>
      </c>
      <c r="BJ79" s="60">
        <f t="shared" si="65"/>
        <v>0.2</v>
      </c>
      <c r="BK79" s="60" t="str">
        <f t="shared" si="83"/>
        <v/>
      </c>
      <c r="BL79" s="21" t="str">
        <f t="shared" si="84"/>
        <v/>
      </c>
      <c r="BM79" s="264" t="str">
        <f t="shared" si="66"/>
        <v/>
      </c>
      <c r="BN79" s="60" t="str">
        <f t="shared" si="85"/>
        <v/>
      </c>
      <c r="BO79" s="136">
        <f t="shared" si="86"/>
        <v>0</v>
      </c>
      <c r="BP79" s="59">
        <f t="shared" si="87"/>
        <v>0</v>
      </c>
      <c r="BQ79" s="136">
        <f t="shared" ca="1" si="68"/>
        <v>1264</v>
      </c>
      <c r="BR79" s="136">
        <f t="shared" ca="1" si="69"/>
        <v>1000.2126245847176</v>
      </c>
      <c r="BS79" s="136">
        <f t="shared" ca="1" si="70"/>
        <v>1468800.2126245848</v>
      </c>
      <c r="BT79" s="136">
        <f t="shared" ca="1" si="71"/>
        <v>313875.13535034395</v>
      </c>
      <c r="BU79" s="136">
        <f t="shared" ca="1" si="72"/>
        <v>1000.2126245847176</v>
      </c>
    </row>
    <row r="80" spans="1:73" x14ac:dyDescent="0.2">
      <c r="A80" s="87" t="str">
        <f>'Etape 2'!A77</f>
        <v/>
      </c>
      <c r="B80" s="87">
        <f>'Etape 2'!B77</f>
        <v>65</v>
      </c>
      <c r="C80" s="87">
        <f ca="1">'Etape 2'!C77</f>
        <v>236</v>
      </c>
      <c r="D80" s="87"/>
      <c r="E80" s="61">
        <f ca="1">RANK(BU80,BU$16:BU$315,0)+COUNTIF(BU$16:BU80,BU80)-1</f>
        <v>236</v>
      </c>
      <c r="F80" s="87" t="str">
        <f>'Etape 2'!D77</f>
        <v/>
      </c>
      <c r="G80" s="87" t="str">
        <f>'Etape 2'!E77</f>
        <v/>
      </c>
      <c r="H80" s="87" t="str">
        <f>'Etape 2'!F77</f>
        <v/>
      </c>
      <c r="I80" s="87" t="str">
        <f>'Etape 2'!G77</f>
        <v/>
      </c>
      <c r="J80" s="87" t="str">
        <f>'Etape 2'!H77</f>
        <v/>
      </c>
      <c r="K80" s="87" t="str">
        <f>'Etape 2'!I77</f>
        <v/>
      </c>
      <c r="L80" s="87">
        <f ca="1">'Etape 2'!J77</f>
        <v>999999</v>
      </c>
      <c r="M80" s="87">
        <f>'Etape 2'!K77</f>
        <v>999</v>
      </c>
      <c r="N80" s="87">
        <f ca="1">'Etape 2'!L77</f>
        <v>65</v>
      </c>
      <c r="O80" s="259">
        <f t="shared" ref="O80:O143" si="102">VLOOKUP(IF(U80=0,St.Wert_Regulierungsart,U80),Matrix_Regulierungsart.Einsparfaktor,3,FALSE)</f>
        <v>0.3</v>
      </c>
      <c r="P80" s="259">
        <f t="shared" ref="P80:P143" si="103">VLOOKUP(IF(U80=0,St.Wert_Regulierungsart,U80),Matrix_Regulierungsart.Einsparfaktor,4,FALSE)</f>
        <v>1.1000000000000001</v>
      </c>
      <c r="Q80" s="260">
        <f t="shared" ref="Q80:Q143" si="104">IF(AE80&lt;0,St.Wert_Lastfaktor,IF(SUM(AB80:AE80)=0,0,O80+(P80-O80)*SUMPRODUCT(AB$14:AE$14,AB80:AE80)/SUM(AB80:AE80)))</f>
        <v>0</v>
      </c>
      <c r="R80" s="261">
        <f t="shared" si="89"/>
        <v>0</v>
      </c>
      <c r="S80" s="87">
        <f>IF(ISBLANK('Etape 2'!N77),0,VLOOKUP('Etape 2'!N77,Matrix_Uebersetzung,2,FALSE))</f>
        <v>0</v>
      </c>
      <c r="T80" s="87">
        <f>IF(ISBLANK('Etape 2'!O77),0,VLOOKUP('Etape 2'!O77,Matrix_Uebersetzung,2,FALSE))</f>
        <v>0</v>
      </c>
      <c r="U80" s="87">
        <f>IF(ISBLANK('Etape 2'!P77),0,VLOOKUP('Etape 2'!P77,Matrix_Uebersetzung,2,FALSE))</f>
        <v>0</v>
      </c>
      <c r="V80" s="87" t="str">
        <f>'Etape 2'!Q77</f>
        <v/>
      </c>
      <c r="W80" s="87">
        <f>'Etape 2'!R77</f>
        <v>0</v>
      </c>
      <c r="X80" s="87" t="str">
        <f>'Etape 2'!S77</f>
        <v/>
      </c>
      <c r="Y80" s="89" t="str">
        <f>'Etape 2'!T77</f>
        <v/>
      </c>
      <c r="Z80" s="87">
        <f>'Etape 2'!U77</f>
        <v>0</v>
      </c>
      <c r="AA80" s="87" t="str">
        <f>'Etape 2'!V77</f>
        <v/>
      </c>
      <c r="AB80" s="87">
        <f>IF(ISNUMBER('Etape 2'!W77),'Etape 2'!W77,0)</f>
        <v>0</v>
      </c>
      <c r="AC80" s="87">
        <f>IF(ISNUMBER('Etape 2'!X77),'Etape 2'!X77,0)</f>
        <v>0</v>
      </c>
      <c r="AD80" s="87">
        <f>IF(ISNUMBER('Etape 2'!Y77),'Etape 2'!Y77,0)</f>
        <v>0</v>
      </c>
      <c r="AE80" s="87">
        <f>IF(ISNUMBER('Etape 2'!Z77),'Etape 2'!Z77,0)</f>
        <v>0</v>
      </c>
      <c r="AF80" s="86">
        <f t="shared" si="74"/>
        <v>999</v>
      </c>
      <c r="AG80" s="288">
        <f t="shared" si="75"/>
        <v>0.25</v>
      </c>
      <c r="AH80" s="181" t="e">
        <f t="shared" ref="AH80:AH143" si="105">I80*J80</f>
        <v>#VALUE!</v>
      </c>
      <c r="AI80" s="181" t="e">
        <f t="shared" si="76"/>
        <v>#VALUE!</v>
      </c>
      <c r="AJ80" s="86">
        <f t="shared" ref="AJ80:AJ143" si="106">IF(I80&lt;Wert_Motor.max.Leistung.fuer.Berechnung.Wirkungsgrad,I80,Wert_Motor.max.Leistung.fuer.Berechnung.Wirkungsgrad)</f>
        <v>200</v>
      </c>
      <c r="AK80" s="91" t="e">
        <f t="shared" ref="AK80:AK143" si="107">VLOOKUP(I80,Matrix_Motor.LeistungsKl.ID,2,1)</f>
        <v>#N/A</v>
      </c>
      <c r="AL80" s="91" t="e">
        <f t="shared" ref="AL80:AL113" si="108">VLOOKUP(AA80,Matrix_Motor.EffKl.IEID,2,1)</f>
        <v>#N/A</v>
      </c>
      <c r="AM80" s="91">
        <f t="shared" ref="AM80:AM315" si="109">Wert_Motor.IEID.neu.Schritt2</f>
        <v>6</v>
      </c>
      <c r="AN80" s="91" t="e">
        <f t="shared" si="77"/>
        <v>#N/A</v>
      </c>
      <c r="AO80" s="91" t="e">
        <f t="shared" si="78"/>
        <v>#N/A</v>
      </c>
      <c r="AP80" s="21" t="e">
        <f t="shared" ref="AP80:AP113" si="110">(VLOOKUP(AN80,Matrix_Motor.KombiKl.EffParameter,3,0)*(LOG(AJ80))^3+VLOOKUP(AN80,Matrix_Motor.KombiKl.EffParameter,4,0)*(LOG(AJ80))^2+VLOOKUP(AN80,Matrix_Motor.KombiKl.EffParameter,5,0)*(LOG(AJ80))+VLOOKUP(AN80,Matrix_Motor.KombiKl.EffParameter,6,0))/100</f>
        <v>#N/A</v>
      </c>
      <c r="AQ80" s="21" t="e">
        <f t="shared" ref="AQ80:AQ113" si="111">(VLOOKUP(AO80,Matrix_Motor.KombiKl.EffParameter,3,0)*(LOG(AJ80))^3+VLOOKUP(AO80,Matrix_Motor.KombiKl.EffParameter,4,0)*(LOG(AJ80))^2+VLOOKUP(AO80,Matrix_Motor.KombiKl.EffParameter,5,0)*(LOG(AJ80))+VLOOKUP(AO80,Matrix_Motor.KombiKl.EffParameter,6,0))/100</f>
        <v>#N/A</v>
      </c>
      <c r="AR80" s="92" t="str">
        <f t="shared" si="79"/>
        <v/>
      </c>
      <c r="AS80" s="21" t="str">
        <f t="shared" si="80"/>
        <v/>
      </c>
      <c r="AT80" s="59" t="str">
        <f t="shared" ref="AT80:AT143" si="112">IF(AND(ISNUMBER(AR80),AE80&gt;=0),AS80*Preis_Strom.Schritt2/100,"")</f>
        <v/>
      </c>
      <c r="AU80" s="105">
        <f t="shared" ref="AU80:AU315" si="113">Wert_Netztyp.Zahl.Schritt2</f>
        <v>1</v>
      </c>
      <c r="AV80" s="105">
        <f t="shared" ref="AV80:AV113" si="114">IF(ISERROR(VLOOKUP(S80,Matrix_Kreislauf.Zahl,2,0)),Wert_Kreislauf.Zahl.Schritt2,VLOOKUP(S80,Matrix_Kreislauf.Zahl,2,0))</f>
        <v>1</v>
      </c>
      <c r="AW80" s="58">
        <f t="shared" si="88"/>
        <v>2</v>
      </c>
      <c r="AX80" s="58">
        <f t="shared" ref="AX80:AX111" si="115">VLOOKUP(AW80,Matrix_Netztyp.Kreislauf.Spalte,6,0)</f>
        <v>3</v>
      </c>
      <c r="AY80" s="58" t="str">
        <f t="shared" ref="AY80:AY113" si="116">VLOOKUP(AW80,Matrix_Netztyp.Kreislauf.Spalte,2,0)</f>
        <v>avec vannes</v>
      </c>
      <c r="AZ80" s="58" t="str">
        <f t="shared" ref="AZ80:AZ113" si="117">VLOOKUP(AW80,Matrix_Netztyp.Kreislauf.Spalte,4,0)</f>
        <v>fermé</v>
      </c>
      <c r="BA80" s="60">
        <f t="shared" si="101"/>
        <v>0</v>
      </c>
      <c r="BB80" s="60">
        <f t="shared" si="101"/>
        <v>0</v>
      </c>
      <c r="BC80" s="60">
        <f t="shared" si="101"/>
        <v>0</v>
      </c>
      <c r="BD80" s="60">
        <f t="shared" si="101"/>
        <v>0</v>
      </c>
      <c r="BE80" s="286" t="str">
        <f t="shared" ref="BE80:BE143" si="118">IF(AND(ISNUMBER(A80),AE80&gt;=0),IF(SUM(AB80:AE80)&gt;0,SUMPRODUCT(AB80:AE80,BA80:BD80)/SUM(AB80:AE80),0)*VLOOKUP(IF(U80=0,St.Wert_Regulierungsart,U80),Matrix_Regulierungsart.Einsparfaktor,2,FALSE),"")</f>
        <v/>
      </c>
      <c r="BF80" s="58" t="str">
        <f t="shared" si="82"/>
        <v/>
      </c>
      <c r="BG80" s="59" t="str">
        <f t="shared" ref="BG80:BG143" si="119">IF(AND(ISNUMBER(A80),AE80&gt;=0),BF80*Preis_Strom.Schritt2/100,"")</f>
        <v/>
      </c>
      <c r="BH80" s="158">
        <f t="shared" ref="BH80:BH143" ca="1" si="120">VLOOKUP(C80,Matrix_Berechnungen1.Rang.Pumpendaten.Zwischenresultate,BH$12,0)</f>
        <v>1</v>
      </c>
      <c r="BI80" s="60">
        <f t="shared" ref="BI80:BI143" ca="1" si="121">VLOOKUP(BH80,Matrix_Anlage.AlterID.Einsparpotential.und.EnergieAnteil,5,0)</f>
        <v>0.15</v>
      </c>
      <c r="BJ80" s="60">
        <f t="shared" ref="BJ80:BJ143" si="122">VLOOKUP(AG80,Matrix_Redim.Teilvolumenstrom.Einsparpotential.ID,2,0)</f>
        <v>0.2</v>
      </c>
      <c r="BK80" s="60" t="str">
        <f t="shared" si="83"/>
        <v/>
      </c>
      <c r="BL80" s="21" t="str">
        <f t="shared" si="84"/>
        <v/>
      </c>
      <c r="BM80" s="264" t="str">
        <f t="shared" ref="BM80:BM143" si="123">IF(AND(ISNUMBER(A80),AE80&gt;=0),BL80*Preis_Strom.Schritt2/100,"")</f>
        <v/>
      </c>
      <c r="BN80" s="60" t="str">
        <f t="shared" si="85"/>
        <v/>
      </c>
      <c r="BO80" s="136">
        <f t="shared" si="86"/>
        <v>0</v>
      </c>
      <c r="BP80" s="59">
        <f t="shared" si="87"/>
        <v>0</v>
      </c>
      <c r="BQ80" s="136">
        <f t="shared" ref="BQ80:BQ143" ca="1" si="124">VLOOKUP(M80,Matrix_Sortierung.Schritt2.Multiplikator.ID.BewertungSchritt1,2,FALSE)*MAX($N$16:$N$315)+$N80</f>
        <v>1265</v>
      </c>
      <c r="BR80" s="136">
        <f t="shared" ref="BR80:BR143" ca="1" si="125">VLOOKUP(M80,Matrix_Sortierung.Schritt2.Multiplikator.ID.BewertungSchritt1,2,FALSE)*MAX($I$16:$I$315)-IF(ISNUMBER(I80),I80,0)+$N80/(MAX($N$16:$N$315)+1)</f>
        <v>1000.2159468438538</v>
      </c>
      <c r="BS80" s="136">
        <f t="shared" ref="BS80:BS143" ca="1" si="126">VLOOKUP(M80,Matrix_Sortierung.Schritt2.Multiplikator.ID.BewertungSchritt1,2,FALSE)*MAX($R$16:$R$315)-R80+$N80/(MAX($N$16:$N$315)+1)</f>
        <v>1468800.2159468438</v>
      </c>
      <c r="BT80" s="136">
        <f t="shared" ref="BT80:BT143" ca="1" si="127">VLOOKUP(M80,Matrix_Sortierung.Schritt2.Multiplikator.ID.BewertungSchritt1,2,FALSE)*MAX($BO$16:$BO$315)-BO80+$N80/(MAX($N$16:$N$315)+1)</f>
        <v>313875.13867260306</v>
      </c>
      <c r="BU80" s="136">
        <f t="shared" ref="BU80:BU143" ca="1" si="128">INDIRECT(ADDRESS(ROW(BU80),Wert_Sortiervariante.Resultate.SpaltenNr))</f>
        <v>1000.2159468438538</v>
      </c>
    </row>
    <row r="81" spans="1:73" x14ac:dyDescent="0.2">
      <c r="A81" s="87" t="str">
        <f>'Etape 2'!A78</f>
        <v/>
      </c>
      <c r="B81" s="87">
        <f>'Etape 2'!B78</f>
        <v>66</v>
      </c>
      <c r="C81" s="87">
        <f ca="1">'Etape 2'!C78</f>
        <v>235</v>
      </c>
      <c r="D81" s="87"/>
      <c r="E81" s="61">
        <f ca="1">RANK(BU81,BU$16:BU$315,0)+COUNTIF(BU$16:BU81,BU81)-1</f>
        <v>235</v>
      </c>
      <c r="F81" s="87" t="str">
        <f>'Etape 2'!D78</f>
        <v/>
      </c>
      <c r="G81" s="87" t="str">
        <f>'Etape 2'!E78</f>
        <v/>
      </c>
      <c r="H81" s="87" t="str">
        <f>'Etape 2'!F78</f>
        <v/>
      </c>
      <c r="I81" s="87" t="str">
        <f>'Etape 2'!G78</f>
        <v/>
      </c>
      <c r="J81" s="87" t="str">
        <f>'Etape 2'!H78</f>
        <v/>
      </c>
      <c r="K81" s="87" t="str">
        <f>'Etape 2'!I78</f>
        <v/>
      </c>
      <c r="L81" s="87">
        <f ca="1">'Etape 2'!J78</f>
        <v>999999</v>
      </c>
      <c r="M81" s="87">
        <f>'Etape 2'!K78</f>
        <v>999</v>
      </c>
      <c r="N81" s="87">
        <f ca="1">'Etape 2'!L78</f>
        <v>66</v>
      </c>
      <c r="O81" s="259">
        <f t="shared" si="102"/>
        <v>0.3</v>
      </c>
      <c r="P81" s="259">
        <f t="shared" si="103"/>
        <v>1.1000000000000001</v>
      </c>
      <c r="Q81" s="260">
        <f t="shared" si="104"/>
        <v>0</v>
      </c>
      <c r="R81" s="261">
        <f t="shared" si="89"/>
        <v>0</v>
      </c>
      <c r="S81" s="87">
        <f>IF(ISBLANK('Etape 2'!N78),0,VLOOKUP('Etape 2'!N78,Matrix_Uebersetzung,2,FALSE))</f>
        <v>0</v>
      </c>
      <c r="T81" s="87">
        <f>IF(ISBLANK('Etape 2'!O78),0,VLOOKUP('Etape 2'!O78,Matrix_Uebersetzung,2,FALSE))</f>
        <v>0</v>
      </c>
      <c r="U81" s="87">
        <f>IF(ISBLANK('Etape 2'!P78),0,VLOOKUP('Etape 2'!P78,Matrix_Uebersetzung,2,FALSE))</f>
        <v>0</v>
      </c>
      <c r="V81" s="87" t="str">
        <f>'Etape 2'!Q78</f>
        <v/>
      </c>
      <c r="W81" s="87">
        <f>'Etape 2'!R78</f>
        <v>0</v>
      </c>
      <c r="X81" s="87" t="str">
        <f>'Etape 2'!S78</f>
        <v/>
      </c>
      <c r="Y81" s="89" t="str">
        <f>'Etape 2'!T78</f>
        <v/>
      </c>
      <c r="Z81" s="87">
        <f>'Etape 2'!U78</f>
        <v>0</v>
      </c>
      <c r="AA81" s="87" t="str">
        <f>'Etape 2'!V78</f>
        <v/>
      </c>
      <c r="AB81" s="87">
        <f>IF(ISNUMBER('Etape 2'!W78),'Etape 2'!W78,0)</f>
        <v>0</v>
      </c>
      <c r="AC81" s="87">
        <f>IF(ISNUMBER('Etape 2'!X78),'Etape 2'!X78,0)</f>
        <v>0</v>
      </c>
      <c r="AD81" s="87">
        <f>IF(ISNUMBER('Etape 2'!Y78),'Etape 2'!Y78,0)</f>
        <v>0</v>
      </c>
      <c r="AE81" s="87">
        <f>IF(ISNUMBER('Etape 2'!Z78),'Etape 2'!Z78,0)</f>
        <v>0</v>
      </c>
      <c r="AF81" s="86">
        <f t="shared" ref="AF81:AF144" si="129">IF(AE81&lt;0,-1,1)*M81</f>
        <v>999</v>
      </c>
      <c r="AG81" s="288">
        <f t="shared" ref="AG81:AG144" si="130">IF(AE81=0,IF(AD81=0,IF(AC81=0,AB$14,AC$14),AD$14),AE$14)</f>
        <v>0.25</v>
      </c>
      <c r="AH81" s="181" t="e">
        <f t="shared" si="105"/>
        <v>#VALUE!</v>
      </c>
      <c r="AI81" s="181" t="e">
        <f t="shared" ref="AI81:AI113" si="131">AH81*Preis_Strom.Schritt2/100</f>
        <v>#VALUE!</v>
      </c>
      <c r="AJ81" s="86">
        <f t="shared" si="106"/>
        <v>200</v>
      </c>
      <c r="AK81" s="91" t="e">
        <f t="shared" si="107"/>
        <v>#N/A</v>
      </c>
      <c r="AL81" s="91" t="e">
        <f t="shared" si="108"/>
        <v>#N/A</v>
      </c>
      <c r="AM81" s="91">
        <f t="shared" si="109"/>
        <v>6</v>
      </c>
      <c r="AN81" s="91" t="e">
        <f t="shared" ref="AN81:AN113" si="132">CONCATENATE(AK81,AL81,X81)</f>
        <v>#N/A</v>
      </c>
      <c r="AO81" s="91" t="e">
        <f t="shared" ref="AO81:AO113" si="133">CONCATENATE(AK81,AM81,X81)</f>
        <v>#N/A</v>
      </c>
      <c r="AP81" s="21" t="e">
        <f t="shared" si="110"/>
        <v>#N/A</v>
      </c>
      <c r="AQ81" s="21" t="e">
        <f t="shared" si="111"/>
        <v>#N/A</v>
      </c>
      <c r="AR81" s="92" t="str">
        <f t="shared" ref="AR81:AR144" si="134">IF(AND(ISNUMBER(A81),ISNUMBER(K81+AP81+AQ81)),IF(ISERROR(1-AP81/AQ81),0,1-AP81/AQ81),"")</f>
        <v/>
      </c>
      <c r="AS81" s="21" t="str">
        <f t="shared" ref="AS81:AS144" si="135">IF(AND(ISNUMBER(AR81),AE81&gt;=0),R81*AR81,"")</f>
        <v/>
      </c>
      <c r="AT81" s="59" t="str">
        <f t="shared" si="112"/>
        <v/>
      </c>
      <c r="AU81" s="105">
        <f t="shared" si="113"/>
        <v>1</v>
      </c>
      <c r="AV81" s="105">
        <f t="shared" si="114"/>
        <v>1</v>
      </c>
      <c r="AW81" s="58">
        <f t="shared" si="88"/>
        <v>2</v>
      </c>
      <c r="AX81" s="58">
        <f t="shared" si="115"/>
        <v>3</v>
      </c>
      <c r="AY81" s="58" t="str">
        <f t="shared" si="116"/>
        <v>avec vannes</v>
      </c>
      <c r="AZ81" s="58" t="str">
        <f t="shared" si="117"/>
        <v>fermé</v>
      </c>
      <c r="BA81" s="60">
        <f t="shared" si="101"/>
        <v>0</v>
      </c>
      <c r="BB81" s="60">
        <f t="shared" si="101"/>
        <v>0</v>
      </c>
      <c r="BC81" s="60">
        <f t="shared" si="101"/>
        <v>0</v>
      </c>
      <c r="BD81" s="60">
        <f t="shared" si="101"/>
        <v>0</v>
      </c>
      <c r="BE81" s="286" t="str">
        <f t="shared" si="118"/>
        <v/>
      </c>
      <c r="BF81" s="58" t="str">
        <f t="shared" ref="BF81:BF144" si="136">IF(AND(ISNUMBER(A81),AE81&gt;=0),R81*BE81,"")</f>
        <v/>
      </c>
      <c r="BG81" s="59" t="str">
        <f t="shared" si="119"/>
        <v/>
      </c>
      <c r="BH81" s="158">
        <f t="shared" ca="1" si="120"/>
        <v>1</v>
      </c>
      <c r="BI81" s="60">
        <f t="shared" ca="1" si="121"/>
        <v>0.15</v>
      </c>
      <c r="BJ81" s="60">
        <f t="shared" si="122"/>
        <v>0.2</v>
      </c>
      <c r="BK81" s="60" t="str">
        <f t="shared" ref="BK81:BK144" si="137">IF(AND(ISNUMBER(A81),AE81&gt;=0),1-((1-BI81)*(1-BJ81)),"")</f>
        <v/>
      </c>
      <c r="BL81" s="21" t="str">
        <f t="shared" ref="BL81:BL144" si="138">IF(AND(ISNUMBER(A81),AE81&gt;=0),R81*BK81,"")</f>
        <v/>
      </c>
      <c r="BM81" s="264" t="str">
        <f t="shared" si="123"/>
        <v/>
      </c>
      <c r="BN81" s="60" t="str">
        <f t="shared" ref="BN81:BN144" si="139">IF(AND(ISNUMBER(A81),AE81&gt;=0),(1-(1-IF(ISNUMBER(AR81),AR81,0))*(1-BE81)*(1-BK81)),"")</f>
        <v/>
      </c>
      <c r="BO81" s="136">
        <f t="shared" ref="BO81:BO144" si="140">IF(AND(ISNUMBER(A81),AE81&gt;=0),R81*BN81,0)</f>
        <v>0</v>
      </c>
      <c r="BP81" s="59">
        <f t="shared" ref="BP81:BP144" si="141">BO81*Preis_Strom.Schritt2/100</f>
        <v>0</v>
      </c>
      <c r="BQ81" s="136">
        <f t="shared" ca="1" si="124"/>
        <v>1266</v>
      </c>
      <c r="BR81" s="136">
        <f t="shared" ca="1" si="125"/>
        <v>1000.21926910299</v>
      </c>
      <c r="BS81" s="136">
        <f t="shared" ca="1" si="126"/>
        <v>1468800.2192691029</v>
      </c>
      <c r="BT81" s="136">
        <f t="shared" ca="1" si="127"/>
        <v>313875.14199486218</v>
      </c>
      <c r="BU81" s="136">
        <f t="shared" ca="1" si="128"/>
        <v>1000.21926910299</v>
      </c>
    </row>
    <row r="82" spans="1:73" x14ac:dyDescent="0.2">
      <c r="A82" s="87" t="str">
        <f>'Etape 2'!A79</f>
        <v/>
      </c>
      <c r="B82" s="87">
        <f>'Etape 2'!B79</f>
        <v>67</v>
      </c>
      <c r="C82" s="87">
        <f ca="1">'Etape 2'!C79</f>
        <v>234</v>
      </c>
      <c r="D82" s="87"/>
      <c r="E82" s="61">
        <f ca="1">RANK(BU82,BU$16:BU$315,0)+COUNTIF(BU$16:BU82,BU82)-1</f>
        <v>234</v>
      </c>
      <c r="F82" s="87" t="str">
        <f>'Etape 2'!D79</f>
        <v/>
      </c>
      <c r="G82" s="87" t="str">
        <f>'Etape 2'!E79</f>
        <v/>
      </c>
      <c r="H82" s="87" t="str">
        <f>'Etape 2'!F79</f>
        <v/>
      </c>
      <c r="I82" s="87" t="str">
        <f>'Etape 2'!G79</f>
        <v/>
      </c>
      <c r="J82" s="87" t="str">
        <f>'Etape 2'!H79</f>
        <v/>
      </c>
      <c r="K82" s="87" t="str">
        <f>'Etape 2'!I79</f>
        <v/>
      </c>
      <c r="L82" s="87">
        <f ca="1">'Etape 2'!J79</f>
        <v>999999</v>
      </c>
      <c r="M82" s="87">
        <f>'Etape 2'!K79</f>
        <v>999</v>
      </c>
      <c r="N82" s="87">
        <f ca="1">'Etape 2'!L79</f>
        <v>67</v>
      </c>
      <c r="O82" s="259">
        <f t="shared" si="102"/>
        <v>0.3</v>
      </c>
      <c r="P82" s="259">
        <f t="shared" si="103"/>
        <v>1.1000000000000001</v>
      </c>
      <c r="Q82" s="260">
        <f t="shared" si="104"/>
        <v>0</v>
      </c>
      <c r="R82" s="261">
        <f t="shared" si="89"/>
        <v>0</v>
      </c>
      <c r="S82" s="87">
        <f>IF(ISBLANK('Etape 2'!N79),0,VLOOKUP('Etape 2'!N79,Matrix_Uebersetzung,2,FALSE))</f>
        <v>0</v>
      </c>
      <c r="T82" s="87">
        <f>IF(ISBLANK('Etape 2'!O79),0,VLOOKUP('Etape 2'!O79,Matrix_Uebersetzung,2,FALSE))</f>
        <v>0</v>
      </c>
      <c r="U82" s="87">
        <f>IF(ISBLANK('Etape 2'!P79),0,VLOOKUP('Etape 2'!P79,Matrix_Uebersetzung,2,FALSE))</f>
        <v>0</v>
      </c>
      <c r="V82" s="87" t="str">
        <f>'Etape 2'!Q79</f>
        <v/>
      </c>
      <c r="W82" s="87">
        <f>'Etape 2'!R79</f>
        <v>0</v>
      </c>
      <c r="X82" s="87" t="str">
        <f>'Etape 2'!S79</f>
        <v/>
      </c>
      <c r="Y82" s="89" t="str">
        <f>'Etape 2'!T79</f>
        <v/>
      </c>
      <c r="Z82" s="87">
        <f>'Etape 2'!U79</f>
        <v>0</v>
      </c>
      <c r="AA82" s="87" t="str">
        <f>'Etape 2'!V79</f>
        <v/>
      </c>
      <c r="AB82" s="87">
        <f>IF(ISNUMBER('Etape 2'!W79),'Etape 2'!W79,0)</f>
        <v>0</v>
      </c>
      <c r="AC82" s="87">
        <f>IF(ISNUMBER('Etape 2'!X79),'Etape 2'!X79,0)</f>
        <v>0</v>
      </c>
      <c r="AD82" s="87">
        <f>IF(ISNUMBER('Etape 2'!Y79),'Etape 2'!Y79,0)</f>
        <v>0</v>
      </c>
      <c r="AE82" s="87">
        <f>IF(ISNUMBER('Etape 2'!Z79),'Etape 2'!Z79,0)</f>
        <v>0</v>
      </c>
      <c r="AF82" s="86">
        <f t="shared" si="129"/>
        <v>999</v>
      </c>
      <c r="AG82" s="288">
        <f t="shared" si="130"/>
        <v>0.25</v>
      </c>
      <c r="AH82" s="181" t="e">
        <f t="shared" si="105"/>
        <v>#VALUE!</v>
      </c>
      <c r="AI82" s="181" t="e">
        <f t="shared" si="131"/>
        <v>#VALUE!</v>
      </c>
      <c r="AJ82" s="86">
        <f t="shared" si="106"/>
        <v>200</v>
      </c>
      <c r="AK82" s="91" t="e">
        <f t="shared" si="107"/>
        <v>#N/A</v>
      </c>
      <c r="AL82" s="91" t="e">
        <f t="shared" si="108"/>
        <v>#N/A</v>
      </c>
      <c r="AM82" s="91">
        <f t="shared" si="109"/>
        <v>6</v>
      </c>
      <c r="AN82" s="91" t="e">
        <f t="shared" si="132"/>
        <v>#N/A</v>
      </c>
      <c r="AO82" s="91" t="e">
        <f t="shared" si="133"/>
        <v>#N/A</v>
      </c>
      <c r="AP82" s="21" t="e">
        <f t="shared" si="110"/>
        <v>#N/A</v>
      </c>
      <c r="AQ82" s="21" t="e">
        <f t="shared" si="111"/>
        <v>#N/A</v>
      </c>
      <c r="AR82" s="92" t="str">
        <f t="shared" si="134"/>
        <v/>
      </c>
      <c r="AS82" s="21" t="str">
        <f t="shared" si="135"/>
        <v/>
      </c>
      <c r="AT82" s="59" t="str">
        <f t="shared" si="112"/>
        <v/>
      </c>
      <c r="AU82" s="105">
        <f t="shared" si="113"/>
        <v>1</v>
      </c>
      <c r="AV82" s="105">
        <f t="shared" si="114"/>
        <v>1</v>
      </c>
      <c r="AW82" s="58">
        <f t="shared" si="88"/>
        <v>2</v>
      </c>
      <c r="AX82" s="58">
        <f t="shared" si="115"/>
        <v>3</v>
      </c>
      <c r="AY82" s="58" t="str">
        <f t="shared" si="116"/>
        <v>avec vannes</v>
      </c>
      <c r="AZ82" s="58" t="str">
        <f t="shared" si="117"/>
        <v>fermé</v>
      </c>
      <c r="BA82" s="60">
        <f t="shared" si="101"/>
        <v>0</v>
      </c>
      <c r="BB82" s="60">
        <f t="shared" si="101"/>
        <v>0</v>
      </c>
      <c r="BC82" s="60">
        <f t="shared" si="101"/>
        <v>0</v>
      </c>
      <c r="BD82" s="60">
        <f t="shared" si="101"/>
        <v>0</v>
      </c>
      <c r="BE82" s="286" t="str">
        <f t="shared" si="118"/>
        <v/>
      </c>
      <c r="BF82" s="58" t="str">
        <f t="shared" si="136"/>
        <v/>
      </c>
      <c r="BG82" s="59" t="str">
        <f t="shared" si="119"/>
        <v/>
      </c>
      <c r="BH82" s="158">
        <f t="shared" ca="1" si="120"/>
        <v>1</v>
      </c>
      <c r="BI82" s="60">
        <f t="shared" ca="1" si="121"/>
        <v>0.15</v>
      </c>
      <c r="BJ82" s="60">
        <f t="shared" si="122"/>
        <v>0.2</v>
      </c>
      <c r="BK82" s="60" t="str">
        <f t="shared" si="137"/>
        <v/>
      </c>
      <c r="BL82" s="21" t="str">
        <f t="shared" si="138"/>
        <v/>
      </c>
      <c r="BM82" s="264" t="str">
        <f t="shared" si="123"/>
        <v/>
      </c>
      <c r="BN82" s="60" t="str">
        <f t="shared" si="139"/>
        <v/>
      </c>
      <c r="BO82" s="136">
        <f t="shared" si="140"/>
        <v>0</v>
      </c>
      <c r="BP82" s="59">
        <f t="shared" si="141"/>
        <v>0</v>
      </c>
      <c r="BQ82" s="136">
        <f t="shared" ca="1" si="124"/>
        <v>1267</v>
      </c>
      <c r="BR82" s="136">
        <f t="shared" ca="1" si="125"/>
        <v>1000.2225913621262</v>
      </c>
      <c r="BS82" s="136">
        <f t="shared" ca="1" si="126"/>
        <v>1468800.2225913622</v>
      </c>
      <c r="BT82" s="136">
        <f t="shared" ca="1" si="127"/>
        <v>313875.14531712135</v>
      </c>
      <c r="BU82" s="136">
        <f t="shared" ca="1" si="128"/>
        <v>1000.2225913621262</v>
      </c>
    </row>
    <row r="83" spans="1:73" x14ac:dyDescent="0.2">
      <c r="A83" s="87" t="str">
        <f>'Etape 2'!A80</f>
        <v/>
      </c>
      <c r="B83" s="87">
        <f>'Etape 2'!B80</f>
        <v>68</v>
      </c>
      <c r="C83" s="87">
        <f ca="1">'Etape 2'!C80</f>
        <v>233</v>
      </c>
      <c r="D83" s="87"/>
      <c r="E83" s="61">
        <f ca="1">RANK(BU83,BU$16:BU$315,0)+COUNTIF(BU$16:BU83,BU83)-1</f>
        <v>233</v>
      </c>
      <c r="F83" s="87" t="str">
        <f>'Etape 2'!D80</f>
        <v/>
      </c>
      <c r="G83" s="87" t="str">
        <f>'Etape 2'!E80</f>
        <v/>
      </c>
      <c r="H83" s="87" t="str">
        <f>'Etape 2'!F80</f>
        <v/>
      </c>
      <c r="I83" s="87" t="str">
        <f>'Etape 2'!G80</f>
        <v/>
      </c>
      <c r="J83" s="87" t="str">
        <f>'Etape 2'!H80</f>
        <v/>
      </c>
      <c r="K83" s="87" t="str">
        <f>'Etape 2'!I80</f>
        <v/>
      </c>
      <c r="L83" s="87">
        <f ca="1">'Etape 2'!J80</f>
        <v>999999</v>
      </c>
      <c r="M83" s="87">
        <f>'Etape 2'!K80</f>
        <v>999</v>
      </c>
      <c r="N83" s="87">
        <f ca="1">'Etape 2'!L80</f>
        <v>68</v>
      </c>
      <c r="O83" s="259">
        <f t="shared" si="102"/>
        <v>0.3</v>
      </c>
      <c r="P83" s="259">
        <f t="shared" si="103"/>
        <v>1.1000000000000001</v>
      </c>
      <c r="Q83" s="260">
        <f t="shared" si="104"/>
        <v>0</v>
      </c>
      <c r="R83" s="261">
        <f t="shared" si="89"/>
        <v>0</v>
      </c>
      <c r="S83" s="87">
        <f>IF(ISBLANK('Etape 2'!N80),0,VLOOKUP('Etape 2'!N80,Matrix_Uebersetzung,2,FALSE))</f>
        <v>0</v>
      </c>
      <c r="T83" s="87">
        <f>IF(ISBLANK('Etape 2'!O80),0,VLOOKUP('Etape 2'!O80,Matrix_Uebersetzung,2,FALSE))</f>
        <v>0</v>
      </c>
      <c r="U83" s="87">
        <f>IF(ISBLANK('Etape 2'!P80),0,VLOOKUP('Etape 2'!P80,Matrix_Uebersetzung,2,FALSE))</f>
        <v>0</v>
      </c>
      <c r="V83" s="87" t="str">
        <f>'Etape 2'!Q80</f>
        <v/>
      </c>
      <c r="W83" s="87">
        <f>'Etape 2'!R80</f>
        <v>0</v>
      </c>
      <c r="X83" s="87" t="str">
        <f>'Etape 2'!S80</f>
        <v/>
      </c>
      <c r="Y83" s="89" t="str">
        <f>'Etape 2'!T80</f>
        <v/>
      </c>
      <c r="Z83" s="87">
        <f>'Etape 2'!U80</f>
        <v>0</v>
      </c>
      <c r="AA83" s="87" t="str">
        <f>'Etape 2'!V80</f>
        <v/>
      </c>
      <c r="AB83" s="87">
        <f>IF(ISNUMBER('Etape 2'!W80),'Etape 2'!W80,0)</f>
        <v>0</v>
      </c>
      <c r="AC83" s="87">
        <f>IF(ISNUMBER('Etape 2'!X80),'Etape 2'!X80,0)</f>
        <v>0</v>
      </c>
      <c r="AD83" s="87">
        <f>IF(ISNUMBER('Etape 2'!Y80),'Etape 2'!Y80,0)</f>
        <v>0</v>
      </c>
      <c r="AE83" s="87">
        <f>IF(ISNUMBER('Etape 2'!Z80),'Etape 2'!Z80,0)</f>
        <v>0</v>
      </c>
      <c r="AF83" s="86">
        <f t="shared" si="129"/>
        <v>999</v>
      </c>
      <c r="AG83" s="288">
        <f t="shared" si="130"/>
        <v>0.25</v>
      </c>
      <c r="AH83" s="181" t="e">
        <f t="shared" si="105"/>
        <v>#VALUE!</v>
      </c>
      <c r="AI83" s="181" t="e">
        <f t="shared" si="131"/>
        <v>#VALUE!</v>
      </c>
      <c r="AJ83" s="86">
        <f t="shared" si="106"/>
        <v>200</v>
      </c>
      <c r="AK83" s="91" t="e">
        <f t="shared" si="107"/>
        <v>#N/A</v>
      </c>
      <c r="AL83" s="91" t="e">
        <f t="shared" si="108"/>
        <v>#N/A</v>
      </c>
      <c r="AM83" s="91">
        <f t="shared" si="109"/>
        <v>6</v>
      </c>
      <c r="AN83" s="91" t="e">
        <f t="shared" si="132"/>
        <v>#N/A</v>
      </c>
      <c r="AO83" s="91" t="e">
        <f t="shared" si="133"/>
        <v>#N/A</v>
      </c>
      <c r="AP83" s="21" t="e">
        <f t="shared" si="110"/>
        <v>#N/A</v>
      </c>
      <c r="AQ83" s="21" t="e">
        <f t="shared" si="111"/>
        <v>#N/A</v>
      </c>
      <c r="AR83" s="92" t="str">
        <f t="shared" si="134"/>
        <v/>
      </c>
      <c r="AS83" s="21" t="str">
        <f t="shared" si="135"/>
        <v/>
      </c>
      <c r="AT83" s="59" t="str">
        <f t="shared" si="112"/>
        <v/>
      </c>
      <c r="AU83" s="105">
        <f t="shared" si="113"/>
        <v>1</v>
      </c>
      <c r="AV83" s="105">
        <f t="shared" si="114"/>
        <v>1</v>
      </c>
      <c r="AW83" s="58">
        <f t="shared" si="88"/>
        <v>2</v>
      </c>
      <c r="AX83" s="58">
        <f t="shared" si="115"/>
        <v>3</v>
      </c>
      <c r="AY83" s="58" t="str">
        <f t="shared" si="116"/>
        <v>avec vannes</v>
      </c>
      <c r="AZ83" s="58" t="str">
        <f t="shared" si="117"/>
        <v>fermé</v>
      </c>
      <c r="BA83" s="60">
        <f t="shared" si="101"/>
        <v>0</v>
      </c>
      <c r="BB83" s="60">
        <f t="shared" si="101"/>
        <v>0</v>
      </c>
      <c r="BC83" s="60">
        <f t="shared" si="101"/>
        <v>0</v>
      </c>
      <c r="BD83" s="60">
        <f t="shared" si="101"/>
        <v>0</v>
      </c>
      <c r="BE83" s="286" t="str">
        <f t="shared" si="118"/>
        <v/>
      </c>
      <c r="BF83" s="58" t="str">
        <f t="shared" si="136"/>
        <v/>
      </c>
      <c r="BG83" s="59" t="str">
        <f t="shared" si="119"/>
        <v/>
      </c>
      <c r="BH83" s="158">
        <f t="shared" ca="1" si="120"/>
        <v>1</v>
      </c>
      <c r="BI83" s="60">
        <f t="shared" ca="1" si="121"/>
        <v>0.15</v>
      </c>
      <c r="BJ83" s="60">
        <f t="shared" si="122"/>
        <v>0.2</v>
      </c>
      <c r="BK83" s="60" t="str">
        <f t="shared" si="137"/>
        <v/>
      </c>
      <c r="BL83" s="21" t="str">
        <f t="shared" si="138"/>
        <v/>
      </c>
      <c r="BM83" s="264" t="str">
        <f t="shared" si="123"/>
        <v/>
      </c>
      <c r="BN83" s="60" t="str">
        <f t="shared" si="139"/>
        <v/>
      </c>
      <c r="BO83" s="136">
        <f t="shared" si="140"/>
        <v>0</v>
      </c>
      <c r="BP83" s="59">
        <f t="shared" si="141"/>
        <v>0</v>
      </c>
      <c r="BQ83" s="136">
        <f t="shared" ca="1" si="124"/>
        <v>1268</v>
      </c>
      <c r="BR83" s="136">
        <f t="shared" ca="1" si="125"/>
        <v>1000.2259136212624</v>
      </c>
      <c r="BS83" s="136">
        <f t="shared" ca="1" si="126"/>
        <v>1468800.2259136213</v>
      </c>
      <c r="BT83" s="136">
        <f t="shared" ca="1" si="127"/>
        <v>313875.14863938047</v>
      </c>
      <c r="BU83" s="136">
        <f t="shared" ca="1" si="128"/>
        <v>1000.2259136212624</v>
      </c>
    </row>
    <row r="84" spans="1:73" x14ac:dyDescent="0.2">
      <c r="A84" s="87" t="str">
        <f>'Etape 2'!A81</f>
        <v/>
      </c>
      <c r="B84" s="87">
        <f>'Etape 2'!B81</f>
        <v>69</v>
      </c>
      <c r="C84" s="87">
        <f ca="1">'Etape 2'!C81</f>
        <v>232</v>
      </c>
      <c r="D84" s="87"/>
      <c r="E84" s="61">
        <f ca="1">RANK(BU84,BU$16:BU$315,0)+COUNTIF(BU$16:BU84,BU84)-1</f>
        <v>232</v>
      </c>
      <c r="F84" s="87" t="str">
        <f>'Etape 2'!D81</f>
        <v/>
      </c>
      <c r="G84" s="87" t="str">
        <f>'Etape 2'!E81</f>
        <v/>
      </c>
      <c r="H84" s="87" t="str">
        <f>'Etape 2'!F81</f>
        <v/>
      </c>
      <c r="I84" s="87" t="str">
        <f>'Etape 2'!G81</f>
        <v/>
      </c>
      <c r="J84" s="87" t="str">
        <f>'Etape 2'!H81</f>
        <v/>
      </c>
      <c r="K84" s="87" t="str">
        <f>'Etape 2'!I81</f>
        <v/>
      </c>
      <c r="L84" s="87">
        <f ca="1">'Etape 2'!J81</f>
        <v>999999</v>
      </c>
      <c r="M84" s="87">
        <f>'Etape 2'!K81</f>
        <v>999</v>
      </c>
      <c r="N84" s="87">
        <f ca="1">'Etape 2'!L81</f>
        <v>69</v>
      </c>
      <c r="O84" s="259">
        <f t="shared" si="102"/>
        <v>0.3</v>
      </c>
      <c r="P84" s="259">
        <f t="shared" si="103"/>
        <v>1.1000000000000001</v>
      </c>
      <c r="Q84" s="260">
        <f t="shared" si="104"/>
        <v>0</v>
      </c>
      <c r="R84" s="261">
        <f t="shared" si="89"/>
        <v>0</v>
      </c>
      <c r="S84" s="87">
        <f>IF(ISBLANK('Etape 2'!N81),0,VLOOKUP('Etape 2'!N81,Matrix_Uebersetzung,2,FALSE))</f>
        <v>0</v>
      </c>
      <c r="T84" s="87">
        <f>IF(ISBLANK('Etape 2'!O81),0,VLOOKUP('Etape 2'!O81,Matrix_Uebersetzung,2,FALSE))</f>
        <v>0</v>
      </c>
      <c r="U84" s="87">
        <f>IF(ISBLANK('Etape 2'!P81),0,VLOOKUP('Etape 2'!P81,Matrix_Uebersetzung,2,FALSE))</f>
        <v>0</v>
      </c>
      <c r="V84" s="87" t="str">
        <f>'Etape 2'!Q81</f>
        <v/>
      </c>
      <c r="W84" s="87">
        <f>'Etape 2'!R81</f>
        <v>0</v>
      </c>
      <c r="X84" s="87" t="str">
        <f>'Etape 2'!S81</f>
        <v/>
      </c>
      <c r="Y84" s="89" t="str">
        <f>'Etape 2'!T81</f>
        <v/>
      </c>
      <c r="Z84" s="87">
        <f>'Etape 2'!U81</f>
        <v>0</v>
      </c>
      <c r="AA84" s="87" t="str">
        <f>'Etape 2'!V81</f>
        <v/>
      </c>
      <c r="AB84" s="87">
        <f>IF(ISNUMBER('Etape 2'!W81),'Etape 2'!W81,0)</f>
        <v>0</v>
      </c>
      <c r="AC84" s="87">
        <f>IF(ISNUMBER('Etape 2'!X81),'Etape 2'!X81,0)</f>
        <v>0</v>
      </c>
      <c r="AD84" s="87">
        <f>IF(ISNUMBER('Etape 2'!Y81),'Etape 2'!Y81,0)</f>
        <v>0</v>
      </c>
      <c r="AE84" s="87">
        <f>IF(ISNUMBER('Etape 2'!Z81),'Etape 2'!Z81,0)</f>
        <v>0</v>
      </c>
      <c r="AF84" s="86">
        <f t="shared" si="129"/>
        <v>999</v>
      </c>
      <c r="AG84" s="288">
        <f t="shared" si="130"/>
        <v>0.25</v>
      </c>
      <c r="AH84" s="181" t="e">
        <f t="shared" si="105"/>
        <v>#VALUE!</v>
      </c>
      <c r="AI84" s="181" t="e">
        <f t="shared" si="131"/>
        <v>#VALUE!</v>
      </c>
      <c r="AJ84" s="86">
        <f t="shared" si="106"/>
        <v>200</v>
      </c>
      <c r="AK84" s="91" t="e">
        <f t="shared" si="107"/>
        <v>#N/A</v>
      </c>
      <c r="AL84" s="91" t="e">
        <f t="shared" si="108"/>
        <v>#N/A</v>
      </c>
      <c r="AM84" s="91">
        <f t="shared" si="109"/>
        <v>6</v>
      </c>
      <c r="AN84" s="91" t="e">
        <f t="shared" si="132"/>
        <v>#N/A</v>
      </c>
      <c r="AO84" s="91" t="e">
        <f t="shared" si="133"/>
        <v>#N/A</v>
      </c>
      <c r="AP84" s="21" t="e">
        <f t="shared" si="110"/>
        <v>#N/A</v>
      </c>
      <c r="AQ84" s="21" t="e">
        <f t="shared" si="111"/>
        <v>#N/A</v>
      </c>
      <c r="AR84" s="92" t="str">
        <f t="shared" si="134"/>
        <v/>
      </c>
      <c r="AS84" s="21" t="str">
        <f t="shared" si="135"/>
        <v/>
      </c>
      <c r="AT84" s="59" t="str">
        <f t="shared" si="112"/>
        <v/>
      </c>
      <c r="AU84" s="105">
        <f t="shared" si="113"/>
        <v>1</v>
      </c>
      <c r="AV84" s="105">
        <f t="shared" si="114"/>
        <v>1</v>
      </c>
      <c r="AW84" s="58">
        <f t="shared" ref="AW84:AW113" si="142">AU84+AV84</f>
        <v>2</v>
      </c>
      <c r="AX84" s="58">
        <f t="shared" si="115"/>
        <v>3</v>
      </c>
      <c r="AY84" s="58" t="str">
        <f t="shared" si="116"/>
        <v>avec vannes</v>
      </c>
      <c r="AZ84" s="58" t="str">
        <f t="shared" si="117"/>
        <v>fermé</v>
      </c>
      <c r="BA84" s="60">
        <f t="shared" si="101"/>
        <v>0</v>
      </c>
      <c r="BB84" s="60">
        <f t="shared" si="101"/>
        <v>0</v>
      </c>
      <c r="BC84" s="60">
        <f t="shared" si="101"/>
        <v>0</v>
      </c>
      <c r="BD84" s="60">
        <f t="shared" si="101"/>
        <v>0</v>
      </c>
      <c r="BE84" s="286" t="str">
        <f t="shared" si="118"/>
        <v/>
      </c>
      <c r="BF84" s="58" t="str">
        <f t="shared" si="136"/>
        <v/>
      </c>
      <c r="BG84" s="59" t="str">
        <f t="shared" si="119"/>
        <v/>
      </c>
      <c r="BH84" s="158">
        <f t="shared" ca="1" si="120"/>
        <v>1</v>
      </c>
      <c r="BI84" s="60">
        <f t="shared" ca="1" si="121"/>
        <v>0.15</v>
      </c>
      <c r="BJ84" s="60">
        <f t="shared" si="122"/>
        <v>0.2</v>
      </c>
      <c r="BK84" s="60" t="str">
        <f t="shared" si="137"/>
        <v/>
      </c>
      <c r="BL84" s="21" t="str">
        <f t="shared" si="138"/>
        <v/>
      </c>
      <c r="BM84" s="264" t="str">
        <f t="shared" si="123"/>
        <v/>
      </c>
      <c r="BN84" s="60" t="str">
        <f t="shared" si="139"/>
        <v/>
      </c>
      <c r="BO84" s="136">
        <f t="shared" si="140"/>
        <v>0</v>
      </c>
      <c r="BP84" s="59">
        <f t="shared" si="141"/>
        <v>0</v>
      </c>
      <c r="BQ84" s="136">
        <f t="shared" ca="1" si="124"/>
        <v>1269</v>
      </c>
      <c r="BR84" s="136">
        <f t="shared" ca="1" si="125"/>
        <v>1000.2292358803986</v>
      </c>
      <c r="BS84" s="136">
        <f t="shared" ca="1" si="126"/>
        <v>1468800.2292358803</v>
      </c>
      <c r="BT84" s="136">
        <f t="shared" ca="1" si="127"/>
        <v>313875.15196163964</v>
      </c>
      <c r="BU84" s="136">
        <f t="shared" ca="1" si="128"/>
        <v>1000.2292358803986</v>
      </c>
    </row>
    <row r="85" spans="1:73" x14ac:dyDescent="0.2">
      <c r="A85" s="87" t="str">
        <f>'Etape 2'!A82</f>
        <v/>
      </c>
      <c r="B85" s="87">
        <f>'Etape 2'!B82</f>
        <v>70</v>
      </c>
      <c r="C85" s="87">
        <f ca="1">'Etape 2'!C82</f>
        <v>231</v>
      </c>
      <c r="D85" s="87"/>
      <c r="E85" s="61">
        <f ca="1">RANK(BU85,BU$16:BU$315,0)+COUNTIF(BU$16:BU85,BU85)-1</f>
        <v>231</v>
      </c>
      <c r="F85" s="87" t="str">
        <f>'Etape 2'!D82</f>
        <v/>
      </c>
      <c r="G85" s="87" t="str">
        <f>'Etape 2'!E82</f>
        <v/>
      </c>
      <c r="H85" s="87" t="str">
        <f>'Etape 2'!F82</f>
        <v/>
      </c>
      <c r="I85" s="87" t="str">
        <f>'Etape 2'!G82</f>
        <v/>
      </c>
      <c r="J85" s="87" t="str">
        <f>'Etape 2'!H82</f>
        <v/>
      </c>
      <c r="K85" s="87" t="str">
        <f>'Etape 2'!I82</f>
        <v/>
      </c>
      <c r="L85" s="87">
        <f ca="1">'Etape 2'!J82</f>
        <v>999999</v>
      </c>
      <c r="M85" s="87">
        <f>'Etape 2'!K82</f>
        <v>999</v>
      </c>
      <c r="N85" s="87">
        <f ca="1">'Etape 2'!L82</f>
        <v>70</v>
      </c>
      <c r="O85" s="259">
        <f t="shared" si="102"/>
        <v>0.3</v>
      </c>
      <c r="P85" s="259">
        <f t="shared" si="103"/>
        <v>1.1000000000000001</v>
      </c>
      <c r="Q85" s="260">
        <f t="shared" si="104"/>
        <v>0</v>
      </c>
      <c r="R85" s="261">
        <f t="shared" si="89"/>
        <v>0</v>
      </c>
      <c r="S85" s="87">
        <f>IF(ISBLANK('Etape 2'!N82),0,VLOOKUP('Etape 2'!N82,Matrix_Uebersetzung,2,FALSE))</f>
        <v>0</v>
      </c>
      <c r="T85" s="87">
        <f>IF(ISBLANK('Etape 2'!O82),0,VLOOKUP('Etape 2'!O82,Matrix_Uebersetzung,2,FALSE))</f>
        <v>0</v>
      </c>
      <c r="U85" s="87">
        <f>IF(ISBLANK('Etape 2'!P82),0,VLOOKUP('Etape 2'!P82,Matrix_Uebersetzung,2,FALSE))</f>
        <v>0</v>
      </c>
      <c r="V85" s="87" t="str">
        <f>'Etape 2'!Q82</f>
        <v/>
      </c>
      <c r="W85" s="87">
        <f>'Etape 2'!R82</f>
        <v>0</v>
      </c>
      <c r="X85" s="87" t="str">
        <f>'Etape 2'!S82</f>
        <v/>
      </c>
      <c r="Y85" s="89" t="str">
        <f>'Etape 2'!T82</f>
        <v/>
      </c>
      <c r="Z85" s="87">
        <f>'Etape 2'!U82</f>
        <v>0</v>
      </c>
      <c r="AA85" s="87" t="str">
        <f>'Etape 2'!V82</f>
        <v/>
      </c>
      <c r="AB85" s="87">
        <f>IF(ISNUMBER('Etape 2'!W82),'Etape 2'!W82,0)</f>
        <v>0</v>
      </c>
      <c r="AC85" s="87">
        <f>IF(ISNUMBER('Etape 2'!X82),'Etape 2'!X82,0)</f>
        <v>0</v>
      </c>
      <c r="AD85" s="87">
        <f>IF(ISNUMBER('Etape 2'!Y82),'Etape 2'!Y82,0)</f>
        <v>0</v>
      </c>
      <c r="AE85" s="87">
        <f>IF(ISNUMBER('Etape 2'!Z82),'Etape 2'!Z82,0)</f>
        <v>0</v>
      </c>
      <c r="AF85" s="86">
        <f t="shared" si="129"/>
        <v>999</v>
      </c>
      <c r="AG85" s="288">
        <f t="shared" si="130"/>
        <v>0.25</v>
      </c>
      <c r="AH85" s="181" t="e">
        <f t="shared" si="105"/>
        <v>#VALUE!</v>
      </c>
      <c r="AI85" s="181" t="e">
        <f t="shared" si="131"/>
        <v>#VALUE!</v>
      </c>
      <c r="AJ85" s="86">
        <f t="shared" si="106"/>
        <v>200</v>
      </c>
      <c r="AK85" s="91" t="e">
        <f t="shared" si="107"/>
        <v>#N/A</v>
      </c>
      <c r="AL85" s="91" t="e">
        <f t="shared" si="108"/>
        <v>#N/A</v>
      </c>
      <c r="AM85" s="91">
        <f t="shared" si="109"/>
        <v>6</v>
      </c>
      <c r="AN85" s="91" t="e">
        <f t="shared" si="132"/>
        <v>#N/A</v>
      </c>
      <c r="AO85" s="91" t="e">
        <f t="shared" si="133"/>
        <v>#N/A</v>
      </c>
      <c r="AP85" s="21" t="e">
        <f t="shared" si="110"/>
        <v>#N/A</v>
      </c>
      <c r="AQ85" s="21" t="e">
        <f t="shared" si="111"/>
        <v>#N/A</v>
      </c>
      <c r="AR85" s="92" t="str">
        <f t="shared" si="134"/>
        <v/>
      </c>
      <c r="AS85" s="21" t="str">
        <f t="shared" si="135"/>
        <v/>
      </c>
      <c r="AT85" s="59" t="str">
        <f t="shared" si="112"/>
        <v/>
      </c>
      <c r="AU85" s="105">
        <f t="shared" si="113"/>
        <v>1</v>
      </c>
      <c r="AV85" s="105">
        <f t="shared" si="114"/>
        <v>1</v>
      </c>
      <c r="AW85" s="58">
        <f t="shared" si="142"/>
        <v>2</v>
      </c>
      <c r="AX85" s="58">
        <f t="shared" si="115"/>
        <v>3</v>
      </c>
      <c r="AY85" s="58" t="str">
        <f t="shared" si="116"/>
        <v>avec vannes</v>
      </c>
      <c r="AZ85" s="58" t="str">
        <f t="shared" si="117"/>
        <v>fermé</v>
      </c>
      <c r="BA85" s="60">
        <f t="shared" si="101"/>
        <v>0</v>
      </c>
      <c r="BB85" s="60">
        <f t="shared" si="101"/>
        <v>0</v>
      </c>
      <c r="BC85" s="60">
        <f t="shared" si="101"/>
        <v>0</v>
      </c>
      <c r="BD85" s="60">
        <f t="shared" si="101"/>
        <v>0</v>
      </c>
      <c r="BE85" s="286" t="str">
        <f t="shared" si="118"/>
        <v/>
      </c>
      <c r="BF85" s="58" t="str">
        <f t="shared" si="136"/>
        <v/>
      </c>
      <c r="BG85" s="59" t="str">
        <f t="shared" si="119"/>
        <v/>
      </c>
      <c r="BH85" s="158">
        <f t="shared" ca="1" si="120"/>
        <v>1</v>
      </c>
      <c r="BI85" s="60">
        <f t="shared" ca="1" si="121"/>
        <v>0.15</v>
      </c>
      <c r="BJ85" s="60">
        <f t="shared" si="122"/>
        <v>0.2</v>
      </c>
      <c r="BK85" s="60" t="str">
        <f t="shared" si="137"/>
        <v/>
      </c>
      <c r="BL85" s="21" t="str">
        <f t="shared" si="138"/>
        <v/>
      </c>
      <c r="BM85" s="264" t="str">
        <f t="shared" si="123"/>
        <v/>
      </c>
      <c r="BN85" s="60" t="str">
        <f t="shared" si="139"/>
        <v/>
      </c>
      <c r="BO85" s="136">
        <f t="shared" si="140"/>
        <v>0</v>
      </c>
      <c r="BP85" s="59">
        <f t="shared" si="141"/>
        <v>0</v>
      </c>
      <c r="BQ85" s="136">
        <f t="shared" ca="1" si="124"/>
        <v>1270</v>
      </c>
      <c r="BR85" s="136">
        <f t="shared" ca="1" si="125"/>
        <v>1000.2325581395348</v>
      </c>
      <c r="BS85" s="136">
        <f t="shared" ca="1" si="126"/>
        <v>1468800.2325581396</v>
      </c>
      <c r="BT85" s="136">
        <f t="shared" ca="1" si="127"/>
        <v>313875.15528389876</v>
      </c>
      <c r="BU85" s="136">
        <f t="shared" ca="1" si="128"/>
        <v>1000.2325581395348</v>
      </c>
    </row>
    <row r="86" spans="1:73" x14ac:dyDescent="0.2">
      <c r="A86" s="87" t="str">
        <f>'Etape 2'!A83</f>
        <v/>
      </c>
      <c r="B86" s="87">
        <f>'Etape 2'!B83</f>
        <v>71</v>
      </c>
      <c r="C86" s="87">
        <f ca="1">'Etape 2'!C83</f>
        <v>230</v>
      </c>
      <c r="D86" s="87"/>
      <c r="E86" s="61">
        <f ca="1">RANK(BU86,BU$16:BU$315,0)+COUNTIF(BU$16:BU86,BU86)-1</f>
        <v>230</v>
      </c>
      <c r="F86" s="87" t="str">
        <f>'Etape 2'!D83</f>
        <v/>
      </c>
      <c r="G86" s="87" t="str">
        <f>'Etape 2'!E83</f>
        <v/>
      </c>
      <c r="H86" s="87" t="str">
        <f>'Etape 2'!F83</f>
        <v/>
      </c>
      <c r="I86" s="87" t="str">
        <f>'Etape 2'!G83</f>
        <v/>
      </c>
      <c r="J86" s="87" t="str">
        <f>'Etape 2'!H83</f>
        <v/>
      </c>
      <c r="K86" s="87" t="str">
        <f>'Etape 2'!I83</f>
        <v/>
      </c>
      <c r="L86" s="87">
        <f ca="1">'Etape 2'!J83</f>
        <v>999999</v>
      </c>
      <c r="M86" s="87">
        <f>'Etape 2'!K83</f>
        <v>999</v>
      </c>
      <c r="N86" s="87">
        <f ca="1">'Etape 2'!L83</f>
        <v>71</v>
      </c>
      <c r="O86" s="259">
        <f t="shared" si="102"/>
        <v>0.3</v>
      </c>
      <c r="P86" s="259">
        <f t="shared" si="103"/>
        <v>1.1000000000000001</v>
      </c>
      <c r="Q86" s="260">
        <f t="shared" si="104"/>
        <v>0</v>
      </c>
      <c r="R86" s="261">
        <f t="shared" si="89"/>
        <v>0</v>
      </c>
      <c r="S86" s="87">
        <f>IF(ISBLANK('Etape 2'!N83),0,VLOOKUP('Etape 2'!N83,Matrix_Uebersetzung,2,FALSE))</f>
        <v>0</v>
      </c>
      <c r="T86" s="87">
        <f>IF(ISBLANK('Etape 2'!O83),0,VLOOKUP('Etape 2'!O83,Matrix_Uebersetzung,2,FALSE))</f>
        <v>0</v>
      </c>
      <c r="U86" s="87">
        <f>IF(ISBLANK('Etape 2'!P83),0,VLOOKUP('Etape 2'!P83,Matrix_Uebersetzung,2,FALSE))</f>
        <v>0</v>
      </c>
      <c r="V86" s="87" t="str">
        <f>'Etape 2'!Q83</f>
        <v/>
      </c>
      <c r="W86" s="87">
        <f>'Etape 2'!R83</f>
        <v>0</v>
      </c>
      <c r="X86" s="87" t="str">
        <f>'Etape 2'!S83</f>
        <v/>
      </c>
      <c r="Y86" s="89" t="str">
        <f>'Etape 2'!T83</f>
        <v/>
      </c>
      <c r="Z86" s="87">
        <f>'Etape 2'!U83</f>
        <v>0</v>
      </c>
      <c r="AA86" s="87" t="str">
        <f>'Etape 2'!V83</f>
        <v/>
      </c>
      <c r="AB86" s="87">
        <f>IF(ISNUMBER('Etape 2'!W83),'Etape 2'!W83,0)</f>
        <v>0</v>
      </c>
      <c r="AC86" s="87">
        <f>IF(ISNUMBER('Etape 2'!X83),'Etape 2'!X83,0)</f>
        <v>0</v>
      </c>
      <c r="AD86" s="87">
        <f>IF(ISNUMBER('Etape 2'!Y83),'Etape 2'!Y83,0)</f>
        <v>0</v>
      </c>
      <c r="AE86" s="87">
        <f>IF(ISNUMBER('Etape 2'!Z83),'Etape 2'!Z83,0)</f>
        <v>0</v>
      </c>
      <c r="AF86" s="86">
        <f t="shared" si="129"/>
        <v>999</v>
      </c>
      <c r="AG86" s="288">
        <f t="shared" si="130"/>
        <v>0.25</v>
      </c>
      <c r="AH86" s="181" t="e">
        <f t="shared" si="105"/>
        <v>#VALUE!</v>
      </c>
      <c r="AI86" s="181" t="e">
        <f t="shared" si="131"/>
        <v>#VALUE!</v>
      </c>
      <c r="AJ86" s="86">
        <f t="shared" si="106"/>
        <v>200</v>
      </c>
      <c r="AK86" s="91" t="e">
        <f t="shared" si="107"/>
        <v>#N/A</v>
      </c>
      <c r="AL86" s="91" t="e">
        <f t="shared" si="108"/>
        <v>#N/A</v>
      </c>
      <c r="AM86" s="91">
        <f t="shared" si="109"/>
        <v>6</v>
      </c>
      <c r="AN86" s="91" t="e">
        <f t="shared" si="132"/>
        <v>#N/A</v>
      </c>
      <c r="AO86" s="91" t="e">
        <f t="shared" si="133"/>
        <v>#N/A</v>
      </c>
      <c r="AP86" s="21" t="e">
        <f t="shared" si="110"/>
        <v>#N/A</v>
      </c>
      <c r="AQ86" s="21" t="e">
        <f t="shared" si="111"/>
        <v>#N/A</v>
      </c>
      <c r="AR86" s="92" t="str">
        <f t="shared" si="134"/>
        <v/>
      </c>
      <c r="AS86" s="21" t="str">
        <f t="shared" si="135"/>
        <v/>
      </c>
      <c r="AT86" s="59" t="str">
        <f t="shared" si="112"/>
        <v/>
      </c>
      <c r="AU86" s="105">
        <f t="shared" si="113"/>
        <v>1</v>
      </c>
      <c r="AV86" s="105">
        <f t="shared" si="114"/>
        <v>1</v>
      </c>
      <c r="AW86" s="58">
        <f t="shared" si="142"/>
        <v>2</v>
      </c>
      <c r="AX86" s="58">
        <f t="shared" si="115"/>
        <v>3</v>
      </c>
      <c r="AY86" s="58" t="str">
        <f t="shared" si="116"/>
        <v>avec vannes</v>
      </c>
      <c r="AZ86" s="58" t="str">
        <f t="shared" si="117"/>
        <v>fermé</v>
      </c>
      <c r="BA86" s="60">
        <f t="shared" si="101"/>
        <v>0</v>
      </c>
      <c r="BB86" s="60">
        <f t="shared" si="101"/>
        <v>0</v>
      </c>
      <c r="BC86" s="60">
        <f t="shared" si="101"/>
        <v>0</v>
      </c>
      <c r="BD86" s="60">
        <f t="shared" si="101"/>
        <v>0</v>
      </c>
      <c r="BE86" s="286" t="str">
        <f t="shared" si="118"/>
        <v/>
      </c>
      <c r="BF86" s="58" t="str">
        <f t="shared" si="136"/>
        <v/>
      </c>
      <c r="BG86" s="59" t="str">
        <f t="shared" si="119"/>
        <v/>
      </c>
      <c r="BH86" s="158">
        <f t="shared" ca="1" si="120"/>
        <v>1</v>
      </c>
      <c r="BI86" s="60">
        <f t="shared" ca="1" si="121"/>
        <v>0.15</v>
      </c>
      <c r="BJ86" s="60">
        <f t="shared" si="122"/>
        <v>0.2</v>
      </c>
      <c r="BK86" s="60" t="str">
        <f t="shared" si="137"/>
        <v/>
      </c>
      <c r="BL86" s="21" t="str">
        <f t="shared" si="138"/>
        <v/>
      </c>
      <c r="BM86" s="264" t="str">
        <f t="shared" si="123"/>
        <v/>
      </c>
      <c r="BN86" s="60" t="str">
        <f t="shared" si="139"/>
        <v/>
      </c>
      <c r="BO86" s="136">
        <f t="shared" si="140"/>
        <v>0</v>
      </c>
      <c r="BP86" s="59">
        <f t="shared" si="141"/>
        <v>0</v>
      </c>
      <c r="BQ86" s="136">
        <f t="shared" ca="1" si="124"/>
        <v>1271</v>
      </c>
      <c r="BR86" s="136">
        <f t="shared" ca="1" si="125"/>
        <v>1000.235880398671</v>
      </c>
      <c r="BS86" s="136">
        <f t="shared" ca="1" si="126"/>
        <v>1468800.2358803987</v>
      </c>
      <c r="BT86" s="136">
        <f t="shared" ca="1" si="127"/>
        <v>313875.15860615787</v>
      </c>
      <c r="BU86" s="136">
        <f t="shared" ca="1" si="128"/>
        <v>1000.235880398671</v>
      </c>
    </row>
    <row r="87" spans="1:73" x14ac:dyDescent="0.2">
      <c r="A87" s="87" t="str">
        <f>'Etape 2'!A84</f>
        <v/>
      </c>
      <c r="B87" s="87">
        <f>'Etape 2'!B84</f>
        <v>72</v>
      </c>
      <c r="C87" s="87">
        <f ca="1">'Etape 2'!C84</f>
        <v>229</v>
      </c>
      <c r="D87" s="87"/>
      <c r="E87" s="61">
        <f ca="1">RANK(BU87,BU$16:BU$315,0)+COUNTIF(BU$16:BU87,BU87)-1</f>
        <v>229</v>
      </c>
      <c r="F87" s="87" t="str">
        <f>'Etape 2'!D84</f>
        <v/>
      </c>
      <c r="G87" s="87" t="str">
        <f>'Etape 2'!E84</f>
        <v/>
      </c>
      <c r="H87" s="87" t="str">
        <f>'Etape 2'!F84</f>
        <v/>
      </c>
      <c r="I87" s="87" t="str">
        <f>'Etape 2'!G84</f>
        <v/>
      </c>
      <c r="J87" s="87" t="str">
        <f>'Etape 2'!H84</f>
        <v/>
      </c>
      <c r="K87" s="87" t="str">
        <f>'Etape 2'!I84</f>
        <v/>
      </c>
      <c r="L87" s="87">
        <f ca="1">'Etape 2'!J84</f>
        <v>999999</v>
      </c>
      <c r="M87" s="87">
        <f>'Etape 2'!K84</f>
        <v>999</v>
      </c>
      <c r="N87" s="87">
        <f ca="1">'Etape 2'!L84</f>
        <v>72</v>
      </c>
      <c r="O87" s="259">
        <f t="shared" si="102"/>
        <v>0.3</v>
      </c>
      <c r="P87" s="259">
        <f t="shared" si="103"/>
        <v>1.1000000000000001</v>
      </c>
      <c r="Q87" s="260">
        <f t="shared" si="104"/>
        <v>0</v>
      </c>
      <c r="R87" s="261">
        <f t="shared" si="89"/>
        <v>0</v>
      </c>
      <c r="S87" s="87">
        <f>IF(ISBLANK('Etape 2'!N84),0,VLOOKUP('Etape 2'!N84,Matrix_Uebersetzung,2,FALSE))</f>
        <v>0</v>
      </c>
      <c r="T87" s="87">
        <f>IF(ISBLANK('Etape 2'!O84),0,VLOOKUP('Etape 2'!O84,Matrix_Uebersetzung,2,FALSE))</f>
        <v>0</v>
      </c>
      <c r="U87" s="87">
        <f>IF(ISBLANK('Etape 2'!P84),0,VLOOKUP('Etape 2'!P84,Matrix_Uebersetzung,2,FALSE))</f>
        <v>0</v>
      </c>
      <c r="V87" s="87" t="str">
        <f>'Etape 2'!Q84</f>
        <v/>
      </c>
      <c r="W87" s="87">
        <f>'Etape 2'!R84</f>
        <v>0</v>
      </c>
      <c r="X87" s="87" t="str">
        <f>'Etape 2'!S84</f>
        <v/>
      </c>
      <c r="Y87" s="89" t="str">
        <f>'Etape 2'!T84</f>
        <v/>
      </c>
      <c r="Z87" s="87">
        <f>'Etape 2'!U84</f>
        <v>0</v>
      </c>
      <c r="AA87" s="87" t="str">
        <f>'Etape 2'!V84</f>
        <v/>
      </c>
      <c r="AB87" s="87">
        <f>IF(ISNUMBER('Etape 2'!W84),'Etape 2'!W84,0)</f>
        <v>0</v>
      </c>
      <c r="AC87" s="87">
        <f>IF(ISNUMBER('Etape 2'!X84),'Etape 2'!X84,0)</f>
        <v>0</v>
      </c>
      <c r="AD87" s="87">
        <f>IF(ISNUMBER('Etape 2'!Y84),'Etape 2'!Y84,0)</f>
        <v>0</v>
      </c>
      <c r="AE87" s="87">
        <f>IF(ISNUMBER('Etape 2'!Z84),'Etape 2'!Z84,0)</f>
        <v>0</v>
      </c>
      <c r="AF87" s="86">
        <f t="shared" si="129"/>
        <v>999</v>
      </c>
      <c r="AG87" s="288">
        <f t="shared" si="130"/>
        <v>0.25</v>
      </c>
      <c r="AH87" s="181" t="e">
        <f t="shared" si="105"/>
        <v>#VALUE!</v>
      </c>
      <c r="AI87" s="181" t="e">
        <f t="shared" si="131"/>
        <v>#VALUE!</v>
      </c>
      <c r="AJ87" s="86">
        <f t="shared" si="106"/>
        <v>200</v>
      </c>
      <c r="AK87" s="91" t="e">
        <f t="shared" si="107"/>
        <v>#N/A</v>
      </c>
      <c r="AL87" s="91" t="e">
        <f t="shared" si="108"/>
        <v>#N/A</v>
      </c>
      <c r="AM87" s="91">
        <f t="shared" si="109"/>
        <v>6</v>
      </c>
      <c r="AN87" s="91" t="e">
        <f t="shared" si="132"/>
        <v>#N/A</v>
      </c>
      <c r="AO87" s="91" t="e">
        <f t="shared" si="133"/>
        <v>#N/A</v>
      </c>
      <c r="AP87" s="21" t="e">
        <f t="shared" si="110"/>
        <v>#N/A</v>
      </c>
      <c r="AQ87" s="21" t="e">
        <f t="shared" si="111"/>
        <v>#N/A</v>
      </c>
      <c r="AR87" s="92" t="str">
        <f t="shared" si="134"/>
        <v/>
      </c>
      <c r="AS87" s="21" t="str">
        <f t="shared" si="135"/>
        <v/>
      </c>
      <c r="AT87" s="59" t="str">
        <f t="shared" si="112"/>
        <v/>
      </c>
      <c r="AU87" s="105">
        <f t="shared" si="113"/>
        <v>1</v>
      </c>
      <c r="AV87" s="105">
        <f t="shared" si="114"/>
        <v>1</v>
      </c>
      <c r="AW87" s="58">
        <f t="shared" si="142"/>
        <v>2</v>
      </c>
      <c r="AX87" s="58">
        <f t="shared" si="115"/>
        <v>3</v>
      </c>
      <c r="AY87" s="58" t="str">
        <f t="shared" si="116"/>
        <v>avec vannes</v>
      </c>
      <c r="AZ87" s="58" t="str">
        <f t="shared" si="117"/>
        <v>fermé</v>
      </c>
      <c r="BA87" s="60">
        <f t="shared" si="101"/>
        <v>0</v>
      </c>
      <c r="BB87" s="60">
        <f t="shared" si="101"/>
        <v>0</v>
      </c>
      <c r="BC87" s="60">
        <f t="shared" si="101"/>
        <v>0</v>
      </c>
      <c r="BD87" s="60">
        <f t="shared" si="101"/>
        <v>0</v>
      </c>
      <c r="BE87" s="286" t="str">
        <f t="shared" si="118"/>
        <v/>
      </c>
      <c r="BF87" s="58" t="str">
        <f t="shared" si="136"/>
        <v/>
      </c>
      <c r="BG87" s="59" t="str">
        <f t="shared" si="119"/>
        <v/>
      </c>
      <c r="BH87" s="158">
        <f t="shared" ca="1" si="120"/>
        <v>1</v>
      </c>
      <c r="BI87" s="60">
        <f t="shared" ca="1" si="121"/>
        <v>0.15</v>
      </c>
      <c r="BJ87" s="60">
        <f t="shared" si="122"/>
        <v>0.2</v>
      </c>
      <c r="BK87" s="60" t="str">
        <f t="shared" si="137"/>
        <v/>
      </c>
      <c r="BL87" s="21" t="str">
        <f t="shared" si="138"/>
        <v/>
      </c>
      <c r="BM87" s="264" t="str">
        <f t="shared" si="123"/>
        <v/>
      </c>
      <c r="BN87" s="60" t="str">
        <f t="shared" si="139"/>
        <v/>
      </c>
      <c r="BO87" s="136">
        <f t="shared" si="140"/>
        <v>0</v>
      </c>
      <c r="BP87" s="59">
        <f t="shared" si="141"/>
        <v>0</v>
      </c>
      <c r="BQ87" s="136">
        <f t="shared" ca="1" si="124"/>
        <v>1272</v>
      </c>
      <c r="BR87" s="136">
        <f t="shared" ca="1" si="125"/>
        <v>1000.2392026578073</v>
      </c>
      <c r="BS87" s="136">
        <f t="shared" ca="1" si="126"/>
        <v>1468800.2392026577</v>
      </c>
      <c r="BT87" s="136">
        <f t="shared" ca="1" si="127"/>
        <v>313875.16192841704</v>
      </c>
      <c r="BU87" s="136">
        <f t="shared" ca="1" si="128"/>
        <v>1000.2392026578073</v>
      </c>
    </row>
    <row r="88" spans="1:73" x14ac:dyDescent="0.2">
      <c r="A88" s="87" t="str">
        <f>'Etape 2'!A85</f>
        <v/>
      </c>
      <c r="B88" s="87">
        <f>'Etape 2'!B85</f>
        <v>73</v>
      </c>
      <c r="C88" s="87">
        <f ca="1">'Etape 2'!C85</f>
        <v>228</v>
      </c>
      <c r="D88" s="87"/>
      <c r="E88" s="61">
        <f ca="1">RANK(BU88,BU$16:BU$315,0)+COUNTIF(BU$16:BU88,BU88)-1</f>
        <v>228</v>
      </c>
      <c r="F88" s="87" t="str">
        <f>'Etape 2'!D85</f>
        <v/>
      </c>
      <c r="G88" s="87" t="str">
        <f>'Etape 2'!E85</f>
        <v/>
      </c>
      <c r="H88" s="87" t="str">
        <f>'Etape 2'!F85</f>
        <v/>
      </c>
      <c r="I88" s="87" t="str">
        <f>'Etape 2'!G85</f>
        <v/>
      </c>
      <c r="J88" s="87" t="str">
        <f>'Etape 2'!H85</f>
        <v/>
      </c>
      <c r="K88" s="87" t="str">
        <f>'Etape 2'!I85</f>
        <v/>
      </c>
      <c r="L88" s="87">
        <f ca="1">'Etape 2'!J85</f>
        <v>999999</v>
      </c>
      <c r="M88" s="87">
        <f>'Etape 2'!K85</f>
        <v>999</v>
      </c>
      <c r="N88" s="87">
        <f ca="1">'Etape 2'!L85</f>
        <v>73</v>
      </c>
      <c r="O88" s="259">
        <f t="shared" si="102"/>
        <v>0.3</v>
      </c>
      <c r="P88" s="259">
        <f t="shared" si="103"/>
        <v>1.1000000000000001</v>
      </c>
      <c r="Q88" s="260">
        <f t="shared" si="104"/>
        <v>0</v>
      </c>
      <c r="R88" s="261">
        <f t="shared" ref="R88:R151" si="143">IF(ISERROR(Q88*I88*J88),0,Q88*I88*J88)</f>
        <v>0</v>
      </c>
      <c r="S88" s="87">
        <f>IF(ISBLANK('Etape 2'!N85),0,VLOOKUP('Etape 2'!N85,Matrix_Uebersetzung,2,FALSE))</f>
        <v>0</v>
      </c>
      <c r="T88" s="87">
        <f>IF(ISBLANK('Etape 2'!O85),0,VLOOKUP('Etape 2'!O85,Matrix_Uebersetzung,2,FALSE))</f>
        <v>0</v>
      </c>
      <c r="U88" s="87">
        <f>IF(ISBLANK('Etape 2'!P85),0,VLOOKUP('Etape 2'!P85,Matrix_Uebersetzung,2,FALSE))</f>
        <v>0</v>
      </c>
      <c r="V88" s="87" t="str">
        <f>'Etape 2'!Q85</f>
        <v/>
      </c>
      <c r="W88" s="87">
        <f>'Etape 2'!R85</f>
        <v>0</v>
      </c>
      <c r="X88" s="87" t="str">
        <f>'Etape 2'!S85</f>
        <v/>
      </c>
      <c r="Y88" s="89" t="str">
        <f>'Etape 2'!T85</f>
        <v/>
      </c>
      <c r="Z88" s="87">
        <f>'Etape 2'!U85</f>
        <v>0</v>
      </c>
      <c r="AA88" s="87" t="str">
        <f>'Etape 2'!V85</f>
        <v/>
      </c>
      <c r="AB88" s="87">
        <f>IF(ISNUMBER('Etape 2'!W85),'Etape 2'!W85,0)</f>
        <v>0</v>
      </c>
      <c r="AC88" s="87">
        <f>IF(ISNUMBER('Etape 2'!X85),'Etape 2'!X85,0)</f>
        <v>0</v>
      </c>
      <c r="AD88" s="87">
        <f>IF(ISNUMBER('Etape 2'!Y85),'Etape 2'!Y85,0)</f>
        <v>0</v>
      </c>
      <c r="AE88" s="87">
        <f>IF(ISNUMBER('Etape 2'!Z85),'Etape 2'!Z85,0)</f>
        <v>0</v>
      </c>
      <c r="AF88" s="86">
        <f t="shared" si="129"/>
        <v>999</v>
      </c>
      <c r="AG88" s="288">
        <f t="shared" si="130"/>
        <v>0.25</v>
      </c>
      <c r="AH88" s="181" t="e">
        <f t="shared" si="105"/>
        <v>#VALUE!</v>
      </c>
      <c r="AI88" s="181" t="e">
        <f t="shared" si="131"/>
        <v>#VALUE!</v>
      </c>
      <c r="AJ88" s="86">
        <f t="shared" si="106"/>
        <v>200</v>
      </c>
      <c r="AK88" s="91" t="e">
        <f t="shared" si="107"/>
        <v>#N/A</v>
      </c>
      <c r="AL88" s="91" t="e">
        <f t="shared" si="108"/>
        <v>#N/A</v>
      </c>
      <c r="AM88" s="91">
        <f t="shared" si="109"/>
        <v>6</v>
      </c>
      <c r="AN88" s="91" t="e">
        <f t="shared" si="132"/>
        <v>#N/A</v>
      </c>
      <c r="AO88" s="91" t="e">
        <f t="shared" si="133"/>
        <v>#N/A</v>
      </c>
      <c r="AP88" s="21" t="e">
        <f t="shared" si="110"/>
        <v>#N/A</v>
      </c>
      <c r="AQ88" s="21" t="e">
        <f t="shared" si="111"/>
        <v>#N/A</v>
      </c>
      <c r="AR88" s="92" t="str">
        <f t="shared" si="134"/>
        <v/>
      </c>
      <c r="AS88" s="21" t="str">
        <f t="shared" si="135"/>
        <v/>
      </c>
      <c r="AT88" s="59" t="str">
        <f t="shared" si="112"/>
        <v/>
      </c>
      <c r="AU88" s="105">
        <f t="shared" si="113"/>
        <v>1</v>
      </c>
      <c r="AV88" s="105">
        <f t="shared" si="114"/>
        <v>1</v>
      </c>
      <c r="AW88" s="58">
        <f t="shared" si="142"/>
        <v>2</v>
      </c>
      <c r="AX88" s="58">
        <f t="shared" si="115"/>
        <v>3</v>
      </c>
      <c r="AY88" s="58" t="str">
        <f t="shared" si="116"/>
        <v>avec vannes</v>
      </c>
      <c r="AZ88" s="58" t="str">
        <f t="shared" si="117"/>
        <v>fermé</v>
      </c>
      <c r="BA88" s="60">
        <f t="shared" si="101"/>
        <v>0</v>
      </c>
      <c r="BB88" s="60">
        <f t="shared" si="101"/>
        <v>0</v>
      </c>
      <c r="BC88" s="60">
        <f t="shared" si="101"/>
        <v>0</v>
      </c>
      <c r="BD88" s="60">
        <f t="shared" si="101"/>
        <v>0</v>
      </c>
      <c r="BE88" s="286" t="str">
        <f t="shared" si="118"/>
        <v/>
      </c>
      <c r="BF88" s="58" t="str">
        <f t="shared" si="136"/>
        <v/>
      </c>
      <c r="BG88" s="59" t="str">
        <f t="shared" si="119"/>
        <v/>
      </c>
      <c r="BH88" s="158">
        <f t="shared" ca="1" si="120"/>
        <v>1</v>
      </c>
      <c r="BI88" s="60">
        <f t="shared" ca="1" si="121"/>
        <v>0.15</v>
      </c>
      <c r="BJ88" s="60">
        <f t="shared" si="122"/>
        <v>0.2</v>
      </c>
      <c r="BK88" s="60" t="str">
        <f t="shared" si="137"/>
        <v/>
      </c>
      <c r="BL88" s="21" t="str">
        <f t="shared" si="138"/>
        <v/>
      </c>
      <c r="BM88" s="264" t="str">
        <f t="shared" si="123"/>
        <v/>
      </c>
      <c r="BN88" s="60" t="str">
        <f t="shared" si="139"/>
        <v/>
      </c>
      <c r="BO88" s="136">
        <f t="shared" si="140"/>
        <v>0</v>
      </c>
      <c r="BP88" s="59">
        <f t="shared" si="141"/>
        <v>0</v>
      </c>
      <c r="BQ88" s="136">
        <f t="shared" ca="1" si="124"/>
        <v>1273</v>
      </c>
      <c r="BR88" s="136">
        <f t="shared" ca="1" si="125"/>
        <v>1000.2425249169435</v>
      </c>
      <c r="BS88" s="136">
        <f t="shared" ca="1" si="126"/>
        <v>1468800.242524917</v>
      </c>
      <c r="BT88" s="136">
        <f t="shared" ca="1" si="127"/>
        <v>313875.16525067616</v>
      </c>
      <c r="BU88" s="136">
        <f t="shared" ca="1" si="128"/>
        <v>1000.2425249169435</v>
      </c>
    </row>
    <row r="89" spans="1:73" x14ac:dyDescent="0.2">
      <c r="A89" s="87" t="str">
        <f>'Etape 2'!A86</f>
        <v/>
      </c>
      <c r="B89" s="87">
        <f>'Etape 2'!B86</f>
        <v>74</v>
      </c>
      <c r="C89" s="87">
        <f ca="1">'Etape 2'!C86</f>
        <v>227</v>
      </c>
      <c r="D89" s="87"/>
      <c r="E89" s="61">
        <f ca="1">RANK(BU89,BU$16:BU$315,0)+COUNTIF(BU$16:BU89,BU89)-1</f>
        <v>227</v>
      </c>
      <c r="F89" s="87" t="str">
        <f>'Etape 2'!D86</f>
        <v/>
      </c>
      <c r="G89" s="87" t="str">
        <f>'Etape 2'!E86</f>
        <v/>
      </c>
      <c r="H89" s="87" t="str">
        <f>'Etape 2'!F86</f>
        <v/>
      </c>
      <c r="I89" s="87" t="str">
        <f>'Etape 2'!G86</f>
        <v/>
      </c>
      <c r="J89" s="87" t="str">
        <f>'Etape 2'!H86</f>
        <v/>
      </c>
      <c r="K89" s="87" t="str">
        <f>'Etape 2'!I86</f>
        <v/>
      </c>
      <c r="L89" s="87">
        <f ca="1">'Etape 2'!J86</f>
        <v>999999</v>
      </c>
      <c r="M89" s="87">
        <f>'Etape 2'!K86</f>
        <v>999</v>
      </c>
      <c r="N89" s="87">
        <f ca="1">'Etape 2'!L86</f>
        <v>74</v>
      </c>
      <c r="O89" s="259">
        <f t="shared" si="102"/>
        <v>0.3</v>
      </c>
      <c r="P89" s="259">
        <f t="shared" si="103"/>
        <v>1.1000000000000001</v>
      </c>
      <c r="Q89" s="260">
        <f t="shared" si="104"/>
        <v>0</v>
      </c>
      <c r="R89" s="261">
        <f t="shared" si="143"/>
        <v>0</v>
      </c>
      <c r="S89" s="87">
        <f>IF(ISBLANK('Etape 2'!N86),0,VLOOKUP('Etape 2'!N86,Matrix_Uebersetzung,2,FALSE))</f>
        <v>0</v>
      </c>
      <c r="T89" s="87">
        <f>IF(ISBLANK('Etape 2'!O86),0,VLOOKUP('Etape 2'!O86,Matrix_Uebersetzung,2,FALSE))</f>
        <v>0</v>
      </c>
      <c r="U89" s="87">
        <f>IF(ISBLANK('Etape 2'!P86),0,VLOOKUP('Etape 2'!P86,Matrix_Uebersetzung,2,FALSE))</f>
        <v>0</v>
      </c>
      <c r="V89" s="87" t="str">
        <f>'Etape 2'!Q86</f>
        <v/>
      </c>
      <c r="W89" s="87">
        <f>'Etape 2'!R86</f>
        <v>0</v>
      </c>
      <c r="X89" s="87" t="str">
        <f>'Etape 2'!S86</f>
        <v/>
      </c>
      <c r="Y89" s="89" t="str">
        <f>'Etape 2'!T86</f>
        <v/>
      </c>
      <c r="Z89" s="87">
        <f>'Etape 2'!U86</f>
        <v>0</v>
      </c>
      <c r="AA89" s="87" t="str">
        <f>'Etape 2'!V86</f>
        <v/>
      </c>
      <c r="AB89" s="87">
        <f>IF(ISNUMBER('Etape 2'!W86),'Etape 2'!W86,0)</f>
        <v>0</v>
      </c>
      <c r="AC89" s="87">
        <f>IF(ISNUMBER('Etape 2'!X86),'Etape 2'!X86,0)</f>
        <v>0</v>
      </c>
      <c r="AD89" s="87">
        <f>IF(ISNUMBER('Etape 2'!Y86),'Etape 2'!Y86,0)</f>
        <v>0</v>
      </c>
      <c r="AE89" s="87">
        <f>IF(ISNUMBER('Etape 2'!Z86),'Etape 2'!Z86,0)</f>
        <v>0</v>
      </c>
      <c r="AF89" s="86">
        <f t="shared" si="129"/>
        <v>999</v>
      </c>
      <c r="AG89" s="288">
        <f t="shared" si="130"/>
        <v>0.25</v>
      </c>
      <c r="AH89" s="181" t="e">
        <f t="shared" si="105"/>
        <v>#VALUE!</v>
      </c>
      <c r="AI89" s="181" t="e">
        <f t="shared" si="131"/>
        <v>#VALUE!</v>
      </c>
      <c r="AJ89" s="86">
        <f t="shared" si="106"/>
        <v>200</v>
      </c>
      <c r="AK89" s="91" t="e">
        <f t="shared" si="107"/>
        <v>#N/A</v>
      </c>
      <c r="AL89" s="91" t="e">
        <f t="shared" si="108"/>
        <v>#N/A</v>
      </c>
      <c r="AM89" s="91">
        <f t="shared" si="109"/>
        <v>6</v>
      </c>
      <c r="AN89" s="91" t="e">
        <f t="shared" si="132"/>
        <v>#N/A</v>
      </c>
      <c r="AO89" s="91" t="e">
        <f t="shared" si="133"/>
        <v>#N/A</v>
      </c>
      <c r="AP89" s="21" t="e">
        <f t="shared" si="110"/>
        <v>#N/A</v>
      </c>
      <c r="AQ89" s="21" t="e">
        <f t="shared" si="111"/>
        <v>#N/A</v>
      </c>
      <c r="AR89" s="92" t="str">
        <f t="shared" si="134"/>
        <v/>
      </c>
      <c r="AS89" s="21" t="str">
        <f t="shared" si="135"/>
        <v/>
      </c>
      <c r="AT89" s="59" t="str">
        <f t="shared" si="112"/>
        <v/>
      </c>
      <c r="AU89" s="105">
        <f t="shared" si="113"/>
        <v>1</v>
      </c>
      <c r="AV89" s="105">
        <f t="shared" si="114"/>
        <v>1</v>
      </c>
      <c r="AW89" s="58">
        <f t="shared" si="142"/>
        <v>2</v>
      </c>
      <c r="AX89" s="58">
        <f t="shared" si="115"/>
        <v>3</v>
      </c>
      <c r="AY89" s="58" t="str">
        <f t="shared" si="116"/>
        <v>avec vannes</v>
      </c>
      <c r="AZ89" s="58" t="str">
        <f t="shared" si="117"/>
        <v>fermé</v>
      </c>
      <c r="BA89" s="60">
        <f t="shared" si="101"/>
        <v>0</v>
      </c>
      <c r="BB89" s="60">
        <f t="shared" si="101"/>
        <v>0</v>
      </c>
      <c r="BC89" s="60">
        <f t="shared" si="101"/>
        <v>0</v>
      </c>
      <c r="BD89" s="60">
        <f t="shared" si="101"/>
        <v>0</v>
      </c>
      <c r="BE89" s="286" t="str">
        <f t="shared" si="118"/>
        <v/>
      </c>
      <c r="BF89" s="58" t="str">
        <f t="shared" si="136"/>
        <v/>
      </c>
      <c r="BG89" s="59" t="str">
        <f t="shared" si="119"/>
        <v/>
      </c>
      <c r="BH89" s="158">
        <f t="shared" ca="1" si="120"/>
        <v>1</v>
      </c>
      <c r="BI89" s="60">
        <f t="shared" ca="1" si="121"/>
        <v>0.15</v>
      </c>
      <c r="BJ89" s="60">
        <f t="shared" si="122"/>
        <v>0.2</v>
      </c>
      <c r="BK89" s="60" t="str">
        <f t="shared" si="137"/>
        <v/>
      </c>
      <c r="BL89" s="21" t="str">
        <f t="shared" si="138"/>
        <v/>
      </c>
      <c r="BM89" s="264" t="str">
        <f t="shared" si="123"/>
        <v/>
      </c>
      <c r="BN89" s="60" t="str">
        <f t="shared" si="139"/>
        <v/>
      </c>
      <c r="BO89" s="136">
        <f t="shared" si="140"/>
        <v>0</v>
      </c>
      <c r="BP89" s="59">
        <f t="shared" si="141"/>
        <v>0</v>
      </c>
      <c r="BQ89" s="136">
        <f t="shared" ca="1" si="124"/>
        <v>1274</v>
      </c>
      <c r="BR89" s="136">
        <f t="shared" ca="1" si="125"/>
        <v>1000.2458471760797</v>
      </c>
      <c r="BS89" s="136">
        <f t="shared" ca="1" si="126"/>
        <v>1468800.2458471761</v>
      </c>
      <c r="BT89" s="136">
        <f t="shared" ca="1" si="127"/>
        <v>313875.16857293528</v>
      </c>
      <c r="BU89" s="136">
        <f t="shared" ca="1" si="128"/>
        <v>1000.2458471760797</v>
      </c>
    </row>
    <row r="90" spans="1:73" x14ac:dyDescent="0.2">
      <c r="A90" s="87" t="str">
        <f>'Etape 2'!A87</f>
        <v/>
      </c>
      <c r="B90" s="87">
        <f>'Etape 2'!B87</f>
        <v>75</v>
      </c>
      <c r="C90" s="87">
        <f ca="1">'Etape 2'!C87</f>
        <v>226</v>
      </c>
      <c r="D90" s="87"/>
      <c r="E90" s="61">
        <f ca="1">RANK(BU90,BU$16:BU$315,0)+COUNTIF(BU$16:BU90,BU90)-1</f>
        <v>226</v>
      </c>
      <c r="F90" s="87" t="str">
        <f>'Etape 2'!D87</f>
        <v/>
      </c>
      <c r="G90" s="87" t="str">
        <f>'Etape 2'!E87</f>
        <v/>
      </c>
      <c r="H90" s="87" t="str">
        <f>'Etape 2'!F87</f>
        <v/>
      </c>
      <c r="I90" s="87" t="str">
        <f>'Etape 2'!G87</f>
        <v/>
      </c>
      <c r="J90" s="87" t="str">
        <f>'Etape 2'!H87</f>
        <v/>
      </c>
      <c r="K90" s="87" t="str">
        <f>'Etape 2'!I87</f>
        <v/>
      </c>
      <c r="L90" s="87">
        <f ca="1">'Etape 2'!J87</f>
        <v>999999</v>
      </c>
      <c r="M90" s="87">
        <f>'Etape 2'!K87</f>
        <v>999</v>
      </c>
      <c r="N90" s="87">
        <f ca="1">'Etape 2'!L87</f>
        <v>75</v>
      </c>
      <c r="O90" s="259">
        <f t="shared" si="102"/>
        <v>0.3</v>
      </c>
      <c r="P90" s="259">
        <f t="shared" si="103"/>
        <v>1.1000000000000001</v>
      </c>
      <c r="Q90" s="260">
        <f t="shared" si="104"/>
        <v>0</v>
      </c>
      <c r="R90" s="261">
        <f t="shared" si="143"/>
        <v>0</v>
      </c>
      <c r="S90" s="87">
        <f>IF(ISBLANK('Etape 2'!N87),0,VLOOKUP('Etape 2'!N87,Matrix_Uebersetzung,2,FALSE))</f>
        <v>0</v>
      </c>
      <c r="T90" s="87">
        <f>IF(ISBLANK('Etape 2'!O87),0,VLOOKUP('Etape 2'!O87,Matrix_Uebersetzung,2,FALSE))</f>
        <v>0</v>
      </c>
      <c r="U90" s="87">
        <f>IF(ISBLANK('Etape 2'!P87),0,VLOOKUP('Etape 2'!P87,Matrix_Uebersetzung,2,FALSE))</f>
        <v>0</v>
      </c>
      <c r="V90" s="87" t="str">
        <f>'Etape 2'!Q87</f>
        <v/>
      </c>
      <c r="W90" s="87">
        <f>'Etape 2'!R87</f>
        <v>0</v>
      </c>
      <c r="X90" s="87" t="str">
        <f>'Etape 2'!S87</f>
        <v/>
      </c>
      <c r="Y90" s="89" t="str">
        <f>'Etape 2'!T87</f>
        <v/>
      </c>
      <c r="Z90" s="87">
        <f>'Etape 2'!U87</f>
        <v>0</v>
      </c>
      <c r="AA90" s="87" t="str">
        <f>'Etape 2'!V87</f>
        <v/>
      </c>
      <c r="AB90" s="87">
        <f>IF(ISNUMBER('Etape 2'!W87),'Etape 2'!W87,0)</f>
        <v>0</v>
      </c>
      <c r="AC90" s="87">
        <f>IF(ISNUMBER('Etape 2'!X87),'Etape 2'!X87,0)</f>
        <v>0</v>
      </c>
      <c r="AD90" s="87">
        <f>IF(ISNUMBER('Etape 2'!Y87),'Etape 2'!Y87,0)</f>
        <v>0</v>
      </c>
      <c r="AE90" s="87">
        <f>IF(ISNUMBER('Etape 2'!Z87),'Etape 2'!Z87,0)</f>
        <v>0</v>
      </c>
      <c r="AF90" s="86">
        <f t="shared" si="129"/>
        <v>999</v>
      </c>
      <c r="AG90" s="288">
        <f t="shared" si="130"/>
        <v>0.25</v>
      </c>
      <c r="AH90" s="181" t="e">
        <f t="shared" si="105"/>
        <v>#VALUE!</v>
      </c>
      <c r="AI90" s="181" t="e">
        <f t="shared" si="131"/>
        <v>#VALUE!</v>
      </c>
      <c r="AJ90" s="86">
        <f t="shared" si="106"/>
        <v>200</v>
      </c>
      <c r="AK90" s="91" t="e">
        <f t="shared" si="107"/>
        <v>#N/A</v>
      </c>
      <c r="AL90" s="91" t="e">
        <f t="shared" si="108"/>
        <v>#N/A</v>
      </c>
      <c r="AM90" s="91">
        <f t="shared" si="109"/>
        <v>6</v>
      </c>
      <c r="AN90" s="91" t="e">
        <f t="shared" si="132"/>
        <v>#N/A</v>
      </c>
      <c r="AO90" s="91" t="e">
        <f t="shared" si="133"/>
        <v>#N/A</v>
      </c>
      <c r="AP90" s="21" t="e">
        <f t="shared" si="110"/>
        <v>#N/A</v>
      </c>
      <c r="AQ90" s="21" t="e">
        <f t="shared" si="111"/>
        <v>#N/A</v>
      </c>
      <c r="AR90" s="92" t="str">
        <f t="shared" si="134"/>
        <v/>
      </c>
      <c r="AS90" s="21" t="str">
        <f t="shared" si="135"/>
        <v/>
      </c>
      <c r="AT90" s="59" t="str">
        <f t="shared" si="112"/>
        <v/>
      </c>
      <c r="AU90" s="105">
        <f t="shared" si="113"/>
        <v>1</v>
      </c>
      <c r="AV90" s="105">
        <f t="shared" si="114"/>
        <v>1</v>
      </c>
      <c r="AW90" s="58">
        <f t="shared" si="142"/>
        <v>2</v>
      </c>
      <c r="AX90" s="58">
        <f t="shared" si="115"/>
        <v>3</v>
      </c>
      <c r="AY90" s="58" t="str">
        <f t="shared" si="116"/>
        <v>avec vannes</v>
      </c>
      <c r="AZ90" s="58" t="str">
        <f t="shared" si="117"/>
        <v>fermé</v>
      </c>
      <c r="BA90" s="60">
        <f t="shared" si="101"/>
        <v>0</v>
      </c>
      <c r="BB90" s="60">
        <f t="shared" si="101"/>
        <v>0</v>
      </c>
      <c r="BC90" s="60">
        <f t="shared" si="101"/>
        <v>0</v>
      </c>
      <c r="BD90" s="60">
        <f t="shared" si="101"/>
        <v>0</v>
      </c>
      <c r="BE90" s="286" t="str">
        <f t="shared" si="118"/>
        <v/>
      </c>
      <c r="BF90" s="58" t="str">
        <f t="shared" si="136"/>
        <v/>
      </c>
      <c r="BG90" s="59" t="str">
        <f t="shared" si="119"/>
        <v/>
      </c>
      <c r="BH90" s="158">
        <f t="shared" ca="1" si="120"/>
        <v>1</v>
      </c>
      <c r="BI90" s="60">
        <f t="shared" ca="1" si="121"/>
        <v>0.15</v>
      </c>
      <c r="BJ90" s="60">
        <f t="shared" si="122"/>
        <v>0.2</v>
      </c>
      <c r="BK90" s="60" t="str">
        <f t="shared" si="137"/>
        <v/>
      </c>
      <c r="BL90" s="21" t="str">
        <f t="shared" si="138"/>
        <v/>
      </c>
      <c r="BM90" s="264" t="str">
        <f t="shared" si="123"/>
        <v/>
      </c>
      <c r="BN90" s="60" t="str">
        <f t="shared" si="139"/>
        <v/>
      </c>
      <c r="BO90" s="136">
        <f t="shared" si="140"/>
        <v>0</v>
      </c>
      <c r="BP90" s="59">
        <f t="shared" si="141"/>
        <v>0</v>
      </c>
      <c r="BQ90" s="136">
        <f t="shared" ca="1" si="124"/>
        <v>1275</v>
      </c>
      <c r="BR90" s="136">
        <f t="shared" ca="1" si="125"/>
        <v>1000.2491694352159</v>
      </c>
      <c r="BS90" s="136">
        <f t="shared" ca="1" si="126"/>
        <v>1468800.2491694351</v>
      </c>
      <c r="BT90" s="136">
        <f t="shared" ca="1" si="127"/>
        <v>313875.17189519445</v>
      </c>
      <c r="BU90" s="136">
        <f t="shared" ca="1" si="128"/>
        <v>1000.2491694352159</v>
      </c>
    </row>
    <row r="91" spans="1:73" x14ac:dyDescent="0.2">
      <c r="A91" s="87" t="str">
        <f>'Etape 2'!A88</f>
        <v/>
      </c>
      <c r="B91" s="87">
        <f>'Etape 2'!B88</f>
        <v>76</v>
      </c>
      <c r="C91" s="87">
        <f ca="1">'Etape 2'!C88</f>
        <v>225</v>
      </c>
      <c r="D91" s="87"/>
      <c r="E91" s="61">
        <f ca="1">RANK(BU91,BU$16:BU$315,0)+COUNTIF(BU$16:BU91,BU91)-1</f>
        <v>225</v>
      </c>
      <c r="F91" s="87" t="str">
        <f>'Etape 2'!D88</f>
        <v/>
      </c>
      <c r="G91" s="87" t="str">
        <f>'Etape 2'!E88</f>
        <v/>
      </c>
      <c r="H91" s="87" t="str">
        <f>'Etape 2'!F88</f>
        <v/>
      </c>
      <c r="I91" s="87" t="str">
        <f>'Etape 2'!G88</f>
        <v/>
      </c>
      <c r="J91" s="87" t="str">
        <f>'Etape 2'!H88</f>
        <v/>
      </c>
      <c r="K91" s="87" t="str">
        <f>'Etape 2'!I88</f>
        <v/>
      </c>
      <c r="L91" s="87">
        <f ca="1">'Etape 2'!J88</f>
        <v>999999</v>
      </c>
      <c r="M91" s="87">
        <f>'Etape 2'!K88</f>
        <v>999</v>
      </c>
      <c r="N91" s="87">
        <f ca="1">'Etape 2'!L88</f>
        <v>76</v>
      </c>
      <c r="O91" s="259">
        <f t="shared" si="102"/>
        <v>0.3</v>
      </c>
      <c r="P91" s="259">
        <f t="shared" si="103"/>
        <v>1.1000000000000001</v>
      </c>
      <c r="Q91" s="260">
        <f t="shared" si="104"/>
        <v>0</v>
      </c>
      <c r="R91" s="261">
        <f t="shared" si="143"/>
        <v>0</v>
      </c>
      <c r="S91" s="87">
        <f>IF(ISBLANK('Etape 2'!N88),0,VLOOKUP('Etape 2'!N88,Matrix_Uebersetzung,2,FALSE))</f>
        <v>0</v>
      </c>
      <c r="T91" s="87">
        <f>IF(ISBLANK('Etape 2'!O88),0,VLOOKUP('Etape 2'!O88,Matrix_Uebersetzung,2,FALSE))</f>
        <v>0</v>
      </c>
      <c r="U91" s="87">
        <f>IF(ISBLANK('Etape 2'!P88),0,VLOOKUP('Etape 2'!P88,Matrix_Uebersetzung,2,FALSE))</f>
        <v>0</v>
      </c>
      <c r="V91" s="87" t="str">
        <f>'Etape 2'!Q88</f>
        <v/>
      </c>
      <c r="W91" s="87">
        <f>'Etape 2'!R88</f>
        <v>0</v>
      </c>
      <c r="X91" s="87" t="str">
        <f>'Etape 2'!S88</f>
        <v/>
      </c>
      <c r="Y91" s="89" t="str">
        <f>'Etape 2'!T88</f>
        <v/>
      </c>
      <c r="Z91" s="87">
        <f>'Etape 2'!U88</f>
        <v>0</v>
      </c>
      <c r="AA91" s="87" t="str">
        <f>'Etape 2'!V88</f>
        <v/>
      </c>
      <c r="AB91" s="87">
        <f>IF(ISNUMBER('Etape 2'!W88),'Etape 2'!W88,0)</f>
        <v>0</v>
      </c>
      <c r="AC91" s="87">
        <f>IF(ISNUMBER('Etape 2'!X88),'Etape 2'!X88,0)</f>
        <v>0</v>
      </c>
      <c r="AD91" s="87">
        <f>IF(ISNUMBER('Etape 2'!Y88),'Etape 2'!Y88,0)</f>
        <v>0</v>
      </c>
      <c r="AE91" s="87">
        <f>IF(ISNUMBER('Etape 2'!Z88),'Etape 2'!Z88,0)</f>
        <v>0</v>
      </c>
      <c r="AF91" s="86">
        <f t="shared" si="129"/>
        <v>999</v>
      </c>
      <c r="AG91" s="288">
        <f t="shared" si="130"/>
        <v>0.25</v>
      </c>
      <c r="AH91" s="181" t="e">
        <f t="shared" si="105"/>
        <v>#VALUE!</v>
      </c>
      <c r="AI91" s="181" t="e">
        <f t="shared" si="131"/>
        <v>#VALUE!</v>
      </c>
      <c r="AJ91" s="86">
        <f t="shared" si="106"/>
        <v>200</v>
      </c>
      <c r="AK91" s="91" t="e">
        <f t="shared" si="107"/>
        <v>#N/A</v>
      </c>
      <c r="AL91" s="91" t="e">
        <f t="shared" si="108"/>
        <v>#N/A</v>
      </c>
      <c r="AM91" s="91">
        <f t="shared" si="109"/>
        <v>6</v>
      </c>
      <c r="AN91" s="91" t="e">
        <f t="shared" si="132"/>
        <v>#N/A</v>
      </c>
      <c r="AO91" s="91" t="e">
        <f t="shared" si="133"/>
        <v>#N/A</v>
      </c>
      <c r="AP91" s="21" t="e">
        <f t="shared" si="110"/>
        <v>#N/A</v>
      </c>
      <c r="AQ91" s="21" t="e">
        <f t="shared" si="111"/>
        <v>#N/A</v>
      </c>
      <c r="AR91" s="92" t="str">
        <f t="shared" si="134"/>
        <v/>
      </c>
      <c r="AS91" s="21" t="str">
        <f t="shared" si="135"/>
        <v/>
      </c>
      <c r="AT91" s="59" t="str">
        <f t="shared" si="112"/>
        <v/>
      </c>
      <c r="AU91" s="105">
        <f t="shared" si="113"/>
        <v>1</v>
      </c>
      <c r="AV91" s="105">
        <f t="shared" si="114"/>
        <v>1</v>
      </c>
      <c r="AW91" s="58">
        <f t="shared" si="142"/>
        <v>2</v>
      </c>
      <c r="AX91" s="58">
        <f t="shared" si="115"/>
        <v>3</v>
      </c>
      <c r="AY91" s="58" t="str">
        <f t="shared" si="116"/>
        <v>avec vannes</v>
      </c>
      <c r="AZ91" s="58" t="str">
        <f t="shared" si="117"/>
        <v>fermé</v>
      </c>
      <c r="BA91" s="60">
        <f t="shared" si="101"/>
        <v>0</v>
      </c>
      <c r="BB91" s="60">
        <f t="shared" si="101"/>
        <v>0</v>
      </c>
      <c r="BC91" s="60">
        <f t="shared" si="101"/>
        <v>0</v>
      </c>
      <c r="BD91" s="60">
        <f t="shared" si="101"/>
        <v>0</v>
      </c>
      <c r="BE91" s="286" t="str">
        <f t="shared" si="118"/>
        <v/>
      </c>
      <c r="BF91" s="58" t="str">
        <f t="shared" si="136"/>
        <v/>
      </c>
      <c r="BG91" s="59" t="str">
        <f t="shared" si="119"/>
        <v/>
      </c>
      <c r="BH91" s="158">
        <f t="shared" ca="1" si="120"/>
        <v>1</v>
      </c>
      <c r="BI91" s="60">
        <f t="shared" ca="1" si="121"/>
        <v>0.15</v>
      </c>
      <c r="BJ91" s="60">
        <f t="shared" si="122"/>
        <v>0.2</v>
      </c>
      <c r="BK91" s="60" t="str">
        <f t="shared" si="137"/>
        <v/>
      </c>
      <c r="BL91" s="21" t="str">
        <f t="shared" si="138"/>
        <v/>
      </c>
      <c r="BM91" s="264" t="str">
        <f t="shared" si="123"/>
        <v/>
      </c>
      <c r="BN91" s="60" t="str">
        <f t="shared" si="139"/>
        <v/>
      </c>
      <c r="BO91" s="136">
        <f t="shared" si="140"/>
        <v>0</v>
      </c>
      <c r="BP91" s="59">
        <f t="shared" si="141"/>
        <v>0</v>
      </c>
      <c r="BQ91" s="136">
        <f t="shared" ca="1" si="124"/>
        <v>1276</v>
      </c>
      <c r="BR91" s="136">
        <f t="shared" ca="1" si="125"/>
        <v>1000.2524916943522</v>
      </c>
      <c r="BS91" s="136">
        <f t="shared" ca="1" si="126"/>
        <v>1468800.2524916944</v>
      </c>
      <c r="BT91" s="136">
        <f t="shared" ca="1" si="127"/>
        <v>313875.17521745356</v>
      </c>
      <c r="BU91" s="136">
        <f t="shared" ca="1" si="128"/>
        <v>1000.2524916943522</v>
      </c>
    </row>
    <row r="92" spans="1:73" x14ac:dyDescent="0.2">
      <c r="A92" s="87" t="str">
        <f>'Etape 2'!A89</f>
        <v/>
      </c>
      <c r="B92" s="87">
        <f>'Etape 2'!B89</f>
        <v>77</v>
      </c>
      <c r="C92" s="87">
        <f ca="1">'Etape 2'!C89</f>
        <v>224</v>
      </c>
      <c r="D92" s="87"/>
      <c r="E92" s="61">
        <f ca="1">RANK(BU92,BU$16:BU$315,0)+COUNTIF(BU$16:BU92,BU92)-1</f>
        <v>224</v>
      </c>
      <c r="F92" s="87" t="str">
        <f>'Etape 2'!D89</f>
        <v/>
      </c>
      <c r="G92" s="87" t="str">
        <f>'Etape 2'!E89</f>
        <v/>
      </c>
      <c r="H92" s="87" t="str">
        <f>'Etape 2'!F89</f>
        <v/>
      </c>
      <c r="I92" s="87" t="str">
        <f>'Etape 2'!G89</f>
        <v/>
      </c>
      <c r="J92" s="87" t="str">
        <f>'Etape 2'!H89</f>
        <v/>
      </c>
      <c r="K92" s="87" t="str">
        <f>'Etape 2'!I89</f>
        <v/>
      </c>
      <c r="L92" s="87">
        <f ca="1">'Etape 2'!J89</f>
        <v>999999</v>
      </c>
      <c r="M92" s="87">
        <f>'Etape 2'!K89</f>
        <v>999</v>
      </c>
      <c r="N92" s="87">
        <f ca="1">'Etape 2'!L89</f>
        <v>77</v>
      </c>
      <c r="O92" s="259">
        <f t="shared" si="102"/>
        <v>0.3</v>
      </c>
      <c r="P92" s="259">
        <f t="shared" si="103"/>
        <v>1.1000000000000001</v>
      </c>
      <c r="Q92" s="260">
        <f t="shared" si="104"/>
        <v>0</v>
      </c>
      <c r="R92" s="261">
        <f t="shared" si="143"/>
        <v>0</v>
      </c>
      <c r="S92" s="87">
        <f>IF(ISBLANK('Etape 2'!N89),0,VLOOKUP('Etape 2'!N89,Matrix_Uebersetzung,2,FALSE))</f>
        <v>0</v>
      </c>
      <c r="T92" s="87">
        <f>IF(ISBLANK('Etape 2'!O89),0,VLOOKUP('Etape 2'!O89,Matrix_Uebersetzung,2,FALSE))</f>
        <v>0</v>
      </c>
      <c r="U92" s="87">
        <f>IF(ISBLANK('Etape 2'!P89),0,VLOOKUP('Etape 2'!P89,Matrix_Uebersetzung,2,FALSE))</f>
        <v>0</v>
      </c>
      <c r="V92" s="87" t="str">
        <f>'Etape 2'!Q89</f>
        <v/>
      </c>
      <c r="W92" s="87">
        <f>'Etape 2'!R89</f>
        <v>0</v>
      </c>
      <c r="X92" s="87" t="str">
        <f>'Etape 2'!S89</f>
        <v/>
      </c>
      <c r="Y92" s="89" t="str">
        <f>'Etape 2'!T89</f>
        <v/>
      </c>
      <c r="Z92" s="87">
        <f>'Etape 2'!U89</f>
        <v>0</v>
      </c>
      <c r="AA92" s="87" t="str">
        <f>'Etape 2'!V89</f>
        <v/>
      </c>
      <c r="AB92" s="87">
        <f>IF(ISNUMBER('Etape 2'!W89),'Etape 2'!W89,0)</f>
        <v>0</v>
      </c>
      <c r="AC92" s="87">
        <f>IF(ISNUMBER('Etape 2'!X89),'Etape 2'!X89,0)</f>
        <v>0</v>
      </c>
      <c r="AD92" s="87">
        <f>IF(ISNUMBER('Etape 2'!Y89),'Etape 2'!Y89,0)</f>
        <v>0</v>
      </c>
      <c r="AE92" s="87">
        <f>IF(ISNUMBER('Etape 2'!Z89),'Etape 2'!Z89,0)</f>
        <v>0</v>
      </c>
      <c r="AF92" s="86">
        <f t="shared" si="129"/>
        <v>999</v>
      </c>
      <c r="AG92" s="288">
        <f t="shared" si="130"/>
        <v>0.25</v>
      </c>
      <c r="AH92" s="181" t="e">
        <f t="shared" si="105"/>
        <v>#VALUE!</v>
      </c>
      <c r="AI92" s="181" t="e">
        <f t="shared" si="131"/>
        <v>#VALUE!</v>
      </c>
      <c r="AJ92" s="86">
        <f t="shared" si="106"/>
        <v>200</v>
      </c>
      <c r="AK92" s="91" t="e">
        <f t="shared" si="107"/>
        <v>#N/A</v>
      </c>
      <c r="AL92" s="91" t="e">
        <f t="shared" si="108"/>
        <v>#N/A</v>
      </c>
      <c r="AM92" s="91">
        <f t="shared" si="109"/>
        <v>6</v>
      </c>
      <c r="AN92" s="91" t="e">
        <f t="shared" si="132"/>
        <v>#N/A</v>
      </c>
      <c r="AO92" s="91" t="e">
        <f t="shared" si="133"/>
        <v>#N/A</v>
      </c>
      <c r="AP92" s="21" t="e">
        <f t="shared" si="110"/>
        <v>#N/A</v>
      </c>
      <c r="AQ92" s="21" t="e">
        <f t="shared" si="111"/>
        <v>#N/A</v>
      </c>
      <c r="AR92" s="92" t="str">
        <f t="shared" si="134"/>
        <v/>
      </c>
      <c r="AS92" s="21" t="str">
        <f t="shared" si="135"/>
        <v/>
      </c>
      <c r="AT92" s="59" t="str">
        <f t="shared" si="112"/>
        <v/>
      </c>
      <c r="AU92" s="105">
        <f t="shared" si="113"/>
        <v>1</v>
      </c>
      <c r="AV92" s="105">
        <f t="shared" si="114"/>
        <v>1</v>
      </c>
      <c r="AW92" s="58">
        <f t="shared" si="142"/>
        <v>2</v>
      </c>
      <c r="AX92" s="58">
        <f t="shared" si="115"/>
        <v>3</v>
      </c>
      <c r="AY92" s="58" t="str">
        <f t="shared" si="116"/>
        <v>avec vannes</v>
      </c>
      <c r="AZ92" s="58" t="str">
        <f t="shared" si="117"/>
        <v>fermé</v>
      </c>
      <c r="BA92" s="60">
        <f t="shared" si="101"/>
        <v>0</v>
      </c>
      <c r="BB92" s="60">
        <f t="shared" si="101"/>
        <v>0</v>
      </c>
      <c r="BC92" s="60">
        <f t="shared" si="101"/>
        <v>0</v>
      </c>
      <c r="BD92" s="60">
        <f t="shared" si="101"/>
        <v>0</v>
      </c>
      <c r="BE92" s="286" t="str">
        <f t="shared" si="118"/>
        <v/>
      </c>
      <c r="BF92" s="58" t="str">
        <f t="shared" si="136"/>
        <v/>
      </c>
      <c r="BG92" s="59" t="str">
        <f t="shared" si="119"/>
        <v/>
      </c>
      <c r="BH92" s="158">
        <f t="shared" ca="1" si="120"/>
        <v>1</v>
      </c>
      <c r="BI92" s="60">
        <f t="shared" ca="1" si="121"/>
        <v>0.15</v>
      </c>
      <c r="BJ92" s="60">
        <f t="shared" si="122"/>
        <v>0.2</v>
      </c>
      <c r="BK92" s="60" t="str">
        <f t="shared" si="137"/>
        <v/>
      </c>
      <c r="BL92" s="21" t="str">
        <f t="shared" si="138"/>
        <v/>
      </c>
      <c r="BM92" s="264" t="str">
        <f t="shared" si="123"/>
        <v/>
      </c>
      <c r="BN92" s="60" t="str">
        <f t="shared" si="139"/>
        <v/>
      </c>
      <c r="BO92" s="136">
        <f t="shared" si="140"/>
        <v>0</v>
      </c>
      <c r="BP92" s="59">
        <f t="shared" si="141"/>
        <v>0</v>
      </c>
      <c r="BQ92" s="136">
        <f t="shared" ca="1" si="124"/>
        <v>1277</v>
      </c>
      <c r="BR92" s="136">
        <f t="shared" ca="1" si="125"/>
        <v>1000.2558139534884</v>
      </c>
      <c r="BS92" s="136">
        <f t="shared" ca="1" si="126"/>
        <v>1468800.2558139535</v>
      </c>
      <c r="BT92" s="136">
        <f t="shared" ca="1" si="127"/>
        <v>313875.17853971268</v>
      </c>
      <c r="BU92" s="136">
        <f t="shared" ca="1" si="128"/>
        <v>1000.2558139534884</v>
      </c>
    </row>
    <row r="93" spans="1:73" x14ac:dyDescent="0.2">
      <c r="A93" s="87" t="str">
        <f>'Etape 2'!A90</f>
        <v/>
      </c>
      <c r="B93" s="87">
        <f>'Etape 2'!B90</f>
        <v>78</v>
      </c>
      <c r="C93" s="87">
        <f ca="1">'Etape 2'!C90</f>
        <v>223</v>
      </c>
      <c r="D93" s="87"/>
      <c r="E93" s="61">
        <f ca="1">RANK(BU93,BU$16:BU$315,0)+COUNTIF(BU$16:BU93,BU93)-1</f>
        <v>223</v>
      </c>
      <c r="F93" s="87" t="str">
        <f>'Etape 2'!D90</f>
        <v/>
      </c>
      <c r="G93" s="87" t="str">
        <f>'Etape 2'!E90</f>
        <v/>
      </c>
      <c r="H93" s="87" t="str">
        <f>'Etape 2'!F90</f>
        <v/>
      </c>
      <c r="I93" s="87" t="str">
        <f>'Etape 2'!G90</f>
        <v/>
      </c>
      <c r="J93" s="87" t="str">
        <f>'Etape 2'!H90</f>
        <v/>
      </c>
      <c r="K93" s="87" t="str">
        <f>'Etape 2'!I90</f>
        <v/>
      </c>
      <c r="L93" s="87">
        <f ca="1">'Etape 2'!J90</f>
        <v>999999</v>
      </c>
      <c r="M93" s="87">
        <f>'Etape 2'!K90</f>
        <v>999</v>
      </c>
      <c r="N93" s="87">
        <f ca="1">'Etape 2'!L90</f>
        <v>78</v>
      </c>
      <c r="O93" s="259">
        <f t="shared" si="102"/>
        <v>0.3</v>
      </c>
      <c r="P93" s="259">
        <f t="shared" si="103"/>
        <v>1.1000000000000001</v>
      </c>
      <c r="Q93" s="260">
        <f t="shared" si="104"/>
        <v>0</v>
      </c>
      <c r="R93" s="261">
        <f t="shared" si="143"/>
        <v>0</v>
      </c>
      <c r="S93" s="87">
        <f>IF(ISBLANK('Etape 2'!N90),0,VLOOKUP('Etape 2'!N90,Matrix_Uebersetzung,2,FALSE))</f>
        <v>0</v>
      </c>
      <c r="T93" s="87">
        <f>IF(ISBLANK('Etape 2'!O90),0,VLOOKUP('Etape 2'!O90,Matrix_Uebersetzung,2,FALSE))</f>
        <v>0</v>
      </c>
      <c r="U93" s="87">
        <f>IF(ISBLANK('Etape 2'!P90),0,VLOOKUP('Etape 2'!P90,Matrix_Uebersetzung,2,FALSE))</f>
        <v>0</v>
      </c>
      <c r="V93" s="87" t="str">
        <f>'Etape 2'!Q90</f>
        <v/>
      </c>
      <c r="W93" s="87">
        <f>'Etape 2'!R90</f>
        <v>0</v>
      </c>
      <c r="X93" s="87" t="str">
        <f>'Etape 2'!S90</f>
        <v/>
      </c>
      <c r="Y93" s="89" t="str">
        <f>'Etape 2'!T90</f>
        <v/>
      </c>
      <c r="Z93" s="87">
        <f>'Etape 2'!U90</f>
        <v>0</v>
      </c>
      <c r="AA93" s="87" t="str">
        <f>'Etape 2'!V90</f>
        <v/>
      </c>
      <c r="AB93" s="87">
        <f>IF(ISNUMBER('Etape 2'!W90),'Etape 2'!W90,0)</f>
        <v>0</v>
      </c>
      <c r="AC93" s="87">
        <f>IF(ISNUMBER('Etape 2'!X90),'Etape 2'!X90,0)</f>
        <v>0</v>
      </c>
      <c r="AD93" s="87">
        <f>IF(ISNUMBER('Etape 2'!Y90),'Etape 2'!Y90,0)</f>
        <v>0</v>
      </c>
      <c r="AE93" s="87">
        <f>IF(ISNUMBER('Etape 2'!Z90),'Etape 2'!Z90,0)</f>
        <v>0</v>
      </c>
      <c r="AF93" s="86">
        <f t="shared" si="129"/>
        <v>999</v>
      </c>
      <c r="AG93" s="288">
        <f t="shared" si="130"/>
        <v>0.25</v>
      </c>
      <c r="AH93" s="181" t="e">
        <f t="shared" si="105"/>
        <v>#VALUE!</v>
      </c>
      <c r="AI93" s="181" t="e">
        <f t="shared" si="131"/>
        <v>#VALUE!</v>
      </c>
      <c r="AJ93" s="86">
        <f t="shared" si="106"/>
        <v>200</v>
      </c>
      <c r="AK93" s="91" t="e">
        <f t="shared" si="107"/>
        <v>#N/A</v>
      </c>
      <c r="AL93" s="91" t="e">
        <f t="shared" si="108"/>
        <v>#N/A</v>
      </c>
      <c r="AM93" s="91">
        <f t="shared" si="109"/>
        <v>6</v>
      </c>
      <c r="AN93" s="91" t="e">
        <f t="shared" si="132"/>
        <v>#N/A</v>
      </c>
      <c r="AO93" s="91" t="e">
        <f t="shared" si="133"/>
        <v>#N/A</v>
      </c>
      <c r="AP93" s="21" t="e">
        <f t="shared" si="110"/>
        <v>#N/A</v>
      </c>
      <c r="AQ93" s="21" t="e">
        <f t="shared" si="111"/>
        <v>#N/A</v>
      </c>
      <c r="AR93" s="92" t="str">
        <f t="shared" si="134"/>
        <v/>
      </c>
      <c r="AS93" s="21" t="str">
        <f t="shared" si="135"/>
        <v/>
      </c>
      <c r="AT93" s="59" t="str">
        <f t="shared" si="112"/>
        <v/>
      </c>
      <c r="AU93" s="105">
        <f t="shared" si="113"/>
        <v>1</v>
      </c>
      <c r="AV93" s="105">
        <f t="shared" si="114"/>
        <v>1</v>
      </c>
      <c r="AW93" s="58">
        <f t="shared" si="142"/>
        <v>2</v>
      </c>
      <c r="AX93" s="58">
        <f t="shared" si="115"/>
        <v>3</v>
      </c>
      <c r="AY93" s="58" t="str">
        <f t="shared" si="116"/>
        <v>avec vannes</v>
      </c>
      <c r="AZ93" s="58" t="str">
        <f t="shared" si="117"/>
        <v>fermé</v>
      </c>
      <c r="BA93" s="60">
        <f t="shared" si="101"/>
        <v>0</v>
      </c>
      <c r="BB93" s="60">
        <f t="shared" si="101"/>
        <v>0</v>
      </c>
      <c r="BC93" s="60">
        <f t="shared" si="101"/>
        <v>0</v>
      </c>
      <c r="BD93" s="60">
        <f t="shared" si="101"/>
        <v>0</v>
      </c>
      <c r="BE93" s="286" t="str">
        <f t="shared" si="118"/>
        <v/>
      </c>
      <c r="BF93" s="58" t="str">
        <f t="shared" si="136"/>
        <v/>
      </c>
      <c r="BG93" s="59" t="str">
        <f t="shared" si="119"/>
        <v/>
      </c>
      <c r="BH93" s="158">
        <f t="shared" ca="1" si="120"/>
        <v>1</v>
      </c>
      <c r="BI93" s="60">
        <f t="shared" ca="1" si="121"/>
        <v>0.15</v>
      </c>
      <c r="BJ93" s="60">
        <f t="shared" si="122"/>
        <v>0.2</v>
      </c>
      <c r="BK93" s="60" t="str">
        <f t="shared" si="137"/>
        <v/>
      </c>
      <c r="BL93" s="21" t="str">
        <f t="shared" si="138"/>
        <v/>
      </c>
      <c r="BM93" s="264" t="str">
        <f t="shared" si="123"/>
        <v/>
      </c>
      <c r="BN93" s="60" t="str">
        <f t="shared" si="139"/>
        <v/>
      </c>
      <c r="BO93" s="136">
        <f t="shared" si="140"/>
        <v>0</v>
      </c>
      <c r="BP93" s="59">
        <f t="shared" si="141"/>
        <v>0</v>
      </c>
      <c r="BQ93" s="136">
        <f t="shared" ca="1" si="124"/>
        <v>1278</v>
      </c>
      <c r="BR93" s="136">
        <f t="shared" ca="1" si="125"/>
        <v>1000.2591362126246</v>
      </c>
      <c r="BS93" s="136">
        <f t="shared" ca="1" si="126"/>
        <v>1468800.2591362125</v>
      </c>
      <c r="BT93" s="136">
        <f t="shared" ca="1" si="127"/>
        <v>313875.18186197185</v>
      </c>
      <c r="BU93" s="136">
        <f t="shared" ca="1" si="128"/>
        <v>1000.2591362126246</v>
      </c>
    </row>
    <row r="94" spans="1:73" x14ac:dyDescent="0.2">
      <c r="A94" s="87" t="str">
        <f>'Etape 2'!A91</f>
        <v/>
      </c>
      <c r="B94" s="87">
        <f>'Etape 2'!B91</f>
        <v>79</v>
      </c>
      <c r="C94" s="87">
        <f ca="1">'Etape 2'!C91</f>
        <v>222</v>
      </c>
      <c r="D94" s="87"/>
      <c r="E94" s="61">
        <f ca="1">RANK(BU94,BU$16:BU$315,0)+COUNTIF(BU$16:BU94,BU94)-1</f>
        <v>222</v>
      </c>
      <c r="F94" s="87" t="str">
        <f>'Etape 2'!D91</f>
        <v/>
      </c>
      <c r="G94" s="87" t="str">
        <f>'Etape 2'!E91</f>
        <v/>
      </c>
      <c r="H94" s="87" t="str">
        <f>'Etape 2'!F91</f>
        <v/>
      </c>
      <c r="I94" s="87" t="str">
        <f>'Etape 2'!G91</f>
        <v/>
      </c>
      <c r="J94" s="87" t="str">
        <f>'Etape 2'!H91</f>
        <v/>
      </c>
      <c r="K94" s="87" t="str">
        <f>'Etape 2'!I91</f>
        <v/>
      </c>
      <c r="L94" s="87">
        <f ca="1">'Etape 2'!J91</f>
        <v>999999</v>
      </c>
      <c r="M94" s="87">
        <f>'Etape 2'!K91</f>
        <v>999</v>
      </c>
      <c r="N94" s="87">
        <f ca="1">'Etape 2'!L91</f>
        <v>79</v>
      </c>
      <c r="O94" s="259">
        <f t="shared" si="102"/>
        <v>0.3</v>
      </c>
      <c r="P94" s="259">
        <f t="shared" si="103"/>
        <v>1.1000000000000001</v>
      </c>
      <c r="Q94" s="260">
        <f t="shared" si="104"/>
        <v>0</v>
      </c>
      <c r="R94" s="261">
        <f t="shared" si="143"/>
        <v>0</v>
      </c>
      <c r="S94" s="87">
        <f>IF(ISBLANK('Etape 2'!N91),0,VLOOKUP('Etape 2'!N91,Matrix_Uebersetzung,2,FALSE))</f>
        <v>0</v>
      </c>
      <c r="T94" s="87">
        <f>IF(ISBLANK('Etape 2'!O91),0,VLOOKUP('Etape 2'!O91,Matrix_Uebersetzung,2,FALSE))</f>
        <v>0</v>
      </c>
      <c r="U94" s="87">
        <f>IF(ISBLANK('Etape 2'!P91),0,VLOOKUP('Etape 2'!P91,Matrix_Uebersetzung,2,FALSE))</f>
        <v>0</v>
      </c>
      <c r="V94" s="87" t="str">
        <f>'Etape 2'!Q91</f>
        <v/>
      </c>
      <c r="W94" s="87">
        <f>'Etape 2'!R91</f>
        <v>0</v>
      </c>
      <c r="X94" s="87" t="str">
        <f>'Etape 2'!S91</f>
        <v/>
      </c>
      <c r="Y94" s="89" t="str">
        <f>'Etape 2'!T91</f>
        <v/>
      </c>
      <c r="Z94" s="87">
        <f>'Etape 2'!U91</f>
        <v>0</v>
      </c>
      <c r="AA94" s="87" t="str">
        <f>'Etape 2'!V91</f>
        <v/>
      </c>
      <c r="AB94" s="87">
        <f>IF(ISNUMBER('Etape 2'!W91),'Etape 2'!W91,0)</f>
        <v>0</v>
      </c>
      <c r="AC94" s="87">
        <f>IF(ISNUMBER('Etape 2'!X91),'Etape 2'!X91,0)</f>
        <v>0</v>
      </c>
      <c r="AD94" s="87">
        <f>IF(ISNUMBER('Etape 2'!Y91),'Etape 2'!Y91,0)</f>
        <v>0</v>
      </c>
      <c r="AE94" s="87">
        <f>IF(ISNUMBER('Etape 2'!Z91),'Etape 2'!Z91,0)</f>
        <v>0</v>
      </c>
      <c r="AF94" s="86">
        <f t="shared" si="129"/>
        <v>999</v>
      </c>
      <c r="AG94" s="288">
        <f t="shared" si="130"/>
        <v>0.25</v>
      </c>
      <c r="AH94" s="181" t="e">
        <f t="shared" si="105"/>
        <v>#VALUE!</v>
      </c>
      <c r="AI94" s="181" t="e">
        <f t="shared" si="131"/>
        <v>#VALUE!</v>
      </c>
      <c r="AJ94" s="86">
        <f t="shared" si="106"/>
        <v>200</v>
      </c>
      <c r="AK94" s="91" t="e">
        <f t="shared" si="107"/>
        <v>#N/A</v>
      </c>
      <c r="AL94" s="91" t="e">
        <f t="shared" si="108"/>
        <v>#N/A</v>
      </c>
      <c r="AM94" s="91">
        <f t="shared" si="109"/>
        <v>6</v>
      </c>
      <c r="AN94" s="91" t="e">
        <f t="shared" si="132"/>
        <v>#N/A</v>
      </c>
      <c r="AO94" s="91" t="e">
        <f t="shared" si="133"/>
        <v>#N/A</v>
      </c>
      <c r="AP94" s="21" t="e">
        <f t="shared" si="110"/>
        <v>#N/A</v>
      </c>
      <c r="AQ94" s="21" t="e">
        <f t="shared" si="111"/>
        <v>#N/A</v>
      </c>
      <c r="AR94" s="92" t="str">
        <f t="shared" si="134"/>
        <v/>
      </c>
      <c r="AS94" s="21" t="str">
        <f t="shared" si="135"/>
        <v/>
      </c>
      <c r="AT94" s="59" t="str">
        <f t="shared" si="112"/>
        <v/>
      </c>
      <c r="AU94" s="105">
        <f t="shared" si="113"/>
        <v>1</v>
      </c>
      <c r="AV94" s="105">
        <f t="shared" si="114"/>
        <v>1</v>
      </c>
      <c r="AW94" s="58">
        <f t="shared" si="142"/>
        <v>2</v>
      </c>
      <c r="AX94" s="58">
        <f t="shared" si="115"/>
        <v>3</v>
      </c>
      <c r="AY94" s="58" t="str">
        <f t="shared" si="116"/>
        <v>avec vannes</v>
      </c>
      <c r="AZ94" s="58" t="str">
        <f t="shared" si="117"/>
        <v>fermé</v>
      </c>
      <c r="BA94" s="60">
        <f t="shared" si="101"/>
        <v>0</v>
      </c>
      <c r="BB94" s="60">
        <f t="shared" si="101"/>
        <v>0</v>
      </c>
      <c r="BC94" s="60">
        <f t="shared" si="101"/>
        <v>0</v>
      </c>
      <c r="BD94" s="60">
        <f t="shared" si="101"/>
        <v>0</v>
      </c>
      <c r="BE94" s="286" t="str">
        <f t="shared" si="118"/>
        <v/>
      </c>
      <c r="BF94" s="58" t="str">
        <f t="shared" si="136"/>
        <v/>
      </c>
      <c r="BG94" s="59" t="str">
        <f t="shared" si="119"/>
        <v/>
      </c>
      <c r="BH94" s="158">
        <f t="shared" ca="1" si="120"/>
        <v>1</v>
      </c>
      <c r="BI94" s="60">
        <f t="shared" ca="1" si="121"/>
        <v>0.15</v>
      </c>
      <c r="BJ94" s="60">
        <f t="shared" si="122"/>
        <v>0.2</v>
      </c>
      <c r="BK94" s="60" t="str">
        <f t="shared" si="137"/>
        <v/>
      </c>
      <c r="BL94" s="21" t="str">
        <f t="shared" si="138"/>
        <v/>
      </c>
      <c r="BM94" s="264" t="str">
        <f t="shared" si="123"/>
        <v/>
      </c>
      <c r="BN94" s="60" t="str">
        <f t="shared" si="139"/>
        <v/>
      </c>
      <c r="BO94" s="136">
        <f t="shared" si="140"/>
        <v>0</v>
      </c>
      <c r="BP94" s="59">
        <f t="shared" si="141"/>
        <v>0</v>
      </c>
      <c r="BQ94" s="136">
        <f t="shared" ca="1" si="124"/>
        <v>1279</v>
      </c>
      <c r="BR94" s="136">
        <f t="shared" ca="1" si="125"/>
        <v>1000.2624584717609</v>
      </c>
      <c r="BS94" s="136">
        <f t="shared" ca="1" si="126"/>
        <v>1468800.2624584718</v>
      </c>
      <c r="BT94" s="136">
        <f t="shared" ca="1" si="127"/>
        <v>313875.18518423097</v>
      </c>
      <c r="BU94" s="136">
        <f t="shared" ca="1" si="128"/>
        <v>1000.2624584717609</v>
      </c>
    </row>
    <row r="95" spans="1:73" x14ac:dyDescent="0.2">
      <c r="A95" s="87" t="str">
        <f>'Etape 2'!A92</f>
        <v/>
      </c>
      <c r="B95" s="87">
        <f>'Etape 2'!B92</f>
        <v>80</v>
      </c>
      <c r="C95" s="87">
        <f ca="1">'Etape 2'!C92</f>
        <v>221</v>
      </c>
      <c r="D95" s="87"/>
      <c r="E95" s="61">
        <f ca="1">RANK(BU95,BU$16:BU$315,0)+COUNTIF(BU$16:BU95,BU95)-1</f>
        <v>221</v>
      </c>
      <c r="F95" s="87" t="str">
        <f>'Etape 2'!D92</f>
        <v/>
      </c>
      <c r="G95" s="87" t="str">
        <f>'Etape 2'!E92</f>
        <v/>
      </c>
      <c r="H95" s="87" t="str">
        <f>'Etape 2'!F92</f>
        <v/>
      </c>
      <c r="I95" s="87" t="str">
        <f>'Etape 2'!G92</f>
        <v/>
      </c>
      <c r="J95" s="87" t="str">
        <f>'Etape 2'!H92</f>
        <v/>
      </c>
      <c r="K95" s="87" t="str">
        <f>'Etape 2'!I92</f>
        <v/>
      </c>
      <c r="L95" s="87">
        <f ca="1">'Etape 2'!J92</f>
        <v>999999</v>
      </c>
      <c r="M95" s="87">
        <f>'Etape 2'!K92</f>
        <v>999</v>
      </c>
      <c r="N95" s="87">
        <f ca="1">'Etape 2'!L92</f>
        <v>80</v>
      </c>
      <c r="O95" s="259">
        <f t="shared" si="102"/>
        <v>0.3</v>
      </c>
      <c r="P95" s="259">
        <f t="shared" si="103"/>
        <v>1.1000000000000001</v>
      </c>
      <c r="Q95" s="260">
        <f t="shared" si="104"/>
        <v>0</v>
      </c>
      <c r="R95" s="261">
        <f t="shared" si="143"/>
        <v>0</v>
      </c>
      <c r="S95" s="87">
        <f>IF(ISBLANK('Etape 2'!N92),0,VLOOKUP('Etape 2'!N92,Matrix_Uebersetzung,2,FALSE))</f>
        <v>0</v>
      </c>
      <c r="T95" s="87">
        <f>IF(ISBLANK('Etape 2'!O92),0,VLOOKUP('Etape 2'!O92,Matrix_Uebersetzung,2,FALSE))</f>
        <v>0</v>
      </c>
      <c r="U95" s="87">
        <f>IF(ISBLANK('Etape 2'!P92),0,VLOOKUP('Etape 2'!P92,Matrix_Uebersetzung,2,FALSE))</f>
        <v>0</v>
      </c>
      <c r="V95" s="87" t="str">
        <f>'Etape 2'!Q92</f>
        <v/>
      </c>
      <c r="W95" s="87">
        <f>'Etape 2'!R92</f>
        <v>0</v>
      </c>
      <c r="X95" s="87" t="str">
        <f>'Etape 2'!S92</f>
        <v/>
      </c>
      <c r="Y95" s="89" t="str">
        <f>'Etape 2'!T92</f>
        <v/>
      </c>
      <c r="Z95" s="87">
        <f>'Etape 2'!U92</f>
        <v>0</v>
      </c>
      <c r="AA95" s="87" t="str">
        <f>'Etape 2'!V92</f>
        <v/>
      </c>
      <c r="AB95" s="87">
        <f>IF(ISNUMBER('Etape 2'!W92),'Etape 2'!W92,0)</f>
        <v>0</v>
      </c>
      <c r="AC95" s="87">
        <f>IF(ISNUMBER('Etape 2'!X92),'Etape 2'!X92,0)</f>
        <v>0</v>
      </c>
      <c r="AD95" s="87">
        <f>IF(ISNUMBER('Etape 2'!Y92),'Etape 2'!Y92,0)</f>
        <v>0</v>
      </c>
      <c r="AE95" s="87">
        <f>IF(ISNUMBER('Etape 2'!Z92),'Etape 2'!Z92,0)</f>
        <v>0</v>
      </c>
      <c r="AF95" s="86">
        <f t="shared" si="129"/>
        <v>999</v>
      </c>
      <c r="AG95" s="288">
        <f t="shared" si="130"/>
        <v>0.25</v>
      </c>
      <c r="AH95" s="181" t="e">
        <f t="shared" si="105"/>
        <v>#VALUE!</v>
      </c>
      <c r="AI95" s="181" t="e">
        <f t="shared" si="131"/>
        <v>#VALUE!</v>
      </c>
      <c r="AJ95" s="86">
        <f t="shared" si="106"/>
        <v>200</v>
      </c>
      <c r="AK95" s="91" t="e">
        <f t="shared" si="107"/>
        <v>#N/A</v>
      </c>
      <c r="AL95" s="91" t="e">
        <f t="shared" si="108"/>
        <v>#N/A</v>
      </c>
      <c r="AM95" s="91">
        <f t="shared" si="109"/>
        <v>6</v>
      </c>
      <c r="AN95" s="91" t="e">
        <f t="shared" si="132"/>
        <v>#N/A</v>
      </c>
      <c r="AO95" s="91" t="e">
        <f t="shared" si="133"/>
        <v>#N/A</v>
      </c>
      <c r="AP95" s="21" t="e">
        <f t="shared" si="110"/>
        <v>#N/A</v>
      </c>
      <c r="AQ95" s="21" t="e">
        <f t="shared" si="111"/>
        <v>#N/A</v>
      </c>
      <c r="AR95" s="92" t="str">
        <f t="shared" si="134"/>
        <v/>
      </c>
      <c r="AS95" s="21" t="str">
        <f t="shared" si="135"/>
        <v/>
      </c>
      <c r="AT95" s="59" t="str">
        <f t="shared" si="112"/>
        <v/>
      </c>
      <c r="AU95" s="105">
        <f t="shared" si="113"/>
        <v>1</v>
      </c>
      <c r="AV95" s="105">
        <f t="shared" si="114"/>
        <v>1</v>
      </c>
      <c r="AW95" s="58">
        <f t="shared" si="142"/>
        <v>2</v>
      </c>
      <c r="AX95" s="58">
        <f t="shared" si="115"/>
        <v>3</v>
      </c>
      <c r="AY95" s="58" t="str">
        <f t="shared" si="116"/>
        <v>avec vannes</v>
      </c>
      <c r="AZ95" s="58" t="str">
        <f t="shared" si="117"/>
        <v>fermé</v>
      </c>
      <c r="BA95" s="60">
        <f t="shared" si="101"/>
        <v>0</v>
      </c>
      <c r="BB95" s="60">
        <f t="shared" si="101"/>
        <v>0</v>
      </c>
      <c r="BC95" s="60">
        <f t="shared" si="101"/>
        <v>0</v>
      </c>
      <c r="BD95" s="60">
        <f t="shared" si="101"/>
        <v>0</v>
      </c>
      <c r="BE95" s="286" t="str">
        <f t="shared" si="118"/>
        <v/>
      </c>
      <c r="BF95" s="58" t="str">
        <f t="shared" si="136"/>
        <v/>
      </c>
      <c r="BG95" s="59" t="str">
        <f t="shared" si="119"/>
        <v/>
      </c>
      <c r="BH95" s="158">
        <f t="shared" ca="1" si="120"/>
        <v>1</v>
      </c>
      <c r="BI95" s="60">
        <f t="shared" ca="1" si="121"/>
        <v>0.15</v>
      </c>
      <c r="BJ95" s="60">
        <f t="shared" si="122"/>
        <v>0.2</v>
      </c>
      <c r="BK95" s="60" t="str">
        <f t="shared" si="137"/>
        <v/>
      </c>
      <c r="BL95" s="21" t="str">
        <f t="shared" si="138"/>
        <v/>
      </c>
      <c r="BM95" s="264" t="str">
        <f t="shared" si="123"/>
        <v/>
      </c>
      <c r="BN95" s="60" t="str">
        <f t="shared" si="139"/>
        <v/>
      </c>
      <c r="BO95" s="136">
        <f t="shared" si="140"/>
        <v>0</v>
      </c>
      <c r="BP95" s="59">
        <f t="shared" si="141"/>
        <v>0</v>
      </c>
      <c r="BQ95" s="136">
        <f t="shared" ca="1" si="124"/>
        <v>1280</v>
      </c>
      <c r="BR95" s="136">
        <f t="shared" ca="1" si="125"/>
        <v>1000.2657807308971</v>
      </c>
      <c r="BS95" s="136">
        <f t="shared" ca="1" si="126"/>
        <v>1468800.2657807309</v>
      </c>
      <c r="BT95" s="136">
        <f t="shared" ca="1" si="127"/>
        <v>313875.18850649009</v>
      </c>
      <c r="BU95" s="136">
        <f t="shared" ca="1" si="128"/>
        <v>1000.2657807308971</v>
      </c>
    </row>
    <row r="96" spans="1:73" x14ac:dyDescent="0.2">
      <c r="A96" s="87" t="str">
        <f>'Etape 2'!A93</f>
        <v/>
      </c>
      <c r="B96" s="87">
        <f>'Etape 2'!B93</f>
        <v>81</v>
      </c>
      <c r="C96" s="87">
        <f ca="1">'Etape 2'!C93</f>
        <v>220</v>
      </c>
      <c r="D96" s="87"/>
      <c r="E96" s="61">
        <f ca="1">RANK(BU96,BU$16:BU$315,0)+COUNTIF(BU$16:BU96,BU96)-1</f>
        <v>220</v>
      </c>
      <c r="F96" s="87" t="str">
        <f>'Etape 2'!D93</f>
        <v/>
      </c>
      <c r="G96" s="87" t="str">
        <f>'Etape 2'!E93</f>
        <v/>
      </c>
      <c r="H96" s="87" t="str">
        <f>'Etape 2'!F93</f>
        <v/>
      </c>
      <c r="I96" s="87" t="str">
        <f>'Etape 2'!G93</f>
        <v/>
      </c>
      <c r="J96" s="87" t="str">
        <f>'Etape 2'!H93</f>
        <v/>
      </c>
      <c r="K96" s="87" t="str">
        <f>'Etape 2'!I93</f>
        <v/>
      </c>
      <c r="L96" s="87">
        <f ca="1">'Etape 2'!J93</f>
        <v>999999</v>
      </c>
      <c r="M96" s="87">
        <f>'Etape 2'!K93</f>
        <v>999</v>
      </c>
      <c r="N96" s="87">
        <f ca="1">'Etape 2'!L93</f>
        <v>81</v>
      </c>
      <c r="O96" s="259">
        <f t="shared" si="102"/>
        <v>0.3</v>
      </c>
      <c r="P96" s="259">
        <f t="shared" si="103"/>
        <v>1.1000000000000001</v>
      </c>
      <c r="Q96" s="260">
        <f t="shared" si="104"/>
        <v>0</v>
      </c>
      <c r="R96" s="261">
        <f t="shared" si="143"/>
        <v>0</v>
      </c>
      <c r="S96" s="87">
        <f>IF(ISBLANK('Etape 2'!N93),0,VLOOKUP('Etape 2'!N93,Matrix_Uebersetzung,2,FALSE))</f>
        <v>0</v>
      </c>
      <c r="T96" s="87">
        <f>IF(ISBLANK('Etape 2'!O93),0,VLOOKUP('Etape 2'!O93,Matrix_Uebersetzung,2,FALSE))</f>
        <v>0</v>
      </c>
      <c r="U96" s="87">
        <f>IF(ISBLANK('Etape 2'!P93),0,VLOOKUP('Etape 2'!P93,Matrix_Uebersetzung,2,FALSE))</f>
        <v>0</v>
      </c>
      <c r="V96" s="87" t="str">
        <f>'Etape 2'!Q93</f>
        <v/>
      </c>
      <c r="W96" s="87">
        <f>'Etape 2'!R93</f>
        <v>0</v>
      </c>
      <c r="X96" s="87" t="str">
        <f>'Etape 2'!S93</f>
        <v/>
      </c>
      <c r="Y96" s="89" t="str">
        <f>'Etape 2'!T93</f>
        <v/>
      </c>
      <c r="Z96" s="87">
        <f>'Etape 2'!U93</f>
        <v>0</v>
      </c>
      <c r="AA96" s="87" t="str">
        <f>'Etape 2'!V93</f>
        <v/>
      </c>
      <c r="AB96" s="87">
        <f>IF(ISNUMBER('Etape 2'!W93),'Etape 2'!W93,0)</f>
        <v>0</v>
      </c>
      <c r="AC96" s="87">
        <f>IF(ISNUMBER('Etape 2'!X93),'Etape 2'!X93,0)</f>
        <v>0</v>
      </c>
      <c r="AD96" s="87">
        <f>IF(ISNUMBER('Etape 2'!Y93),'Etape 2'!Y93,0)</f>
        <v>0</v>
      </c>
      <c r="AE96" s="87">
        <f>IF(ISNUMBER('Etape 2'!Z93),'Etape 2'!Z93,0)</f>
        <v>0</v>
      </c>
      <c r="AF96" s="86">
        <f t="shared" si="129"/>
        <v>999</v>
      </c>
      <c r="AG96" s="288">
        <f t="shared" si="130"/>
        <v>0.25</v>
      </c>
      <c r="AH96" s="181" t="e">
        <f t="shared" si="105"/>
        <v>#VALUE!</v>
      </c>
      <c r="AI96" s="181" t="e">
        <f t="shared" si="131"/>
        <v>#VALUE!</v>
      </c>
      <c r="AJ96" s="86">
        <f t="shared" si="106"/>
        <v>200</v>
      </c>
      <c r="AK96" s="91" t="e">
        <f t="shared" si="107"/>
        <v>#N/A</v>
      </c>
      <c r="AL96" s="91" t="e">
        <f t="shared" si="108"/>
        <v>#N/A</v>
      </c>
      <c r="AM96" s="91">
        <f t="shared" si="109"/>
        <v>6</v>
      </c>
      <c r="AN96" s="91" t="e">
        <f t="shared" si="132"/>
        <v>#N/A</v>
      </c>
      <c r="AO96" s="91" t="e">
        <f t="shared" si="133"/>
        <v>#N/A</v>
      </c>
      <c r="AP96" s="21" t="e">
        <f t="shared" si="110"/>
        <v>#N/A</v>
      </c>
      <c r="AQ96" s="21" t="e">
        <f t="shared" si="111"/>
        <v>#N/A</v>
      </c>
      <c r="AR96" s="92" t="str">
        <f t="shared" si="134"/>
        <v/>
      </c>
      <c r="AS96" s="21" t="str">
        <f t="shared" si="135"/>
        <v/>
      </c>
      <c r="AT96" s="59" t="str">
        <f t="shared" si="112"/>
        <v/>
      </c>
      <c r="AU96" s="105">
        <f t="shared" si="113"/>
        <v>1</v>
      </c>
      <c r="AV96" s="105">
        <f t="shared" si="114"/>
        <v>1</v>
      </c>
      <c r="AW96" s="58">
        <f t="shared" si="142"/>
        <v>2</v>
      </c>
      <c r="AX96" s="58">
        <f t="shared" si="115"/>
        <v>3</v>
      </c>
      <c r="AY96" s="58" t="str">
        <f t="shared" si="116"/>
        <v>avec vannes</v>
      </c>
      <c r="AZ96" s="58" t="str">
        <f t="shared" si="117"/>
        <v>fermé</v>
      </c>
      <c r="BA96" s="60">
        <f t="shared" ref="BA96:BD115" si="144">IF(BA$15/$AG96&gt;1,0,VLOOKUP(BA$15/$AG96,Matrix_Regelung.Teilvolumenstrom.Einsparpotential.ID,$AX96,0))</f>
        <v>0</v>
      </c>
      <c r="BB96" s="60">
        <f t="shared" si="144"/>
        <v>0</v>
      </c>
      <c r="BC96" s="60">
        <f t="shared" si="144"/>
        <v>0</v>
      </c>
      <c r="BD96" s="60">
        <f t="shared" si="144"/>
        <v>0</v>
      </c>
      <c r="BE96" s="286" t="str">
        <f t="shared" si="118"/>
        <v/>
      </c>
      <c r="BF96" s="58" t="str">
        <f t="shared" si="136"/>
        <v/>
      </c>
      <c r="BG96" s="59" t="str">
        <f t="shared" si="119"/>
        <v/>
      </c>
      <c r="BH96" s="158">
        <f t="shared" ca="1" si="120"/>
        <v>1</v>
      </c>
      <c r="BI96" s="60">
        <f t="shared" ca="1" si="121"/>
        <v>0.15</v>
      </c>
      <c r="BJ96" s="60">
        <f t="shared" si="122"/>
        <v>0.2</v>
      </c>
      <c r="BK96" s="60" t="str">
        <f t="shared" si="137"/>
        <v/>
      </c>
      <c r="BL96" s="21" t="str">
        <f t="shared" si="138"/>
        <v/>
      </c>
      <c r="BM96" s="264" t="str">
        <f t="shared" si="123"/>
        <v/>
      </c>
      <c r="BN96" s="60" t="str">
        <f t="shared" si="139"/>
        <v/>
      </c>
      <c r="BO96" s="136">
        <f t="shared" si="140"/>
        <v>0</v>
      </c>
      <c r="BP96" s="59">
        <f t="shared" si="141"/>
        <v>0</v>
      </c>
      <c r="BQ96" s="136">
        <f t="shared" ca="1" si="124"/>
        <v>1281</v>
      </c>
      <c r="BR96" s="136">
        <f t="shared" ca="1" si="125"/>
        <v>1000.2691029900333</v>
      </c>
      <c r="BS96" s="136">
        <f t="shared" ca="1" si="126"/>
        <v>1468800.2691029899</v>
      </c>
      <c r="BT96" s="136">
        <f t="shared" ca="1" si="127"/>
        <v>313875.19182874926</v>
      </c>
      <c r="BU96" s="136">
        <f t="shared" ca="1" si="128"/>
        <v>1000.2691029900333</v>
      </c>
    </row>
    <row r="97" spans="1:73" x14ac:dyDescent="0.2">
      <c r="A97" s="87" t="str">
        <f>'Etape 2'!A94</f>
        <v/>
      </c>
      <c r="B97" s="87">
        <f>'Etape 2'!B94</f>
        <v>82</v>
      </c>
      <c r="C97" s="87">
        <f ca="1">'Etape 2'!C94</f>
        <v>219</v>
      </c>
      <c r="D97" s="87"/>
      <c r="E97" s="61">
        <f ca="1">RANK(BU97,BU$16:BU$315,0)+COUNTIF(BU$16:BU97,BU97)-1</f>
        <v>219</v>
      </c>
      <c r="F97" s="87" t="str">
        <f>'Etape 2'!D94</f>
        <v/>
      </c>
      <c r="G97" s="87" t="str">
        <f>'Etape 2'!E94</f>
        <v/>
      </c>
      <c r="H97" s="87" t="str">
        <f>'Etape 2'!F94</f>
        <v/>
      </c>
      <c r="I97" s="87" t="str">
        <f>'Etape 2'!G94</f>
        <v/>
      </c>
      <c r="J97" s="87" t="str">
        <f>'Etape 2'!H94</f>
        <v/>
      </c>
      <c r="K97" s="87" t="str">
        <f>'Etape 2'!I94</f>
        <v/>
      </c>
      <c r="L97" s="87">
        <f ca="1">'Etape 2'!J94</f>
        <v>999999</v>
      </c>
      <c r="M97" s="87">
        <f>'Etape 2'!K94</f>
        <v>999</v>
      </c>
      <c r="N97" s="87">
        <f ca="1">'Etape 2'!L94</f>
        <v>82</v>
      </c>
      <c r="O97" s="259">
        <f t="shared" si="102"/>
        <v>0.3</v>
      </c>
      <c r="P97" s="259">
        <f t="shared" si="103"/>
        <v>1.1000000000000001</v>
      </c>
      <c r="Q97" s="260">
        <f t="shared" si="104"/>
        <v>0</v>
      </c>
      <c r="R97" s="261">
        <f t="shared" si="143"/>
        <v>0</v>
      </c>
      <c r="S97" s="87">
        <f>IF(ISBLANK('Etape 2'!N94),0,VLOOKUP('Etape 2'!N94,Matrix_Uebersetzung,2,FALSE))</f>
        <v>0</v>
      </c>
      <c r="T97" s="87">
        <f>IF(ISBLANK('Etape 2'!O94),0,VLOOKUP('Etape 2'!O94,Matrix_Uebersetzung,2,FALSE))</f>
        <v>0</v>
      </c>
      <c r="U97" s="87">
        <f>IF(ISBLANK('Etape 2'!P94),0,VLOOKUP('Etape 2'!P94,Matrix_Uebersetzung,2,FALSE))</f>
        <v>0</v>
      </c>
      <c r="V97" s="87" t="str">
        <f>'Etape 2'!Q94</f>
        <v/>
      </c>
      <c r="W97" s="87">
        <f>'Etape 2'!R94</f>
        <v>0</v>
      </c>
      <c r="X97" s="87" t="str">
        <f>'Etape 2'!S94</f>
        <v/>
      </c>
      <c r="Y97" s="89" t="str">
        <f>'Etape 2'!T94</f>
        <v/>
      </c>
      <c r="Z97" s="87">
        <f>'Etape 2'!U94</f>
        <v>0</v>
      </c>
      <c r="AA97" s="87" t="str">
        <f>'Etape 2'!V94</f>
        <v/>
      </c>
      <c r="AB97" s="87">
        <f>IF(ISNUMBER('Etape 2'!W94),'Etape 2'!W94,0)</f>
        <v>0</v>
      </c>
      <c r="AC97" s="87">
        <f>IF(ISNUMBER('Etape 2'!X94),'Etape 2'!X94,0)</f>
        <v>0</v>
      </c>
      <c r="AD97" s="87">
        <f>IF(ISNUMBER('Etape 2'!Y94),'Etape 2'!Y94,0)</f>
        <v>0</v>
      </c>
      <c r="AE97" s="87">
        <f>IF(ISNUMBER('Etape 2'!Z94),'Etape 2'!Z94,0)</f>
        <v>0</v>
      </c>
      <c r="AF97" s="86">
        <f t="shared" si="129"/>
        <v>999</v>
      </c>
      <c r="AG97" s="288">
        <f t="shared" si="130"/>
        <v>0.25</v>
      </c>
      <c r="AH97" s="181" t="e">
        <f t="shared" si="105"/>
        <v>#VALUE!</v>
      </c>
      <c r="AI97" s="181" t="e">
        <f t="shared" si="131"/>
        <v>#VALUE!</v>
      </c>
      <c r="AJ97" s="86">
        <f t="shared" si="106"/>
        <v>200</v>
      </c>
      <c r="AK97" s="91" t="e">
        <f t="shared" si="107"/>
        <v>#N/A</v>
      </c>
      <c r="AL97" s="91" t="e">
        <f t="shared" si="108"/>
        <v>#N/A</v>
      </c>
      <c r="AM97" s="91">
        <f t="shared" si="109"/>
        <v>6</v>
      </c>
      <c r="AN97" s="91" t="e">
        <f t="shared" si="132"/>
        <v>#N/A</v>
      </c>
      <c r="AO97" s="91" t="e">
        <f t="shared" si="133"/>
        <v>#N/A</v>
      </c>
      <c r="AP97" s="21" t="e">
        <f t="shared" si="110"/>
        <v>#N/A</v>
      </c>
      <c r="AQ97" s="21" t="e">
        <f t="shared" si="111"/>
        <v>#N/A</v>
      </c>
      <c r="AR97" s="92" t="str">
        <f t="shared" si="134"/>
        <v/>
      </c>
      <c r="AS97" s="21" t="str">
        <f t="shared" si="135"/>
        <v/>
      </c>
      <c r="AT97" s="59" t="str">
        <f t="shared" si="112"/>
        <v/>
      </c>
      <c r="AU97" s="105">
        <f t="shared" si="113"/>
        <v>1</v>
      </c>
      <c r="AV97" s="105">
        <f t="shared" si="114"/>
        <v>1</v>
      </c>
      <c r="AW97" s="58">
        <f t="shared" si="142"/>
        <v>2</v>
      </c>
      <c r="AX97" s="58">
        <f t="shared" si="115"/>
        <v>3</v>
      </c>
      <c r="AY97" s="58" t="str">
        <f t="shared" si="116"/>
        <v>avec vannes</v>
      </c>
      <c r="AZ97" s="58" t="str">
        <f t="shared" si="117"/>
        <v>fermé</v>
      </c>
      <c r="BA97" s="60">
        <f t="shared" si="144"/>
        <v>0</v>
      </c>
      <c r="BB97" s="60">
        <f t="shared" si="144"/>
        <v>0</v>
      </c>
      <c r="BC97" s="60">
        <f t="shared" si="144"/>
        <v>0</v>
      </c>
      <c r="BD97" s="60">
        <f t="shared" si="144"/>
        <v>0</v>
      </c>
      <c r="BE97" s="286" t="str">
        <f t="shared" si="118"/>
        <v/>
      </c>
      <c r="BF97" s="58" t="str">
        <f t="shared" si="136"/>
        <v/>
      </c>
      <c r="BG97" s="59" t="str">
        <f t="shared" si="119"/>
        <v/>
      </c>
      <c r="BH97" s="158">
        <f t="shared" ca="1" si="120"/>
        <v>1</v>
      </c>
      <c r="BI97" s="60">
        <f t="shared" ca="1" si="121"/>
        <v>0.15</v>
      </c>
      <c r="BJ97" s="60">
        <f t="shared" si="122"/>
        <v>0.2</v>
      </c>
      <c r="BK97" s="60" t="str">
        <f t="shared" si="137"/>
        <v/>
      </c>
      <c r="BL97" s="21" t="str">
        <f t="shared" si="138"/>
        <v/>
      </c>
      <c r="BM97" s="264" t="str">
        <f t="shared" si="123"/>
        <v/>
      </c>
      <c r="BN97" s="60" t="str">
        <f t="shared" si="139"/>
        <v/>
      </c>
      <c r="BO97" s="136">
        <f t="shared" si="140"/>
        <v>0</v>
      </c>
      <c r="BP97" s="59">
        <f t="shared" si="141"/>
        <v>0</v>
      </c>
      <c r="BQ97" s="136">
        <f t="shared" ca="1" si="124"/>
        <v>1282</v>
      </c>
      <c r="BR97" s="136">
        <f t="shared" ca="1" si="125"/>
        <v>1000.2724252491695</v>
      </c>
      <c r="BS97" s="136">
        <f t="shared" ca="1" si="126"/>
        <v>1468800.2724252492</v>
      </c>
      <c r="BT97" s="136">
        <f t="shared" ca="1" si="127"/>
        <v>313875.19515100837</v>
      </c>
      <c r="BU97" s="136">
        <f t="shared" ca="1" si="128"/>
        <v>1000.2724252491695</v>
      </c>
    </row>
    <row r="98" spans="1:73" x14ac:dyDescent="0.2">
      <c r="A98" s="87" t="str">
        <f>'Etape 2'!A95</f>
        <v/>
      </c>
      <c r="B98" s="87">
        <f>'Etape 2'!B95</f>
        <v>83</v>
      </c>
      <c r="C98" s="87">
        <f ca="1">'Etape 2'!C95</f>
        <v>218</v>
      </c>
      <c r="D98" s="87"/>
      <c r="E98" s="61">
        <f ca="1">RANK(BU98,BU$16:BU$315,0)+COUNTIF(BU$16:BU98,BU98)-1</f>
        <v>218</v>
      </c>
      <c r="F98" s="87" t="str">
        <f>'Etape 2'!D95</f>
        <v/>
      </c>
      <c r="G98" s="87" t="str">
        <f>'Etape 2'!E95</f>
        <v/>
      </c>
      <c r="H98" s="87" t="str">
        <f>'Etape 2'!F95</f>
        <v/>
      </c>
      <c r="I98" s="87" t="str">
        <f>'Etape 2'!G95</f>
        <v/>
      </c>
      <c r="J98" s="87" t="str">
        <f>'Etape 2'!H95</f>
        <v/>
      </c>
      <c r="K98" s="87" t="str">
        <f>'Etape 2'!I95</f>
        <v/>
      </c>
      <c r="L98" s="87">
        <f ca="1">'Etape 2'!J95</f>
        <v>999999</v>
      </c>
      <c r="M98" s="87">
        <f>'Etape 2'!K95</f>
        <v>999</v>
      </c>
      <c r="N98" s="87">
        <f ca="1">'Etape 2'!L95</f>
        <v>83</v>
      </c>
      <c r="O98" s="259">
        <f t="shared" si="102"/>
        <v>0.3</v>
      </c>
      <c r="P98" s="259">
        <f t="shared" si="103"/>
        <v>1.1000000000000001</v>
      </c>
      <c r="Q98" s="260">
        <f t="shared" si="104"/>
        <v>0</v>
      </c>
      <c r="R98" s="261">
        <f t="shared" si="143"/>
        <v>0</v>
      </c>
      <c r="S98" s="87">
        <f>IF(ISBLANK('Etape 2'!N95),0,VLOOKUP('Etape 2'!N95,Matrix_Uebersetzung,2,FALSE))</f>
        <v>0</v>
      </c>
      <c r="T98" s="87">
        <f>IF(ISBLANK('Etape 2'!O95),0,VLOOKUP('Etape 2'!O95,Matrix_Uebersetzung,2,FALSE))</f>
        <v>0</v>
      </c>
      <c r="U98" s="87">
        <f>IF(ISBLANK('Etape 2'!P95),0,VLOOKUP('Etape 2'!P95,Matrix_Uebersetzung,2,FALSE))</f>
        <v>0</v>
      </c>
      <c r="V98" s="87" t="str">
        <f>'Etape 2'!Q95</f>
        <v/>
      </c>
      <c r="W98" s="87">
        <f>'Etape 2'!R95</f>
        <v>0</v>
      </c>
      <c r="X98" s="87" t="str">
        <f>'Etape 2'!S95</f>
        <v/>
      </c>
      <c r="Y98" s="89" t="str">
        <f>'Etape 2'!T95</f>
        <v/>
      </c>
      <c r="Z98" s="87">
        <f>'Etape 2'!U95</f>
        <v>0</v>
      </c>
      <c r="AA98" s="87" t="str">
        <f>'Etape 2'!V95</f>
        <v/>
      </c>
      <c r="AB98" s="87">
        <f>IF(ISNUMBER('Etape 2'!W95),'Etape 2'!W95,0)</f>
        <v>0</v>
      </c>
      <c r="AC98" s="87">
        <f>IF(ISNUMBER('Etape 2'!X95),'Etape 2'!X95,0)</f>
        <v>0</v>
      </c>
      <c r="AD98" s="87">
        <f>IF(ISNUMBER('Etape 2'!Y95),'Etape 2'!Y95,0)</f>
        <v>0</v>
      </c>
      <c r="AE98" s="87">
        <f>IF(ISNUMBER('Etape 2'!Z95),'Etape 2'!Z95,0)</f>
        <v>0</v>
      </c>
      <c r="AF98" s="86">
        <f t="shared" si="129"/>
        <v>999</v>
      </c>
      <c r="AG98" s="288">
        <f t="shared" si="130"/>
        <v>0.25</v>
      </c>
      <c r="AH98" s="181" t="e">
        <f t="shared" si="105"/>
        <v>#VALUE!</v>
      </c>
      <c r="AI98" s="181" t="e">
        <f t="shared" si="131"/>
        <v>#VALUE!</v>
      </c>
      <c r="AJ98" s="86">
        <f t="shared" si="106"/>
        <v>200</v>
      </c>
      <c r="AK98" s="91" t="e">
        <f t="shared" si="107"/>
        <v>#N/A</v>
      </c>
      <c r="AL98" s="91" t="e">
        <f t="shared" si="108"/>
        <v>#N/A</v>
      </c>
      <c r="AM98" s="91">
        <f t="shared" si="109"/>
        <v>6</v>
      </c>
      <c r="AN98" s="91" t="e">
        <f t="shared" si="132"/>
        <v>#N/A</v>
      </c>
      <c r="AO98" s="91" t="e">
        <f t="shared" si="133"/>
        <v>#N/A</v>
      </c>
      <c r="AP98" s="21" t="e">
        <f t="shared" si="110"/>
        <v>#N/A</v>
      </c>
      <c r="AQ98" s="21" t="e">
        <f t="shared" si="111"/>
        <v>#N/A</v>
      </c>
      <c r="AR98" s="92" t="str">
        <f t="shared" si="134"/>
        <v/>
      </c>
      <c r="AS98" s="21" t="str">
        <f t="shared" si="135"/>
        <v/>
      </c>
      <c r="AT98" s="59" t="str">
        <f t="shared" si="112"/>
        <v/>
      </c>
      <c r="AU98" s="105">
        <f t="shared" si="113"/>
        <v>1</v>
      </c>
      <c r="AV98" s="105">
        <f t="shared" si="114"/>
        <v>1</v>
      </c>
      <c r="AW98" s="58">
        <f t="shared" si="142"/>
        <v>2</v>
      </c>
      <c r="AX98" s="58">
        <f t="shared" si="115"/>
        <v>3</v>
      </c>
      <c r="AY98" s="58" t="str">
        <f t="shared" si="116"/>
        <v>avec vannes</v>
      </c>
      <c r="AZ98" s="58" t="str">
        <f t="shared" si="117"/>
        <v>fermé</v>
      </c>
      <c r="BA98" s="60">
        <f t="shared" si="144"/>
        <v>0</v>
      </c>
      <c r="BB98" s="60">
        <f t="shared" si="144"/>
        <v>0</v>
      </c>
      <c r="BC98" s="60">
        <f t="shared" si="144"/>
        <v>0</v>
      </c>
      <c r="BD98" s="60">
        <f t="shared" si="144"/>
        <v>0</v>
      </c>
      <c r="BE98" s="286" t="str">
        <f t="shared" si="118"/>
        <v/>
      </c>
      <c r="BF98" s="58" t="str">
        <f t="shared" si="136"/>
        <v/>
      </c>
      <c r="BG98" s="59" t="str">
        <f t="shared" si="119"/>
        <v/>
      </c>
      <c r="BH98" s="158">
        <f t="shared" ca="1" si="120"/>
        <v>1</v>
      </c>
      <c r="BI98" s="60">
        <f t="shared" ca="1" si="121"/>
        <v>0.15</v>
      </c>
      <c r="BJ98" s="60">
        <f t="shared" si="122"/>
        <v>0.2</v>
      </c>
      <c r="BK98" s="60" t="str">
        <f t="shared" si="137"/>
        <v/>
      </c>
      <c r="BL98" s="21" t="str">
        <f t="shared" si="138"/>
        <v/>
      </c>
      <c r="BM98" s="264" t="str">
        <f t="shared" si="123"/>
        <v/>
      </c>
      <c r="BN98" s="60" t="str">
        <f t="shared" si="139"/>
        <v/>
      </c>
      <c r="BO98" s="136">
        <f t="shared" si="140"/>
        <v>0</v>
      </c>
      <c r="BP98" s="59">
        <f t="shared" si="141"/>
        <v>0</v>
      </c>
      <c r="BQ98" s="136">
        <f t="shared" ca="1" si="124"/>
        <v>1283</v>
      </c>
      <c r="BR98" s="136">
        <f t="shared" ca="1" si="125"/>
        <v>1000.2757475083057</v>
      </c>
      <c r="BS98" s="136">
        <f t="shared" ca="1" si="126"/>
        <v>1468800.2757475083</v>
      </c>
      <c r="BT98" s="136">
        <f t="shared" ca="1" si="127"/>
        <v>313875.19847326755</v>
      </c>
      <c r="BU98" s="136">
        <f t="shared" ca="1" si="128"/>
        <v>1000.2757475083057</v>
      </c>
    </row>
    <row r="99" spans="1:73" x14ac:dyDescent="0.2">
      <c r="A99" s="87" t="str">
        <f>'Etape 2'!A96</f>
        <v/>
      </c>
      <c r="B99" s="87">
        <f>'Etape 2'!B96</f>
        <v>84</v>
      </c>
      <c r="C99" s="87">
        <f ca="1">'Etape 2'!C96</f>
        <v>217</v>
      </c>
      <c r="D99" s="87"/>
      <c r="E99" s="61">
        <f ca="1">RANK(BU99,BU$16:BU$315,0)+COUNTIF(BU$16:BU99,BU99)-1</f>
        <v>217</v>
      </c>
      <c r="F99" s="87" t="str">
        <f>'Etape 2'!D96</f>
        <v/>
      </c>
      <c r="G99" s="87" t="str">
        <f>'Etape 2'!E96</f>
        <v/>
      </c>
      <c r="H99" s="87" t="str">
        <f>'Etape 2'!F96</f>
        <v/>
      </c>
      <c r="I99" s="87" t="str">
        <f>'Etape 2'!G96</f>
        <v/>
      </c>
      <c r="J99" s="87" t="str">
        <f>'Etape 2'!H96</f>
        <v/>
      </c>
      <c r="K99" s="87" t="str">
        <f>'Etape 2'!I96</f>
        <v/>
      </c>
      <c r="L99" s="87">
        <f ca="1">'Etape 2'!J96</f>
        <v>999999</v>
      </c>
      <c r="M99" s="87">
        <f>'Etape 2'!K96</f>
        <v>999</v>
      </c>
      <c r="N99" s="87">
        <f ca="1">'Etape 2'!L96</f>
        <v>84</v>
      </c>
      <c r="O99" s="259">
        <f t="shared" si="102"/>
        <v>0.3</v>
      </c>
      <c r="P99" s="259">
        <f t="shared" si="103"/>
        <v>1.1000000000000001</v>
      </c>
      <c r="Q99" s="260">
        <f t="shared" si="104"/>
        <v>0</v>
      </c>
      <c r="R99" s="261">
        <f t="shared" si="143"/>
        <v>0</v>
      </c>
      <c r="S99" s="87">
        <f>IF(ISBLANK('Etape 2'!N96),0,VLOOKUP('Etape 2'!N96,Matrix_Uebersetzung,2,FALSE))</f>
        <v>0</v>
      </c>
      <c r="T99" s="87">
        <f>IF(ISBLANK('Etape 2'!O96),0,VLOOKUP('Etape 2'!O96,Matrix_Uebersetzung,2,FALSE))</f>
        <v>0</v>
      </c>
      <c r="U99" s="87">
        <f>IF(ISBLANK('Etape 2'!P96),0,VLOOKUP('Etape 2'!P96,Matrix_Uebersetzung,2,FALSE))</f>
        <v>0</v>
      </c>
      <c r="V99" s="87" t="str">
        <f>'Etape 2'!Q96</f>
        <v/>
      </c>
      <c r="W99" s="87">
        <f>'Etape 2'!R96</f>
        <v>0</v>
      </c>
      <c r="X99" s="87" t="str">
        <f>'Etape 2'!S96</f>
        <v/>
      </c>
      <c r="Y99" s="89" t="str">
        <f>'Etape 2'!T96</f>
        <v/>
      </c>
      <c r="Z99" s="87">
        <f>'Etape 2'!U96</f>
        <v>0</v>
      </c>
      <c r="AA99" s="87" t="str">
        <f>'Etape 2'!V96</f>
        <v/>
      </c>
      <c r="AB99" s="87">
        <f>IF(ISNUMBER('Etape 2'!W96),'Etape 2'!W96,0)</f>
        <v>0</v>
      </c>
      <c r="AC99" s="87">
        <f>IF(ISNUMBER('Etape 2'!X96),'Etape 2'!X96,0)</f>
        <v>0</v>
      </c>
      <c r="AD99" s="87">
        <f>IF(ISNUMBER('Etape 2'!Y96),'Etape 2'!Y96,0)</f>
        <v>0</v>
      </c>
      <c r="AE99" s="87">
        <f>IF(ISNUMBER('Etape 2'!Z96),'Etape 2'!Z96,0)</f>
        <v>0</v>
      </c>
      <c r="AF99" s="86">
        <f t="shared" si="129"/>
        <v>999</v>
      </c>
      <c r="AG99" s="288">
        <f t="shared" si="130"/>
        <v>0.25</v>
      </c>
      <c r="AH99" s="181" t="e">
        <f t="shared" si="105"/>
        <v>#VALUE!</v>
      </c>
      <c r="AI99" s="181" t="e">
        <f t="shared" si="131"/>
        <v>#VALUE!</v>
      </c>
      <c r="AJ99" s="86">
        <f t="shared" si="106"/>
        <v>200</v>
      </c>
      <c r="AK99" s="91" t="e">
        <f t="shared" si="107"/>
        <v>#N/A</v>
      </c>
      <c r="AL99" s="91" t="e">
        <f t="shared" si="108"/>
        <v>#N/A</v>
      </c>
      <c r="AM99" s="91">
        <f t="shared" si="109"/>
        <v>6</v>
      </c>
      <c r="AN99" s="91" t="e">
        <f t="shared" si="132"/>
        <v>#N/A</v>
      </c>
      <c r="AO99" s="91" t="e">
        <f t="shared" si="133"/>
        <v>#N/A</v>
      </c>
      <c r="AP99" s="21" t="e">
        <f t="shared" si="110"/>
        <v>#N/A</v>
      </c>
      <c r="AQ99" s="21" t="e">
        <f t="shared" si="111"/>
        <v>#N/A</v>
      </c>
      <c r="AR99" s="92" t="str">
        <f t="shared" si="134"/>
        <v/>
      </c>
      <c r="AS99" s="21" t="str">
        <f t="shared" si="135"/>
        <v/>
      </c>
      <c r="AT99" s="59" t="str">
        <f t="shared" si="112"/>
        <v/>
      </c>
      <c r="AU99" s="105">
        <f t="shared" si="113"/>
        <v>1</v>
      </c>
      <c r="AV99" s="105">
        <f t="shared" si="114"/>
        <v>1</v>
      </c>
      <c r="AW99" s="58">
        <f t="shared" si="142"/>
        <v>2</v>
      </c>
      <c r="AX99" s="58">
        <f t="shared" si="115"/>
        <v>3</v>
      </c>
      <c r="AY99" s="58" t="str">
        <f t="shared" si="116"/>
        <v>avec vannes</v>
      </c>
      <c r="AZ99" s="58" t="str">
        <f t="shared" si="117"/>
        <v>fermé</v>
      </c>
      <c r="BA99" s="60">
        <f t="shared" si="144"/>
        <v>0</v>
      </c>
      <c r="BB99" s="60">
        <f t="shared" si="144"/>
        <v>0</v>
      </c>
      <c r="BC99" s="60">
        <f t="shared" si="144"/>
        <v>0</v>
      </c>
      <c r="BD99" s="60">
        <f t="shared" si="144"/>
        <v>0</v>
      </c>
      <c r="BE99" s="286" t="str">
        <f t="shared" si="118"/>
        <v/>
      </c>
      <c r="BF99" s="58" t="str">
        <f t="shared" si="136"/>
        <v/>
      </c>
      <c r="BG99" s="59" t="str">
        <f t="shared" si="119"/>
        <v/>
      </c>
      <c r="BH99" s="158">
        <f t="shared" ca="1" si="120"/>
        <v>1</v>
      </c>
      <c r="BI99" s="60">
        <f t="shared" ca="1" si="121"/>
        <v>0.15</v>
      </c>
      <c r="BJ99" s="60">
        <f t="shared" si="122"/>
        <v>0.2</v>
      </c>
      <c r="BK99" s="60" t="str">
        <f t="shared" si="137"/>
        <v/>
      </c>
      <c r="BL99" s="21" t="str">
        <f t="shared" si="138"/>
        <v/>
      </c>
      <c r="BM99" s="264" t="str">
        <f t="shared" si="123"/>
        <v/>
      </c>
      <c r="BN99" s="60" t="str">
        <f t="shared" si="139"/>
        <v/>
      </c>
      <c r="BO99" s="136">
        <f t="shared" si="140"/>
        <v>0</v>
      </c>
      <c r="BP99" s="59">
        <f t="shared" si="141"/>
        <v>0</v>
      </c>
      <c r="BQ99" s="136">
        <f t="shared" ca="1" si="124"/>
        <v>1284</v>
      </c>
      <c r="BR99" s="136">
        <f t="shared" ca="1" si="125"/>
        <v>1000.2790697674419</v>
      </c>
      <c r="BS99" s="136">
        <f t="shared" ca="1" si="126"/>
        <v>1468800.2790697673</v>
      </c>
      <c r="BT99" s="136">
        <f t="shared" ca="1" si="127"/>
        <v>313875.20179552666</v>
      </c>
      <c r="BU99" s="136">
        <f t="shared" ca="1" si="128"/>
        <v>1000.2790697674419</v>
      </c>
    </row>
    <row r="100" spans="1:73" x14ac:dyDescent="0.2">
      <c r="A100" s="87" t="str">
        <f>'Etape 2'!A97</f>
        <v/>
      </c>
      <c r="B100" s="87">
        <f>'Etape 2'!B97</f>
        <v>85</v>
      </c>
      <c r="C100" s="87">
        <f ca="1">'Etape 2'!C97</f>
        <v>216</v>
      </c>
      <c r="D100" s="87"/>
      <c r="E100" s="61">
        <f ca="1">RANK(BU100,BU$16:BU$315,0)+COUNTIF(BU$16:BU100,BU100)-1</f>
        <v>216</v>
      </c>
      <c r="F100" s="87" t="str">
        <f>'Etape 2'!D97</f>
        <v/>
      </c>
      <c r="G100" s="87" t="str">
        <f>'Etape 2'!E97</f>
        <v/>
      </c>
      <c r="H100" s="87" t="str">
        <f>'Etape 2'!F97</f>
        <v/>
      </c>
      <c r="I100" s="87" t="str">
        <f>'Etape 2'!G97</f>
        <v/>
      </c>
      <c r="J100" s="87" t="str">
        <f>'Etape 2'!H97</f>
        <v/>
      </c>
      <c r="K100" s="87" t="str">
        <f>'Etape 2'!I97</f>
        <v/>
      </c>
      <c r="L100" s="87">
        <f ca="1">'Etape 2'!J97</f>
        <v>999999</v>
      </c>
      <c r="M100" s="87">
        <f>'Etape 2'!K97</f>
        <v>999</v>
      </c>
      <c r="N100" s="87">
        <f ca="1">'Etape 2'!L97</f>
        <v>85</v>
      </c>
      <c r="O100" s="259">
        <f t="shared" si="102"/>
        <v>0.3</v>
      </c>
      <c r="P100" s="259">
        <f t="shared" si="103"/>
        <v>1.1000000000000001</v>
      </c>
      <c r="Q100" s="260">
        <f t="shared" si="104"/>
        <v>0</v>
      </c>
      <c r="R100" s="261">
        <f t="shared" si="143"/>
        <v>0</v>
      </c>
      <c r="S100" s="87">
        <f>IF(ISBLANK('Etape 2'!N97),0,VLOOKUP('Etape 2'!N97,Matrix_Uebersetzung,2,FALSE))</f>
        <v>0</v>
      </c>
      <c r="T100" s="87">
        <f>IF(ISBLANK('Etape 2'!O97),0,VLOOKUP('Etape 2'!O97,Matrix_Uebersetzung,2,FALSE))</f>
        <v>0</v>
      </c>
      <c r="U100" s="87">
        <f>IF(ISBLANK('Etape 2'!P97),0,VLOOKUP('Etape 2'!P97,Matrix_Uebersetzung,2,FALSE))</f>
        <v>0</v>
      </c>
      <c r="V100" s="87" t="str">
        <f>'Etape 2'!Q97</f>
        <v/>
      </c>
      <c r="W100" s="87">
        <f>'Etape 2'!R97</f>
        <v>0</v>
      </c>
      <c r="X100" s="87" t="str">
        <f>'Etape 2'!S97</f>
        <v/>
      </c>
      <c r="Y100" s="89" t="str">
        <f>'Etape 2'!T97</f>
        <v/>
      </c>
      <c r="Z100" s="87">
        <f>'Etape 2'!U97</f>
        <v>0</v>
      </c>
      <c r="AA100" s="87" t="str">
        <f>'Etape 2'!V97</f>
        <v/>
      </c>
      <c r="AB100" s="87">
        <f>IF(ISNUMBER('Etape 2'!W97),'Etape 2'!W97,0)</f>
        <v>0</v>
      </c>
      <c r="AC100" s="87">
        <f>IF(ISNUMBER('Etape 2'!X97),'Etape 2'!X97,0)</f>
        <v>0</v>
      </c>
      <c r="AD100" s="87">
        <f>IF(ISNUMBER('Etape 2'!Y97),'Etape 2'!Y97,0)</f>
        <v>0</v>
      </c>
      <c r="AE100" s="87">
        <f>IF(ISNUMBER('Etape 2'!Z97),'Etape 2'!Z97,0)</f>
        <v>0</v>
      </c>
      <c r="AF100" s="86">
        <f t="shared" si="129"/>
        <v>999</v>
      </c>
      <c r="AG100" s="288">
        <f t="shared" si="130"/>
        <v>0.25</v>
      </c>
      <c r="AH100" s="181" t="e">
        <f t="shared" si="105"/>
        <v>#VALUE!</v>
      </c>
      <c r="AI100" s="181" t="e">
        <f t="shared" si="131"/>
        <v>#VALUE!</v>
      </c>
      <c r="AJ100" s="86">
        <f t="shared" si="106"/>
        <v>200</v>
      </c>
      <c r="AK100" s="91" t="e">
        <f t="shared" si="107"/>
        <v>#N/A</v>
      </c>
      <c r="AL100" s="91" t="e">
        <f t="shared" si="108"/>
        <v>#N/A</v>
      </c>
      <c r="AM100" s="91">
        <f t="shared" si="109"/>
        <v>6</v>
      </c>
      <c r="AN100" s="91" t="e">
        <f t="shared" si="132"/>
        <v>#N/A</v>
      </c>
      <c r="AO100" s="91" t="e">
        <f t="shared" si="133"/>
        <v>#N/A</v>
      </c>
      <c r="AP100" s="21" t="e">
        <f t="shared" si="110"/>
        <v>#N/A</v>
      </c>
      <c r="AQ100" s="21" t="e">
        <f t="shared" si="111"/>
        <v>#N/A</v>
      </c>
      <c r="AR100" s="92" t="str">
        <f t="shared" si="134"/>
        <v/>
      </c>
      <c r="AS100" s="21" t="str">
        <f t="shared" si="135"/>
        <v/>
      </c>
      <c r="AT100" s="59" t="str">
        <f t="shared" si="112"/>
        <v/>
      </c>
      <c r="AU100" s="105">
        <f t="shared" si="113"/>
        <v>1</v>
      </c>
      <c r="AV100" s="105">
        <f t="shared" si="114"/>
        <v>1</v>
      </c>
      <c r="AW100" s="58">
        <f t="shared" si="142"/>
        <v>2</v>
      </c>
      <c r="AX100" s="58">
        <f t="shared" si="115"/>
        <v>3</v>
      </c>
      <c r="AY100" s="58" t="str">
        <f t="shared" si="116"/>
        <v>avec vannes</v>
      </c>
      <c r="AZ100" s="58" t="str">
        <f t="shared" si="117"/>
        <v>fermé</v>
      </c>
      <c r="BA100" s="60">
        <f t="shared" si="144"/>
        <v>0</v>
      </c>
      <c r="BB100" s="60">
        <f t="shared" si="144"/>
        <v>0</v>
      </c>
      <c r="BC100" s="60">
        <f t="shared" si="144"/>
        <v>0</v>
      </c>
      <c r="BD100" s="60">
        <f t="shared" si="144"/>
        <v>0</v>
      </c>
      <c r="BE100" s="286" t="str">
        <f t="shared" si="118"/>
        <v/>
      </c>
      <c r="BF100" s="58" t="str">
        <f t="shared" si="136"/>
        <v/>
      </c>
      <c r="BG100" s="59" t="str">
        <f t="shared" si="119"/>
        <v/>
      </c>
      <c r="BH100" s="158">
        <f t="shared" ca="1" si="120"/>
        <v>1</v>
      </c>
      <c r="BI100" s="60">
        <f t="shared" ca="1" si="121"/>
        <v>0.15</v>
      </c>
      <c r="BJ100" s="60">
        <f t="shared" si="122"/>
        <v>0.2</v>
      </c>
      <c r="BK100" s="60" t="str">
        <f t="shared" si="137"/>
        <v/>
      </c>
      <c r="BL100" s="21" t="str">
        <f t="shared" si="138"/>
        <v/>
      </c>
      <c r="BM100" s="264" t="str">
        <f t="shared" si="123"/>
        <v/>
      </c>
      <c r="BN100" s="60" t="str">
        <f t="shared" si="139"/>
        <v/>
      </c>
      <c r="BO100" s="136">
        <f t="shared" si="140"/>
        <v>0</v>
      </c>
      <c r="BP100" s="59">
        <f t="shared" si="141"/>
        <v>0</v>
      </c>
      <c r="BQ100" s="136">
        <f t="shared" ca="1" si="124"/>
        <v>1285</v>
      </c>
      <c r="BR100" s="136">
        <f t="shared" ca="1" si="125"/>
        <v>1000.2823920265781</v>
      </c>
      <c r="BS100" s="136">
        <f t="shared" ca="1" si="126"/>
        <v>1468800.2823920266</v>
      </c>
      <c r="BT100" s="136">
        <f t="shared" ca="1" si="127"/>
        <v>313875.20511778578</v>
      </c>
      <c r="BU100" s="136">
        <f t="shared" ca="1" si="128"/>
        <v>1000.2823920265781</v>
      </c>
    </row>
    <row r="101" spans="1:73" x14ac:dyDescent="0.2">
      <c r="A101" s="87" t="str">
        <f>'Etape 2'!A98</f>
        <v/>
      </c>
      <c r="B101" s="87">
        <f>'Etape 2'!B98</f>
        <v>86</v>
      </c>
      <c r="C101" s="87">
        <f ca="1">'Etape 2'!C98</f>
        <v>215</v>
      </c>
      <c r="D101" s="87"/>
      <c r="E101" s="61">
        <f ca="1">RANK(BU101,BU$16:BU$315,0)+COUNTIF(BU$16:BU101,BU101)-1</f>
        <v>215</v>
      </c>
      <c r="F101" s="87" t="str">
        <f>'Etape 2'!D98</f>
        <v/>
      </c>
      <c r="G101" s="87" t="str">
        <f>'Etape 2'!E98</f>
        <v/>
      </c>
      <c r="H101" s="87" t="str">
        <f>'Etape 2'!F98</f>
        <v/>
      </c>
      <c r="I101" s="87" t="str">
        <f>'Etape 2'!G98</f>
        <v/>
      </c>
      <c r="J101" s="87" t="str">
        <f>'Etape 2'!H98</f>
        <v/>
      </c>
      <c r="K101" s="87" t="str">
        <f>'Etape 2'!I98</f>
        <v/>
      </c>
      <c r="L101" s="87">
        <f ca="1">'Etape 2'!J98</f>
        <v>999999</v>
      </c>
      <c r="M101" s="87">
        <f>'Etape 2'!K98</f>
        <v>999</v>
      </c>
      <c r="N101" s="87">
        <f ca="1">'Etape 2'!L98</f>
        <v>86</v>
      </c>
      <c r="O101" s="259">
        <f t="shared" si="102"/>
        <v>0.3</v>
      </c>
      <c r="P101" s="259">
        <f t="shared" si="103"/>
        <v>1.1000000000000001</v>
      </c>
      <c r="Q101" s="260">
        <f t="shared" si="104"/>
        <v>0</v>
      </c>
      <c r="R101" s="261">
        <f t="shared" si="143"/>
        <v>0</v>
      </c>
      <c r="S101" s="87">
        <f>IF(ISBLANK('Etape 2'!N98),0,VLOOKUP('Etape 2'!N98,Matrix_Uebersetzung,2,FALSE))</f>
        <v>0</v>
      </c>
      <c r="T101" s="87">
        <f>IF(ISBLANK('Etape 2'!O98),0,VLOOKUP('Etape 2'!O98,Matrix_Uebersetzung,2,FALSE))</f>
        <v>0</v>
      </c>
      <c r="U101" s="87">
        <f>IF(ISBLANK('Etape 2'!P98),0,VLOOKUP('Etape 2'!P98,Matrix_Uebersetzung,2,FALSE))</f>
        <v>0</v>
      </c>
      <c r="V101" s="87" t="str">
        <f>'Etape 2'!Q98</f>
        <v/>
      </c>
      <c r="W101" s="87">
        <f>'Etape 2'!R98</f>
        <v>0</v>
      </c>
      <c r="X101" s="87" t="str">
        <f>'Etape 2'!S98</f>
        <v/>
      </c>
      <c r="Y101" s="89" t="str">
        <f>'Etape 2'!T98</f>
        <v/>
      </c>
      <c r="Z101" s="87">
        <f>'Etape 2'!U98</f>
        <v>0</v>
      </c>
      <c r="AA101" s="87" t="str">
        <f>'Etape 2'!V98</f>
        <v/>
      </c>
      <c r="AB101" s="87">
        <f>IF(ISNUMBER('Etape 2'!W98),'Etape 2'!W98,0)</f>
        <v>0</v>
      </c>
      <c r="AC101" s="87">
        <f>IF(ISNUMBER('Etape 2'!X98),'Etape 2'!X98,0)</f>
        <v>0</v>
      </c>
      <c r="AD101" s="87">
        <f>IF(ISNUMBER('Etape 2'!Y98),'Etape 2'!Y98,0)</f>
        <v>0</v>
      </c>
      <c r="AE101" s="87">
        <f>IF(ISNUMBER('Etape 2'!Z98),'Etape 2'!Z98,0)</f>
        <v>0</v>
      </c>
      <c r="AF101" s="86">
        <f t="shared" si="129"/>
        <v>999</v>
      </c>
      <c r="AG101" s="288">
        <f t="shared" si="130"/>
        <v>0.25</v>
      </c>
      <c r="AH101" s="181" t="e">
        <f t="shared" si="105"/>
        <v>#VALUE!</v>
      </c>
      <c r="AI101" s="181" t="e">
        <f t="shared" si="131"/>
        <v>#VALUE!</v>
      </c>
      <c r="AJ101" s="86">
        <f t="shared" si="106"/>
        <v>200</v>
      </c>
      <c r="AK101" s="91" t="e">
        <f t="shared" si="107"/>
        <v>#N/A</v>
      </c>
      <c r="AL101" s="91" t="e">
        <f t="shared" si="108"/>
        <v>#N/A</v>
      </c>
      <c r="AM101" s="91">
        <f t="shared" si="109"/>
        <v>6</v>
      </c>
      <c r="AN101" s="91" t="e">
        <f t="shared" si="132"/>
        <v>#N/A</v>
      </c>
      <c r="AO101" s="91" t="e">
        <f t="shared" si="133"/>
        <v>#N/A</v>
      </c>
      <c r="AP101" s="21" t="e">
        <f t="shared" si="110"/>
        <v>#N/A</v>
      </c>
      <c r="AQ101" s="21" t="e">
        <f t="shared" si="111"/>
        <v>#N/A</v>
      </c>
      <c r="AR101" s="92" t="str">
        <f t="shared" si="134"/>
        <v/>
      </c>
      <c r="AS101" s="21" t="str">
        <f t="shared" si="135"/>
        <v/>
      </c>
      <c r="AT101" s="59" t="str">
        <f t="shared" si="112"/>
        <v/>
      </c>
      <c r="AU101" s="105">
        <f t="shared" si="113"/>
        <v>1</v>
      </c>
      <c r="AV101" s="105">
        <f t="shared" si="114"/>
        <v>1</v>
      </c>
      <c r="AW101" s="58">
        <f t="shared" si="142"/>
        <v>2</v>
      </c>
      <c r="AX101" s="58">
        <f t="shared" si="115"/>
        <v>3</v>
      </c>
      <c r="AY101" s="58" t="str">
        <f t="shared" si="116"/>
        <v>avec vannes</v>
      </c>
      <c r="AZ101" s="58" t="str">
        <f t="shared" si="117"/>
        <v>fermé</v>
      </c>
      <c r="BA101" s="60">
        <f t="shared" si="144"/>
        <v>0</v>
      </c>
      <c r="BB101" s="60">
        <f t="shared" si="144"/>
        <v>0</v>
      </c>
      <c r="BC101" s="60">
        <f t="shared" si="144"/>
        <v>0</v>
      </c>
      <c r="BD101" s="60">
        <f t="shared" si="144"/>
        <v>0</v>
      </c>
      <c r="BE101" s="286" t="str">
        <f t="shared" si="118"/>
        <v/>
      </c>
      <c r="BF101" s="58" t="str">
        <f t="shared" si="136"/>
        <v/>
      </c>
      <c r="BG101" s="59" t="str">
        <f t="shared" si="119"/>
        <v/>
      </c>
      <c r="BH101" s="158">
        <f t="shared" ca="1" si="120"/>
        <v>1</v>
      </c>
      <c r="BI101" s="60">
        <f t="shared" ca="1" si="121"/>
        <v>0.15</v>
      </c>
      <c r="BJ101" s="60">
        <f t="shared" si="122"/>
        <v>0.2</v>
      </c>
      <c r="BK101" s="60" t="str">
        <f t="shared" si="137"/>
        <v/>
      </c>
      <c r="BL101" s="21" t="str">
        <f t="shared" si="138"/>
        <v/>
      </c>
      <c r="BM101" s="264" t="str">
        <f t="shared" si="123"/>
        <v/>
      </c>
      <c r="BN101" s="60" t="str">
        <f t="shared" si="139"/>
        <v/>
      </c>
      <c r="BO101" s="136">
        <f t="shared" si="140"/>
        <v>0</v>
      </c>
      <c r="BP101" s="59">
        <f t="shared" si="141"/>
        <v>0</v>
      </c>
      <c r="BQ101" s="136">
        <f t="shared" ca="1" si="124"/>
        <v>1286</v>
      </c>
      <c r="BR101" s="136">
        <f t="shared" ca="1" si="125"/>
        <v>1000.2857142857143</v>
      </c>
      <c r="BS101" s="136">
        <f t="shared" ca="1" si="126"/>
        <v>1468800.2857142857</v>
      </c>
      <c r="BT101" s="136">
        <f t="shared" ca="1" si="127"/>
        <v>313875.20844004495</v>
      </c>
      <c r="BU101" s="136">
        <f t="shared" ca="1" si="128"/>
        <v>1000.2857142857143</v>
      </c>
    </row>
    <row r="102" spans="1:73" x14ac:dyDescent="0.2">
      <c r="A102" s="87" t="str">
        <f>'Etape 2'!A99</f>
        <v/>
      </c>
      <c r="B102" s="87">
        <f>'Etape 2'!B99</f>
        <v>87</v>
      </c>
      <c r="C102" s="87">
        <f ca="1">'Etape 2'!C99</f>
        <v>214</v>
      </c>
      <c r="D102" s="87"/>
      <c r="E102" s="61">
        <f ca="1">RANK(BU102,BU$16:BU$315,0)+COUNTIF(BU$16:BU102,BU102)-1</f>
        <v>214</v>
      </c>
      <c r="F102" s="87" t="str">
        <f>'Etape 2'!D99</f>
        <v/>
      </c>
      <c r="G102" s="87" t="str">
        <f>'Etape 2'!E99</f>
        <v/>
      </c>
      <c r="H102" s="87" t="str">
        <f>'Etape 2'!F99</f>
        <v/>
      </c>
      <c r="I102" s="87" t="str">
        <f>'Etape 2'!G99</f>
        <v/>
      </c>
      <c r="J102" s="87" t="str">
        <f>'Etape 2'!H99</f>
        <v/>
      </c>
      <c r="K102" s="87" t="str">
        <f>'Etape 2'!I99</f>
        <v/>
      </c>
      <c r="L102" s="87">
        <f ca="1">'Etape 2'!J99</f>
        <v>999999</v>
      </c>
      <c r="M102" s="87">
        <f>'Etape 2'!K99</f>
        <v>999</v>
      </c>
      <c r="N102" s="87">
        <f ca="1">'Etape 2'!L99</f>
        <v>87</v>
      </c>
      <c r="O102" s="259">
        <f t="shared" si="102"/>
        <v>0.3</v>
      </c>
      <c r="P102" s="259">
        <f t="shared" si="103"/>
        <v>1.1000000000000001</v>
      </c>
      <c r="Q102" s="260">
        <f t="shared" si="104"/>
        <v>0</v>
      </c>
      <c r="R102" s="261">
        <f t="shared" si="143"/>
        <v>0</v>
      </c>
      <c r="S102" s="87">
        <f>IF(ISBLANK('Etape 2'!N99),0,VLOOKUP('Etape 2'!N99,Matrix_Uebersetzung,2,FALSE))</f>
        <v>0</v>
      </c>
      <c r="T102" s="87">
        <f>IF(ISBLANK('Etape 2'!O99),0,VLOOKUP('Etape 2'!O99,Matrix_Uebersetzung,2,FALSE))</f>
        <v>0</v>
      </c>
      <c r="U102" s="87">
        <f>IF(ISBLANK('Etape 2'!P99),0,VLOOKUP('Etape 2'!P99,Matrix_Uebersetzung,2,FALSE))</f>
        <v>0</v>
      </c>
      <c r="V102" s="87" t="str">
        <f>'Etape 2'!Q99</f>
        <v/>
      </c>
      <c r="W102" s="87">
        <f>'Etape 2'!R99</f>
        <v>0</v>
      </c>
      <c r="X102" s="87" t="str">
        <f>'Etape 2'!S99</f>
        <v/>
      </c>
      <c r="Y102" s="89" t="str">
        <f>'Etape 2'!T99</f>
        <v/>
      </c>
      <c r="Z102" s="87">
        <f>'Etape 2'!U99</f>
        <v>0</v>
      </c>
      <c r="AA102" s="87" t="str">
        <f>'Etape 2'!V99</f>
        <v/>
      </c>
      <c r="AB102" s="87">
        <f>IF(ISNUMBER('Etape 2'!W99),'Etape 2'!W99,0)</f>
        <v>0</v>
      </c>
      <c r="AC102" s="87">
        <f>IF(ISNUMBER('Etape 2'!X99),'Etape 2'!X99,0)</f>
        <v>0</v>
      </c>
      <c r="AD102" s="87">
        <f>IF(ISNUMBER('Etape 2'!Y99),'Etape 2'!Y99,0)</f>
        <v>0</v>
      </c>
      <c r="AE102" s="87">
        <f>IF(ISNUMBER('Etape 2'!Z99),'Etape 2'!Z99,0)</f>
        <v>0</v>
      </c>
      <c r="AF102" s="86">
        <f t="shared" si="129"/>
        <v>999</v>
      </c>
      <c r="AG102" s="288">
        <f t="shared" si="130"/>
        <v>0.25</v>
      </c>
      <c r="AH102" s="181" t="e">
        <f t="shared" si="105"/>
        <v>#VALUE!</v>
      </c>
      <c r="AI102" s="181" t="e">
        <f t="shared" si="131"/>
        <v>#VALUE!</v>
      </c>
      <c r="AJ102" s="86">
        <f t="shared" si="106"/>
        <v>200</v>
      </c>
      <c r="AK102" s="91" t="e">
        <f t="shared" si="107"/>
        <v>#N/A</v>
      </c>
      <c r="AL102" s="91" t="e">
        <f t="shared" si="108"/>
        <v>#N/A</v>
      </c>
      <c r="AM102" s="91">
        <f t="shared" si="109"/>
        <v>6</v>
      </c>
      <c r="AN102" s="91" t="e">
        <f t="shared" si="132"/>
        <v>#N/A</v>
      </c>
      <c r="AO102" s="91" t="e">
        <f t="shared" si="133"/>
        <v>#N/A</v>
      </c>
      <c r="AP102" s="21" t="e">
        <f t="shared" si="110"/>
        <v>#N/A</v>
      </c>
      <c r="AQ102" s="21" t="e">
        <f t="shared" si="111"/>
        <v>#N/A</v>
      </c>
      <c r="AR102" s="92" t="str">
        <f t="shared" si="134"/>
        <v/>
      </c>
      <c r="AS102" s="21" t="str">
        <f t="shared" si="135"/>
        <v/>
      </c>
      <c r="AT102" s="59" t="str">
        <f t="shared" si="112"/>
        <v/>
      </c>
      <c r="AU102" s="105">
        <f t="shared" si="113"/>
        <v>1</v>
      </c>
      <c r="AV102" s="105">
        <f t="shared" si="114"/>
        <v>1</v>
      </c>
      <c r="AW102" s="58">
        <f t="shared" si="142"/>
        <v>2</v>
      </c>
      <c r="AX102" s="58">
        <f t="shared" si="115"/>
        <v>3</v>
      </c>
      <c r="AY102" s="58" t="str">
        <f t="shared" si="116"/>
        <v>avec vannes</v>
      </c>
      <c r="AZ102" s="58" t="str">
        <f t="shared" si="117"/>
        <v>fermé</v>
      </c>
      <c r="BA102" s="60">
        <f t="shared" si="144"/>
        <v>0</v>
      </c>
      <c r="BB102" s="60">
        <f t="shared" si="144"/>
        <v>0</v>
      </c>
      <c r="BC102" s="60">
        <f t="shared" si="144"/>
        <v>0</v>
      </c>
      <c r="BD102" s="60">
        <f t="shared" si="144"/>
        <v>0</v>
      </c>
      <c r="BE102" s="286" t="str">
        <f t="shared" si="118"/>
        <v/>
      </c>
      <c r="BF102" s="58" t="str">
        <f t="shared" si="136"/>
        <v/>
      </c>
      <c r="BG102" s="59" t="str">
        <f t="shared" si="119"/>
        <v/>
      </c>
      <c r="BH102" s="158">
        <f t="shared" ca="1" si="120"/>
        <v>1</v>
      </c>
      <c r="BI102" s="60">
        <f t="shared" ca="1" si="121"/>
        <v>0.15</v>
      </c>
      <c r="BJ102" s="60">
        <f t="shared" si="122"/>
        <v>0.2</v>
      </c>
      <c r="BK102" s="60" t="str">
        <f t="shared" si="137"/>
        <v/>
      </c>
      <c r="BL102" s="21" t="str">
        <f t="shared" si="138"/>
        <v/>
      </c>
      <c r="BM102" s="264" t="str">
        <f t="shared" si="123"/>
        <v/>
      </c>
      <c r="BN102" s="60" t="str">
        <f t="shared" si="139"/>
        <v/>
      </c>
      <c r="BO102" s="136">
        <f t="shared" si="140"/>
        <v>0</v>
      </c>
      <c r="BP102" s="59">
        <f t="shared" si="141"/>
        <v>0</v>
      </c>
      <c r="BQ102" s="136">
        <f t="shared" ca="1" si="124"/>
        <v>1287</v>
      </c>
      <c r="BR102" s="136">
        <f t="shared" ca="1" si="125"/>
        <v>1000.2890365448505</v>
      </c>
      <c r="BS102" s="136">
        <f t="shared" ca="1" si="126"/>
        <v>1468800.2890365447</v>
      </c>
      <c r="BT102" s="136">
        <f t="shared" ca="1" si="127"/>
        <v>313875.21176230407</v>
      </c>
      <c r="BU102" s="136">
        <f t="shared" ca="1" si="128"/>
        <v>1000.2890365448505</v>
      </c>
    </row>
    <row r="103" spans="1:73" x14ac:dyDescent="0.2">
      <c r="A103" s="87" t="str">
        <f>'Etape 2'!A100</f>
        <v/>
      </c>
      <c r="B103" s="87">
        <f>'Etape 2'!B100</f>
        <v>88</v>
      </c>
      <c r="C103" s="87">
        <f ca="1">'Etape 2'!C100</f>
        <v>213</v>
      </c>
      <c r="D103" s="87"/>
      <c r="E103" s="61">
        <f ca="1">RANK(BU103,BU$16:BU$315,0)+COUNTIF(BU$16:BU103,BU103)-1</f>
        <v>213</v>
      </c>
      <c r="F103" s="87" t="str">
        <f>'Etape 2'!D100</f>
        <v/>
      </c>
      <c r="G103" s="87" t="str">
        <f>'Etape 2'!E100</f>
        <v/>
      </c>
      <c r="H103" s="87" t="str">
        <f>'Etape 2'!F100</f>
        <v/>
      </c>
      <c r="I103" s="87" t="str">
        <f>'Etape 2'!G100</f>
        <v/>
      </c>
      <c r="J103" s="87" t="str">
        <f>'Etape 2'!H100</f>
        <v/>
      </c>
      <c r="K103" s="87" t="str">
        <f>'Etape 2'!I100</f>
        <v/>
      </c>
      <c r="L103" s="87">
        <f ca="1">'Etape 2'!J100</f>
        <v>999999</v>
      </c>
      <c r="M103" s="87">
        <f>'Etape 2'!K100</f>
        <v>999</v>
      </c>
      <c r="N103" s="87">
        <f ca="1">'Etape 2'!L100</f>
        <v>88</v>
      </c>
      <c r="O103" s="259">
        <f t="shared" si="102"/>
        <v>0.3</v>
      </c>
      <c r="P103" s="259">
        <f t="shared" si="103"/>
        <v>1.1000000000000001</v>
      </c>
      <c r="Q103" s="260">
        <f t="shared" si="104"/>
        <v>0</v>
      </c>
      <c r="R103" s="261">
        <f t="shared" si="143"/>
        <v>0</v>
      </c>
      <c r="S103" s="87">
        <f>IF(ISBLANK('Etape 2'!N100),0,VLOOKUP('Etape 2'!N100,Matrix_Uebersetzung,2,FALSE))</f>
        <v>0</v>
      </c>
      <c r="T103" s="87">
        <f>IF(ISBLANK('Etape 2'!O100),0,VLOOKUP('Etape 2'!O100,Matrix_Uebersetzung,2,FALSE))</f>
        <v>0</v>
      </c>
      <c r="U103" s="87">
        <f>IF(ISBLANK('Etape 2'!P100),0,VLOOKUP('Etape 2'!P100,Matrix_Uebersetzung,2,FALSE))</f>
        <v>0</v>
      </c>
      <c r="V103" s="87" t="str">
        <f>'Etape 2'!Q100</f>
        <v/>
      </c>
      <c r="W103" s="87">
        <f>'Etape 2'!R100</f>
        <v>0</v>
      </c>
      <c r="X103" s="87" t="str">
        <f>'Etape 2'!S100</f>
        <v/>
      </c>
      <c r="Y103" s="89" t="str">
        <f>'Etape 2'!T100</f>
        <v/>
      </c>
      <c r="Z103" s="87">
        <f>'Etape 2'!U100</f>
        <v>0</v>
      </c>
      <c r="AA103" s="87" t="str">
        <f>'Etape 2'!V100</f>
        <v/>
      </c>
      <c r="AB103" s="87">
        <f>IF(ISNUMBER('Etape 2'!W100),'Etape 2'!W100,0)</f>
        <v>0</v>
      </c>
      <c r="AC103" s="87">
        <f>IF(ISNUMBER('Etape 2'!X100),'Etape 2'!X100,0)</f>
        <v>0</v>
      </c>
      <c r="AD103" s="87">
        <f>IF(ISNUMBER('Etape 2'!Y100),'Etape 2'!Y100,0)</f>
        <v>0</v>
      </c>
      <c r="AE103" s="87">
        <f>IF(ISNUMBER('Etape 2'!Z100),'Etape 2'!Z100,0)</f>
        <v>0</v>
      </c>
      <c r="AF103" s="86">
        <f t="shared" si="129"/>
        <v>999</v>
      </c>
      <c r="AG103" s="288">
        <f t="shared" si="130"/>
        <v>0.25</v>
      </c>
      <c r="AH103" s="181" t="e">
        <f t="shared" si="105"/>
        <v>#VALUE!</v>
      </c>
      <c r="AI103" s="181" t="e">
        <f t="shared" si="131"/>
        <v>#VALUE!</v>
      </c>
      <c r="AJ103" s="86">
        <f t="shared" si="106"/>
        <v>200</v>
      </c>
      <c r="AK103" s="91" t="e">
        <f t="shared" si="107"/>
        <v>#N/A</v>
      </c>
      <c r="AL103" s="91" t="e">
        <f t="shared" si="108"/>
        <v>#N/A</v>
      </c>
      <c r="AM103" s="91">
        <f t="shared" si="109"/>
        <v>6</v>
      </c>
      <c r="AN103" s="91" t="e">
        <f t="shared" si="132"/>
        <v>#N/A</v>
      </c>
      <c r="AO103" s="91" t="e">
        <f t="shared" si="133"/>
        <v>#N/A</v>
      </c>
      <c r="AP103" s="21" t="e">
        <f t="shared" si="110"/>
        <v>#N/A</v>
      </c>
      <c r="AQ103" s="21" t="e">
        <f t="shared" si="111"/>
        <v>#N/A</v>
      </c>
      <c r="AR103" s="92" t="str">
        <f t="shared" si="134"/>
        <v/>
      </c>
      <c r="AS103" s="21" t="str">
        <f t="shared" si="135"/>
        <v/>
      </c>
      <c r="AT103" s="59" t="str">
        <f t="shared" si="112"/>
        <v/>
      </c>
      <c r="AU103" s="105">
        <f t="shared" si="113"/>
        <v>1</v>
      </c>
      <c r="AV103" s="105">
        <f t="shared" si="114"/>
        <v>1</v>
      </c>
      <c r="AW103" s="58">
        <f t="shared" si="142"/>
        <v>2</v>
      </c>
      <c r="AX103" s="58">
        <f t="shared" si="115"/>
        <v>3</v>
      </c>
      <c r="AY103" s="58" t="str">
        <f t="shared" si="116"/>
        <v>avec vannes</v>
      </c>
      <c r="AZ103" s="58" t="str">
        <f t="shared" si="117"/>
        <v>fermé</v>
      </c>
      <c r="BA103" s="60">
        <f t="shared" si="144"/>
        <v>0</v>
      </c>
      <c r="BB103" s="60">
        <f t="shared" si="144"/>
        <v>0</v>
      </c>
      <c r="BC103" s="60">
        <f t="shared" si="144"/>
        <v>0</v>
      </c>
      <c r="BD103" s="60">
        <f t="shared" si="144"/>
        <v>0</v>
      </c>
      <c r="BE103" s="286" t="str">
        <f t="shared" si="118"/>
        <v/>
      </c>
      <c r="BF103" s="58" t="str">
        <f t="shared" si="136"/>
        <v/>
      </c>
      <c r="BG103" s="59" t="str">
        <f t="shared" si="119"/>
        <v/>
      </c>
      <c r="BH103" s="158">
        <f t="shared" ca="1" si="120"/>
        <v>1</v>
      </c>
      <c r="BI103" s="60">
        <f t="shared" ca="1" si="121"/>
        <v>0.15</v>
      </c>
      <c r="BJ103" s="60">
        <f t="shared" si="122"/>
        <v>0.2</v>
      </c>
      <c r="BK103" s="60" t="str">
        <f t="shared" si="137"/>
        <v/>
      </c>
      <c r="BL103" s="21" t="str">
        <f t="shared" si="138"/>
        <v/>
      </c>
      <c r="BM103" s="264" t="str">
        <f t="shared" si="123"/>
        <v/>
      </c>
      <c r="BN103" s="60" t="str">
        <f t="shared" si="139"/>
        <v/>
      </c>
      <c r="BO103" s="136">
        <f t="shared" si="140"/>
        <v>0</v>
      </c>
      <c r="BP103" s="59">
        <f t="shared" si="141"/>
        <v>0</v>
      </c>
      <c r="BQ103" s="136">
        <f t="shared" ca="1" si="124"/>
        <v>1288</v>
      </c>
      <c r="BR103" s="136">
        <f t="shared" ca="1" si="125"/>
        <v>1000.2923588039868</v>
      </c>
      <c r="BS103" s="136">
        <f t="shared" ca="1" si="126"/>
        <v>1468800.292358804</v>
      </c>
      <c r="BT103" s="136">
        <f t="shared" ca="1" si="127"/>
        <v>313875.21508456318</v>
      </c>
      <c r="BU103" s="136">
        <f t="shared" ca="1" si="128"/>
        <v>1000.2923588039868</v>
      </c>
    </row>
    <row r="104" spans="1:73" x14ac:dyDescent="0.2">
      <c r="A104" s="87" t="str">
        <f>'Etape 2'!A101</f>
        <v/>
      </c>
      <c r="B104" s="87">
        <f>'Etape 2'!B101</f>
        <v>89</v>
      </c>
      <c r="C104" s="87">
        <f ca="1">'Etape 2'!C101</f>
        <v>212</v>
      </c>
      <c r="D104" s="87"/>
      <c r="E104" s="61">
        <f ca="1">RANK(BU104,BU$16:BU$315,0)+COUNTIF(BU$16:BU104,BU104)-1</f>
        <v>212</v>
      </c>
      <c r="F104" s="87" t="str">
        <f>'Etape 2'!D101</f>
        <v/>
      </c>
      <c r="G104" s="87" t="str">
        <f>'Etape 2'!E101</f>
        <v/>
      </c>
      <c r="H104" s="87" t="str">
        <f>'Etape 2'!F101</f>
        <v/>
      </c>
      <c r="I104" s="87" t="str">
        <f>'Etape 2'!G101</f>
        <v/>
      </c>
      <c r="J104" s="87" t="str">
        <f>'Etape 2'!H101</f>
        <v/>
      </c>
      <c r="K104" s="87" t="str">
        <f>'Etape 2'!I101</f>
        <v/>
      </c>
      <c r="L104" s="87">
        <f ca="1">'Etape 2'!J101</f>
        <v>999999</v>
      </c>
      <c r="M104" s="87">
        <f>'Etape 2'!K101</f>
        <v>999</v>
      </c>
      <c r="N104" s="87">
        <f ca="1">'Etape 2'!L101</f>
        <v>89</v>
      </c>
      <c r="O104" s="259">
        <f t="shared" si="102"/>
        <v>0.3</v>
      </c>
      <c r="P104" s="259">
        <f t="shared" si="103"/>
        <v>1.1000000000000001</v>
      </c>
      <c r="Q104" s="260">
        <f t="shared" si="104"/>
        <v>0</v>
      </c>
      <c r="R104" s="261">
        <f t="shared" si="143"/>
        <v>0</v>
      </c>
      <c r="S104" s="87">
        <f>IF(ISBLANK('Etape 2'!N101),0,VLOOKUP('Etape 2'!N101,Matrix_Uebersetzung,2,FALSE))</f>
        <v>0</v>
      </c>
      <c r="T104" s="87">
        <f>IF(ISBLANK('Etape 2'!O101),0,VLOOKUP('Etape 2'!O101,Matrix_Uebersetzung,2,FALSE))</f>
        <v>0</v>
      </c>
      <c r="U104" s="87">
        <f>IF(ISBLANK('Etape 2'!P101),0,VLOOKUP('Etape 2'!P101,Matrix_Uebersetzung,2,FALSE))</f>
        <v>0</v>
      </c>
      <c r="V104" s="87" t="str">
        <f>'Etape 2'!Q101</f>
        <v/>
      </c>
      <c r="W104" s="87">
        <f>'Etape 2'!R101</f>
        <v>0</v>
      </c>
      <c r="X104" s="87" t="str">
        <f>'Etape 2'!S101</f>
        <v/>
      </c>
      <c r="Y104" s="89" t="str">
        <f>'Etape 2'!T101</f>
        <v/>
      </c>
      <c r="Z104" s="87">
        <f>'Etape 2'!U101</f>
        <v>0</v>
      </c>
      <c r="AA104" s="87" t="str">
        <f>'Etape 2'!V101</f>
        <v/>
      </c>
      <c r="AB104" s="87">
        <f>IF(ISNUMBER('Etape 2'!W101),'Etape 2'!W101,0)</f>
        <v>0</v>
      </c>
      <c r="AC104" s="87">
        <f>IF(ISNUMBER('Etape 2'!X101),'Etape 2'!X101,0)</f>
        <v>0</v>
      </c>
      <c r="AD104" s="87">
        <f>IF(ISNUMBER('Etape 2'!Y101),'Etape 2'!Y101,0)</f>
        <v>0</v>
      </c>
      <c r="AE104" s="87">
        <f>IF(ISNUMBER('Etape 2'!Z101),'Etape 2'!Z101,0)</f>
        <v>0</v>
      </c>
      <c r="AF104" s="86">
        <f t="shared" si="129"/>
        <v>999</v>
      </c>
      <c r="AG104" s="288">
        <f t="shared" si="130"/>
        <v>0.25</v>
      </c>
      <c r="AH104" s="181" t="e">
        <f t="shared" si="105"/>
        <v>#VALUE!</v>
      </c>
      <c r="AI104" s="181" t="e">
        <f t="shared" si="131"/>
        <v>#VALUE!</v>
      </c>
      <c r="AJ104" s="86">
        <f t="shared" si="106"/>
        <v>200</v>
      </c>
      <c r="AK104" s="91" t="e">
        <f t="shared" si="107"/>
        <v>#N/A</v>
      </c>
      <c r="AL104" s="91" t="e">
        <f t="shared" si="108"/>
        <v>#N/A</v>
      </c>
      <c r="AM104" s="91">
        <f t="shared" si="109"/>
        <v>6</v>
      </c>
      <c r="AN104" s="91" t="e">
        <f t="shared" si="132"/>
        <v>#N/A</v>
      </c>
      <c r="AO104" s="91" t="e">
        <f t="shared" si="133"/>
        <v>#N/A</v>
      </c>
      <c r="AP104" s="21" t="e">
        <f t="shared" si="110"/>
        <v>#N/A</v>
      </c>
      <c r="AQ104" s="21" t="e">
        <f t="shared" si="111"/>
        <v>#N/A</v>
      </c>
      <c r="AR104" s="92" t="str">
        <f t="shared" si="134"/>
        <v/>
      </c>
      <c r="AS104" s="21" t="str">
        <f t="shared" si="135"/>
        <v/>
      </c>
      <c r="AT104" s="59" t="str">
        <f t="shared" si="112"/>
        <v/>
      </c>
      <c r="AU104" s="105">
        <f t="shared" si="113"/>
        <v>1</v>
      </c>
      <c r="AV104" s="105">
        <f t="shared" si="114"/>
        <v>1</v>
      </c>
      <c r="AW104" s="58">
        <f t="shared" si="142"/>
        <v>2</v>
      </c>
      <c r="AX104" s="58">
        <f t="shared" si="115"/>
        <v>3</v>
      </c>
      <c r="AY104" s="58" t="str">
        <f t="shared" si="116"/>
        <v>avec vannes</v>
      </c>
      <c r="AZ104" s="58" t="str">
        <f t="shared" si="117"/>
        <v>fermé</v>
      </c>
      <c r="BA104" s="60">
        <f t="shared" si="144"/>
        <v>0</v>
      </c>
      <c r="BB104" s="60">
        <f t="shared" si="144"/>
        <v>0</v>
      </c>
      <c r="BC104" s="60">
        <f t="shared" si="144"/>
        <v>0</v>
      </c>
      <c r="BD104" s="60">
        <f t="shared" si="144"/>
        <v>0</v>
      </c>
      <c r="BE104" s="286" t="str">
        <f t="shared" si="118"/>
        <v/>
      </c>
      <c r="BF104" s="58" t="str">
        <f t="shared" si="136"/>
        <v/>
      </c>
      <c r="BG104" s="59" t="str">
        <f t="shared" si="119"/>
        <v/>
      </c>
      <c r="BH104" s="158">
        <f t="shared" ca="1" si="120"/>
        <v>1</v>
      </c>
      <c r="BI104" s="60">
        <f t="shared" ca="1" si="121"/>
        <v>0.15</v>
      </c>
      <c r="BJ104" s="60">
        <f t="shared" si="122"/>
        <v>0.2</v>
      </c>
      <c r="BK104" s="60" t="str">
        <f t="shared" si="137"/>
        <v/>
      </c>
      <c r="BL104" s="21" t="str">
        <f t="shared" si="138"/>
        <v/>
      </c>
      <c r="BM104" s="264" t="str">
        <f t="shared" si="123"/>
        <v/>
      </c>
      <c r="BN104" s="60" t="str">
        <f t="shared" si="139"/>
        <v/>
      </c>
      <c r="BO104" s="136">
        <f t="shared" si="140"/>
        <v>0</v>
      </c>
      <c r="BP104" s="59">
        <f t="shared" si="141"/>
        <v>0</v>
      </c>
      <c r="BQ104" s="136">
        <f t="shared" ca="1" si="124"/>
        <v>1289</v>
      </c>
      <c r="BR104" s="136">
        <f t="shared" ca="1" si="125"/>
        <v>1000.295681063123</v>
      </c>
      <c r="BS104" s="136">
        <f t="shared" ca="1" si="126"/>
        <v>1468800.2956810631</v>
      </c>
      <c r="BT104" s="136">
        <f t="shared" ca="1" si="127"/>
        <v>313875.21840682236</v>
      </c>
      <c r="BU104" s="136">
        <f t="shared" ca="1" si="128"/>
        <v>1000.295681063123</v>
      </c>
    </row>
    <row r="105" spans="1:73" x14ac:dyDescent="0.2">
      <c r="A105" s="87" t="str">
        <f>'Etape 2'!A102</f>
        <v/>
      </c>
      <c r="B105" s="87">
        <f>'Etape 2'!B102</f>
        <v>90</v>
      </c>
      <c r="C105" s="87">
        <f ca="1">'Etape 2'!C102</f>
        <v>211</v>
      </c>
      <c r="D105" s="87"/>
      <c r="E105" s="61">
        <f ca="1">RANK(BU105,BU$16:BU$315,0)+COUNTIF(BU$16:BU105,BU105)-1</f>
        <v>211</v>
      </c>
      <c r="F105" s="87" t="str">
        <f>'Etape 2'!D102</f>
        <v/>
      </c>
      <c r="G105" s="87" t="str">
        <f>'Etape 2'!E102</f>
        <v/>
      </c>
      <c r="H105" s="87" t="str">
        <f>'Etape 2'!F102</f>
        <v/>
      </c>
      <c r="I105" s="87" t="str">
        <f>'Etape 2'!G102</f>
        <v/>
      </c>
      <c r="J105" s="87" t="str">
        <f>'Etape 2'!H102</f>
        <v/>
      </c>
      <c r="K105" s="87" t="str">
        <f>'Etape 2'!I102</f>
        <v/>
      </c>
      <c r="L105" s="87">
        <f ca="1">'Etape 2'!J102</f>
        <v>999999</v>
      </c>
      <c r="M105" s="87">
        <f>'Etape 2'!K102</f>
        <v>999</v>
      </c>
      <c r="N105" s="87">
        <f ca="1">'Etape 2'!L102</f>
        <v>90</v>
      </c>
      <c r="O105" s="259">
        <f t="shared" si="102"/>
        <v>0.3</v>
      </c>
      <c r="P105" s="259">
        <f t="shared" si="103"/>
        <v>1.1000000000000001</v>
      </c>
      <c r="Q105" s="260">
        <f t="shared" si="104"/>
        <v>0</v>
      </c>
      <c r="R105" s="261">
        <f t="shared" si="143"/>
        <v>0</v>
      </c>
      <c r="S105" s="87">
        <f>IF(ISBLANK('Etape 2'!N102),0,VLOOKUP('Etape 2'!N102,Matrix_Uebersetzung,2,FALSE))</f>
        <v>0</v>
      </c>
      <c r="T105" s="87">
        <f>IF(ISBLANK('Etape 2'!O102),0,VLOOKUP('Etape 2'!O102,Matrix_Uebersetzung,2,FALSE))</f>
        <v>0</v>
      </c>
      <c r="U105" s="87">
        <f>IF(ISBLANK('Etape 2'!P102),0,VLOOKUP('Etape 2'!P102,Matrix_Uebersetzung,2,FALSE))</f>
        <v>0</v>
      </c>
      <c r="V105" s="87" t="str">
        <f>'Etape 2'!Q102</f>
        <v/>
      </c>
      <c r="W105" s="87">
        <f>'Etape 2'!R102</f>
        <v>0</v>
      </c>
      <c r="X105" s="87" t="str">
        <f>'Etape 2'!S102</f>
        <v/>
      </c>
      <c r="Y105" s="89" t="str">
        <f>'Etape 2'!T102</f>
        <v/>
      </c>
      <c r="Z105" s="87">
        <f>'Etape 2'!U102</f>
        <v>0</v>
      </c>
      <c r="AA105" s="87" t="str">
        <f>'Etape 2'!V102</f>
        <v/>
      </c>
      <c r="AB105" s="87">
        <f>IF(ISNUMBER('Etape 2'!W102),'Etape 2'!W102,0)</f>
        <v>0</v>
      </c>
      <c r="AC105" s="87">
        <f>IF(ISNUMBER('Etape 2'!X102),'Etape 2'!X102,0)</f>
        <v>0</v>
      </c>
      <c r="AD105" s="87">
        <f>IF(ISNUMBER('Etape 2'!Y102),'Etape 2'!Y102,0)</f>
        <v>0</v>
      </c>
      <c r="AE105" s="87">
        <f>IF(ISNUMBER('Etape 2'!Z102),'Etape 2'!Z102,0)</f>
        <v>0</v>
      </c>
      <c r="AF105" s="86">
        <f t="shared" si="129"/>
        <v>999</v>
      </c>
      <c r="AG105" s="288">
        <f t="shared" si="130"/>
        <v>0.25</v>
      </c>
      <c r="AH105" s="181" t="e">
        <f t="shared" si="105"/>
        <v>#VALUE!</v>
      </c>
      <c r="AI105" s="181" t="e">
        <f t="shared" si="131"/>
        <v>#VALUE!</v>
      </c>
      <c r="AJ105" s="86">
        <f t="shared" si="106"/>
        <v>200</v>
      </c>
      <c r="AK105" s="91" t="e">
        <f t="shared" si="107"/>
        <v>#N/A</v>
      </c>
      <c r="AL105" s="91" t="e">
        <f t="shared" si="108"/>
        <v>#N/A</v>
      </c>
      <c r="AM105" s="91">
        <f t="shared" si="109"/>
        <v>6</v>
      </c>
      <c r="AN105" s="91" t="e">
        <f t="shared" si="132"/>
        <v>#N/A</v>
      </c>
      <c r="AO105" s="91" t="e">
        <f t="shared" si="133"/>
        <v>#N/A</v>
      </c>
      <c r="AP105" s="21" t="e">
        <f t="shared" si="110"/>
        <v>#N/A</v>
      </c>
      <c r="AQ105" s="21" t="e">
        <f t="shared" si="111"/>
        <v>#N/A</v>
      </c>
      <c r="AR105" s="92" t="str">
        <f t="shared" si="134"/>
        <v/>
      </c>
      <c r="AS105" s="21" t="str">
        <f t="shared" si="135"/>
        <v/>
      </c>
      <c r="AT105" s="59" t="str">
        <f t="shared" si="112"/>
        <v/>
      </c>
      <c r="AU105" s="105">
        <f t="shared" si="113"/>
        <v>1</v>
      </c>
      <c r="AV105" s="105">
        <f t="shared" si="114"/>
        <v>1</v>
      </c>
      <c r="AW105" s="58">
        <f t="shared" si="142"/>
        <v>2</v>
      </c>
      <c r="AX105" s="58">
        <f t="shared" si="115"/>
        <v>3</v>
      </c>
      <c r="AY105" s="58" t="str">
        <f t="shared" si="116"/>
        <v>avec vannes</v>
      </c>
      <c r="AZ105" s="58" t="str">
        <f t="shared" si="117"/>
        <v>fermé</v>
      </c>
      <c r="BA105" s="60">
        <f t="shared" si="144"/>
        <v>0</v>
      </c>
      <c r="BB105" s="60">
        <f t="shared" si="144"/>
        <v>0</v>
      </c>
      <c r="BC105" s="60">
        <f t="shared" si="144"/>
        <v>0</v>
      </c>
      <c r="BD105" s="60">
        <f t="shared" si="144"/>
        <v>0</v>
      </c>
      <c r="BE105" s="286" t="str">
        <f t="shared" si="118"/>
        <v/>
      </c>
      <c r="BF105" s="58" t="str">
        <f t="shared" si="136"/>
        <v/>
      </c>
      <c r="BG105" s="59" t="str">
        <f t="shared" si="119"/>
        <v/>
      </c>
      <c r="BH105" s="158">
        <f t="shared" ca="1" si="120"/>
        <v>1</v>
      </c>
      <c r="BI105" s="60">
        <f t="shared" ca="1" si="121"/>
        <v>0.15</v>
      </c>
      <c r="BJ105" s="60">
        <f t="shared" si="122"/>
        <v>0.2</v>
      </c>
      <c r="BK105" s="60" t="str">
        <f t="shared" si="137"/>
        <v/>
      </c>
      <c r="BL105" s="21" t="str">
        <f t="shared" si="138"/>
        <v/>
      </c>
      <c r="BM105" s="264" t="str">
        <f t="shared" si="123"/>
        <v/>
      </c>
      <c r="BN105" s="60" t="str">
        <f t="shared" si="139"/>
        <v/>
      </c>
      <c r="BO105" s="136">
        <f t="shared" si="140"/>
        <v>0</v>
      </c>
      <c r="BP105" s="59">
        <f t="shared" si="141"/>
        <v>0</v>
      </c>
      <c r="BQ105" s="136">
        <f t="shared" ca="1" si="124"/>
        <v>1290</v>
      </c>
      <c r="BR105" s="136">
        <f t="shared" ca="1" si="125"/>
        <v>1000.2990033222592</v>
      </c>
      <c r="BS105" s="136">
        <f t="shared" ca="1" si="126"/>
        <v>1468800.2990033221</v>
      </c>
      <c r="BT105" s="136">
        <f t="shared" ca="1" si="127"/>
        <v>313875.22172908147</v>
      </c>
      <c r="BU105" s="136">
        <f t="shared" ca="1" si="128"/>
        <v>1000.2990033222592</v>
      </c>
    </row>
    <row r="106" spans="1:73" x14ac:dyDescent="0.2">
      <c r="A106" s="87" t="str">
        <f>'Etape 2'!A103</f>
        <v/>
      </c>
      <c r="B106" s="87">
        <f>'Etape 2'!B103</f>
        <v>91</v>
      </c>
      <c r="C106" s="87">
        <f ca="1">'Etape 2'!C103</f>
        <v>210</v>
      </c>
      <c r="D106" s="87"/>
      <c r="E106" s="61">
        <f ca="1">RANK(BU106,BU$16:BU$315,0)+COUNTIF(BU$16:BU106,BU106)-1</f>
        <v>210</v>
      </c>
      <c r="F106" s="87" t="str">
        <f>'Etape 2'!D103</f>
        <v/>
      </c>
      <c r="G106" s="87" t="str">
        <f>'Etape 2'!E103</f>
        <v/>
      </c>
      <c r="H106" s="87" t="str">
        <f>'Etape 2'!F103</f>
        <v/>
      </c>
      <c r="I106" s="87" t="str">
        <f>'Etape 2'!G103</f>
        <v/>
      </c>
      <c r="J106" s="87" t="str">
        <f>'Etape 2'!H103</f>
        <v/>
      </c>
      <c r="K106" s="87" t="str">
        <f>'Etape 2'!I103</f>
        <v/>
      </c>
      <c r="L106" s="87">
        <f ca="1">'Etape 2'!J103</f>
        <v>999999</v>
      </c>
      <c r="M106" s="87">
        <f>'Etape 2'!K103</f>
        <v>999</v>
      </c>
      <c r="N106" s="87">
        <f ca="1">'Etape 2'!L103</f>
        <v>91</v>
      </c>
      <c r="O106" s="259">
        <f t="shared" si="102"/>
        <v>0.3</v>
      </c>
      <c r="P106" s="259">
        <f t="shared" si="103"/>
        <v>1.1000000000000001</v>
      </c>
      <c r="Q106" s="260">
        <f t="shared" si="104"/>
        <v>0</v>
      </c>
      <c r="R106" s="261">
        <f t="shared" si="143"/>
        <v>0</v>
      </c>
      <c r="S106" s="87">
        <f>IF(ISBLANK('Etape 2'!N103),0,VLOOKUP('Etape 2'!N103,Matrix_Uebersetzung,2,FALSE))</f>
        <v>0</v>
      </c>
      <c r="T106" s="87">
        <f>IF(ISBLANK('Etape 2'!O103),0,VLOOKUP('Etape 2'!O103,Matrix_Uebersetzung,2,FALSE))</f>
        <v>0</v>
      </c>
      <c r="U106" s="87">
        <f>IF(ISBLANK('Etape 2'!P103),0,VLOOKUP('Etape 2'!P103,Matrix_Uebersetzung,2,FALSE))</f>
        <v>0</v>
      </c>
      <c r="V106" s="87" t="str">
        <f>'Etape 2'!Q103</f>
        <v/>
      </c>
      <c r="W106" s="87">
        <f>'Etape 2'!R103</f>
        <v>0</v>
      </c>
      <c r="X106" s="87" t="str">
        <f>'Etape 2'!S103</f>
        <v/>
      </c>
      <c r="Y106" s="89" t="str">
        <f>'Etape 2'!T103</f>
        <v/>
      </c>
      <c r="Z106" s="87">
        <f>'Etape 2'!U103</f>
        <v>0</v>
      </c>
      <c r="AA106" s="87" t="str">
        <f>'Etape 2'!V103</f>
        <v/>
      </c>
      <c r="AB106" s="87">
        <f>IF(ISNUMBER('Etape 2'!W103),'Etape 2'!W103,0)</f>
        <v>0</v>
      </c>
      <c r="AC106" s="87">
        <f>IF(ISNUMBER('Etape 2'!X103),'Etape 2'!X103,0)</f>
        <v>0</v>
      </c>
      <c r="AD106" s="87">
        <f>IF(ISNUMBER('Etape 2'!Y103),'Etape 2'!Y103,0)</f>
        <v>0</v>
      </c>
      <c r="AE106" s="87">
        <f>IF(ISNUMBER('Etape 2'!Z103),'Etape 2'!Z103,0)</f>
        <v>0</v>
      </c>
      <c r="AF106" s="86">
        <f t="shared" si="129"/>
        <v>999</v>
      </c>
      <c r="AG106" s="288">
        <f t="shared" si="130"/>
        <v>0.25</v>
      </c>
      <c r="AH106" s="181" t="e">
        <f t="shared" si="105"/>
        <v>#VALUE!</v>
      </c>
      <c r="AI106" s="181" t="e">
        <f t="shared" si="131"/>
        <v>#VALUE!</v>
      </c>
      <c r="AJ106" s="86">
        <f t="shared" si="106"/>
        <v>200</v>
      </c>
      <c r="AK106" s="91" t="e">
        <f t="shared" si="107"/>
        <v>#N/A</v>
      </c>
      <c r="AL106" s="91" t="e">
        <f t="shared" si="108"/>
        <v>#N/A</v>
      </c>
      <c r="AM106" s="91">
        <f t="shared" si="109"/>
        <v>6</v>
      </c>
      <c r="AN106" s="91" t="e">
        <f t="shared" si="132"/>
        <v>#N/A</v>
      </c>
      <c r="AO106" s="91" t="e">
        <f t="shared" si="133"/>
        <v>#N/A</v>
      </c>
      <c r="AP106" s="21" t="e">
        <f t="shared" si="110"/>
        <v>#N/A</v>
      </c>
      <c r="AQ106" s="21" t="e">
        <f t="shared" si="111"/>
        <v>#N/A</v>
      </c>
      <c r="AR106" s="92" t="str">
        <f t="shared" si="134"/>
        <v/>
      </c>
      <c r="AS106" s="21" t="str">
        <f t="shared" si="135"/>
        <v/>
      </c>
      <c r="AT106" s="59" t="str">
        <f t="shared" si="112"/>
        <v/>
      </c>
      <c r="AU106" s="105">
        <f t="shared" si="113"/>
        <v>1</v>
      </c>
      <c r="AV106" s="105">
        <f t="shared" si="114"/>
        <v>1</v>
      </c>
      <c r="AW106" s="58">
        <f t="shared" si="142"/>
        <v>2</v>
      </c>
      <c r="AX106" s="58">
        <f t="shared" si="115"/>
        <v>3</v>
      </c>
      <c r="AY106" s="58" t="str">
        <f t="shared" si="116"/>
        <v>avec vannes</v>
      </c>
      <c r="AZ106" s="58" t="str">
        <f t="shared" si="117"/>
        <v>fermé</v>
      </c>
      <c r="BA106" s="60">
        <f t="shared" si="144"/>
        <v>0</v>
      </c>
      <c r="BB106" s="60">
        <f t="shared" si="144"/>
        <v>0</v>
      </c>
      <c r="BC106" s="60">
        <f t="shared" si="144"/>
        <v>0</v>
      </c>
      <c r="BD106" s="60">
        <f t="shared" si="144"/>
        <v>0</v>
      </c>
      <c r="BE106" s="286" t="str">
        <f t="shared" si="118"/>
        <v/>
      </c>
      <c r="BF106" s="58" t="str">
        <f t="shared" si="136"/>
        <v/>
      </c>
      <c r="BG106" s="59" t="str">
        <f t="shared" si="119"/>
        <v/>
      </c>
      <c r="BH106" s="158">
        <f t="shared" ca="1" si="120"/>
        <v>1</v>
      </c>
      <c r="BI106" s="60">
        <f t="shared" ca="1" si="121"/>
        <v>0.15</v>
      </c>
      <c r="BJ106" s="60">
        <f t="shared" si="122"/>
        <v>0.2</v>
      </c>
      <c r="BK106" s="60" t="str">
        <f t="shared" si="137"/>
        <v/>
      </c>
      <c r="BL106" s="21" t="str">
        <f t="shared" si="138"/>
        <v/>
      </c>
      <c r="BM106" s="264" t="str">
        <f t="shared" si="123"/>
        <v/>
      </c>
      <c r="BN106" s="60" t="str">
        <f t="shared" si="139"/>
        <v/>
      </c>
      <c r="BO106" s="136">
        <f t="shared" si="140"/>
        <v>0</v>
      </c>
      <c r="BP106" s="59">
        <f t="shared" si="141"/>
        <v>0</v>
      </c>
      <c r="BQ106" s="136">
        <f t="shared" ca="1" si="124"/>
        <v>1291</v>
      </c>
      <c r="BR106" s="136">
        <f t="shared" ca="1" si="125"/>
        <v>1000.3023255813954</v>
      </c>
      <c r="BS106" s="136">
        <f t="shared" ca="1" si="126"/>
        <v>1468800.3023255814</v>
      </c>
      <c r="BT106" s="136">
        <f t="shared" ca="1" si="127"/>
        <v>313875.22505134059</v>
      </c>
      <c r="BU106" s="136">
        <f t="shared" ca="1" si="128"/>
        <v>1000.3023255813954</v>
      </c>
    </row>
    <row r="107" spans="1:73" x14ac:dyDescent="0.2">
      <c r="A107" s="87" t="str">
        <f>'Etape 2'!A104</f>
        <v/>
      </c>
      <c r="B107" s="87">
        <f>'Etape 2'!B104</f>
        <v>92</v>
      </c>
      <c r="C107" s="87">
        <f ca="1">'Etape 2'!C104</f>
        <v>209</v>
      </c>
      <c r="D107" s="87"/>
      <c r="E107" s="61">
        <f ca="1">RANK(BU107,BU$16:BU$315,0)+COUNTIF(BU$16:BU107,BU107)-1</f>
        <v>209</v>
      </c>
      <c r="F107" s="87" t="str">
        <f>'Etape 2'!D104</f>
        <v/>
      </c>
      <c r="G107" s="87" t="str">
        <f>'Etape 2'!E104</f>
        <v/>
      </c>
      <c r="H107" s="87" t="str">
        <f>'Etape 2'!F104</f>
        <v/>
      </c>
      <c r="I107" s="87" t="str">
        <f>'Etape 2'!G104</f>
        <v/>
      </c>
      <c r="J107" s="87" t="str">
        <f>'Etape 2'!H104</f>
        <v/>
      </c>
      <c r="K107" s="87" t="str">
        <f>'Etape 2'!I104</f>
        <v/>
      </c>
      <c r="L107" s="87">
        <f ca="1">'Etape 2'!J104</f>
        <v>999999</v>
      </c>
      <c r="M107" s="87">
        <f>'Etape 2'!K104</f>
        <v>999</v>
      </c>
      <c r="N107" s="87">
        <f ca="1">'Etape 2'!L104</f>
        <v>92</v>
      </c>
      <c r="O107" s="259">
        <f t="shared" si="102"/>
        <v>0.3</v>
      </c>
      <c r="P107" s="259">
        <f t="shared" si="103"/>
        <v>1.1000000000000001</v>
      </c>
      <c r="Q107" s="260">
        <f t="shared" si="104"/>
        <v>0</v>
      </c>
      <c r="R107" s="261">
        <f t="shared" si="143"/>
        <v>0</v>
      </c>
      <c r="S107" s="87">
        <f>IF(ISBLANK('Etape 2'!N104),0,VLOOKUP('Etape 2'!N104,Matrix_Uebersetzung,2,FALSE))</f>
        <v>0</v>
      </c>
      <c r="T107" s="87">
        <f>IF(ISBLANK('Etape 2'!O104),0,VLOOKUP('Etape 2'!O104,Matrix_Uebersetzung,2,FALSE))</f>
        <v>0</v>
      </c>
      <c r="U107" s="87">
        <f>IF(ISBLANK('Etape 2'!P104),0,VLOOKUP('Etape 2'!P104,Matrix_Uebersetzung,2,FALSE))</f>
        <v>0</v>
      </c>
      <c r="V107" s="87" t="str">
        <f>'Etape 2'!Q104</f>
        <v/>
      </c>
      <c r="W107" s="87">
        <f>'Etape 2'!R104</f>
        <v>0</v>
      </c>
      <c r="X107" s="87" t="str">
        <f>'Etape 2'!S104</f>
        <v/>
      </c>
      <c r="Y107" s="89" t="str">
        <f>'Etape 2'!T104</f>
        <v/>
      </c>
      <c r="Z107" s="87">
        <f>'Etape 2'!U104</f>
        <v>0</v>
      </c>
      <c r="AA107" s="87" t="str">
        <f>'Etape 2'!V104</f>
        <v/>
      </c>
      <c r="AB107" s="87">
        <f>IF(ISNUMBER('Etape 2'!W104),'Etape 2'!W104,0)</f>
        <v>0</v>
      </c>
      <c r="AC107" s="87">
        <f>IF(ISNUMBER('Etape 2'!X104),'Etape 2'!X104,0)</f>
        <v>0</v>
      </c>
      <c r="AD107" s="87">
        <f>IF(ISNUMBER('Etape 2'!Y104),'Etape 2'!Y104,0)</f>
        <v>0</v>
      </c>
      <c r="AE107" s="87">
        <f>IF(ISNUMBER('Etape 2'!Z104),'Etape 2'!Z104,0)</f>
        <v>0</v>
      </c>
      <c r="AF107" s="86">
        <f t="shared" si="129"/>
        <v>999</v>
      </c>
      <c r="AG107" s="288">
        <f t="shared" si="130"/>
        <v>0.25</v>
      </c>
      <c r="AH107" s="181" t="e">
        <f t="shared" si="105"/>
        <v>#VALUE!</v>
      </c>
      <c r="AI107" s="181" t="e">
        <f t="shared" si="131"/>
        <v>#VALUE!</v>
      </c>
      <c r="AJ107" s="86">
        <f t="shared" si="106"/>
        <v>200</v>
      </c>
      <c r="AK107" s="91" t="e">
        <f t="shared" si="107"/>
        <v>#N/A</v>
      </c>
      <c r="AL107" s="91" t="e">
        <f t="shared" si="108"/>
        <v>#N/A</v>
      </c>
      <c r="AM107" s="91">
        <f t="shared" si="109"/>
        <v>6</v>
      </c>
      <c r="AN107" s="91" t="e">
        <f t="shared" si="132"/>
        <v>#N/A</v>
      </c>
      <c r="AO107" s="91" t="e">
        <f t="shared" si="133"/>
        <v>#N/A</v>
      </c>
      <c r="AP107" s="21" t="e">
        <f t="shared" si="110"/>
        <v>#N/A</v>
      </c>
      <c r="AQ107" s="21" t="e">
        <f t="shared" si="111"/>
        <v>#N/A</v>
      </c>
      <c r="AR107" s="92" t="str">
        <f t="shared" si="134"/>
        <v/>
      </c>
      <c r="AS107" s="21" t="str">
        <f t="shared" si="135"/>
        <v/>
      </c>
      <c r="AT107" s="59" t="str">
        <f t="shared" si="112"/>
        <v/>
      </c>
      <c r="AU107" s="105">
        <f t="shared" si="113"/>
        <v>1</v>
      </c>
      <c r="AV107" s="105">
        <f t="shared" si="114"/>
        <v>1</v>
      </c>
      <c r="AW107" s="58">
        <f t="shared" si="142"/>
        <v>2</v>
      </c>
      <c r="AX107" s="58">
        <f t="shared" si="115"/>
        <v>3</v>
      </c>
      <c r="AY107" s="58" t="str">
        <f t="shared" si="116"/>
        <v>avec vannes</v>
      </c>
      <c r="AZ107" s="58" t="str">
        <f t="shared" si="117"/>
        <v>fermé</v>
      </c>
      <c r="BA107" s="60">
        <f t="shared" si="144"/>
        <v>0</v>
      </c>
      <c r="BB107" s="60">
        <f t="shared" si="144"/>
        <v>0</v>
      </c>
      <c r="BC107" s="60">
        <f t="shared" si="144"/>
        <v>0</v>
      </c>
      <c r="BD107" s="60">
        <f t="shared" si="144"/>
        <v>0</v>
      </c>
      <c r="BE107" s="286" t="str">
        <f t="shared" si="118"/>
        <v/>
      </c>
      <c r="BF107" s="58" t="str">
        <f t="shared" si="136"/>
        <v/>
      </c>
      <c r="BG107" s="59" t="str">
        <f t="shared" si="119"/>
        <v/>
      </c>
      <c r="BH107" s="158">
        <f t="shared" ca="1" si="120"/>
        <v>1</v>
      </c>
      <c r="BI107" s="60">
        <f t="shared" ca="1" si="121"/>
        <v>0.15</v>
      </c>
      <c r="BJ107" s="60">
        <f t="shared" si="122"/>
        <v>0.2</v>
      </c>
      <c r="BK107" s="60" t="str">
        <f t="shared" si="137"/>
        <v/>
      </c>
      <c r="BL107" s="21" t="str">
        <f t="shared" si="138"/>
        <v/>
      </c>
      <c r="BM107" s="264" t="str">
        <f t="shared" si="123"/>
        <v/>
      </c>
      <c r="BN107" s="60" t="str">
        <f t="shared" si="139"/>
        <v/>
      </c>
      <c r="BO107" s="136">
        <f t="shared" si="140"/>
        <v>0</v>
      </c>
      <c r="BP107" s="59">
        <f t="shared" si="141"/>
        <v>0</v>
      </c>
      <c r="BQ107" s="136">
        <f t="shared" ca="1" si="124"/>
        <v>1292</v>
      </c>
      <c r="BR107" s="136">
        <f t="shared" ca="1" si="125"/>
        <v>1000.3056478405316</v>
      </c>
      <c r="BS107" s="136">
        <f t="shared" ca="1" si="126"/>
        <v>1468800.3056478405</v>
      </c>
      <c r="BT107" s="136">
        <f t="shared" ca="1" si="127"/>
        <v>313875.22837359976</v>
      </c>
      <c r="BU107" s="136">
        <f t="shared" ca="1" si="128"/>
        <v>1000.3056478405316</v>
      </c>
    </row>
    <row r="108" spans="1:73" x14ac:dyDescent="0.2">
      <c r="A108" s="87" t="str">
        <f>'Etape 2'!A105</f>
        <v/>
      </c>
      <c r="B108" s="87">
        <f>'Etape 2'!B105</f>
        <v>93</v>
      </c>
      <c r="C108" s="87">
        <f ca="1">'Etape 2'!C105</f>
        <v>208</v>
      </c>
      <c r="D108" s="87"/>
      <c r="E108" s="61">
        <f ca="1">RANK(BU108,BU$16:BU$315,0)+COUNTIF(BU$16:BU108,BU108)-1</f>
        <v>208</v>
      </c>
      <c r="F108" s="87" t="str">
        <f>'Etape 2'!D105</f>
        <v/>
      </c>
      <c r="G108" s="87" t="str">
        <f>'Etape 2'!E105</f>
        <v/>
      </c>
      <c r="H108" s="87" t="str">
        <f>'Etape 2'!F105</f>
        <v/>
      </c>
      <c r="I108" s="87" t="str">
        <f>'Etape 2'!G105</f>
        <v/>
      </c>
      <c r="J108" s="87" t="str">
        <f>'Etape 2'!H105</f>
        <v/>
      </c>
      <c r="K108" s="87" t="str">
        <f>'Etape 2'!I105</f>
        <v/>
      </c>
      <c r="L108" s="87">
        <f ca="1">'Etape 2'!J105</f>
        <v>999999</v>
      </c>
      <c r="M108" s="87">
        <f>'Etape 2'!K105</f>
        <v>999</v>
      </c>
      <c r="N108" s="87">
        <f ca="1">'Etape 2'!L105</f>
        <v>93</v>
      </c>
      <c r="O108" s="259">
        <f t="shared" si="102"/>
        <v>0.3</v>
      </c>
      <c r="P108" s="259">
        <f t="shared" si="103"/>
        <v>1.1000000000000001</v>
      </c>
      <c r="Q108" s="260">
        <f t="shared" si="104"/>
        <v>0</v>
      </c>
      <c r="R108" s="261">
        <f t="shared" si="143"/>
        <v>0</v>
      </c>
      <c r="S108" s="87">
        <f>IF(ISBLANK('Etape 2'!N105),0,VLOOKUP('Etape 2'!N105,Matrix_Uebersetzung,2,FALSE))</f>
        <v>0</v>
      </c>
      <c r="T108" s="87">
        <f>IF(ISBLANK('Etape 2'!O105),0,VLOOKUP('Etape 2'!O105,Matrix_Uebersetzung,2,FALSE))</f>
        <v>0</v>
      </c>
      <c r="U108" s="87">
        <f>IF(ISBLANK('Etape 2'!P105),0,VLOOKUP('Etape 2'!P105,Matrix_Uebersetzung,2,FALSE))</f>
        <v>0</v>
      </c>
      <c r="V108" s="87" t="str">
        <f>'Etape 2'!Q105</f>
        <v/>
      </c>
      <c r="W108" s="87">
        <f>'Etape 2'!R105</f>
        <v>0</v>
      </c>
      <c r="X108" s="87" t="str">
        <f>'Etape 2'!S105</f>
        <v/>
      </c>
      <c r="Y108" s="89" t="str">
        <f>'Etape 2'!T105</f>
        <v/>
      </c>
      <c r="Z108" s="87">
        <f>'Etape 2'!U105</f>
        <v>0</v>
      </c>
      <c r="AA108" s="87" t="str">
        <f>'Etape 2'!V105</f>
        <v/>
      </c>
      <c r="AB108" s="87">
        <f>IF(ISNUMBER('Etape 2'!W105),'Etape 2'!W105,0)</f>
        <v>0</v>
      </c>
      <c r="AC108" s="87">
        <f>IF(ISNUMBER('Etape 2'!X105),'Etape 2'!X105,0)</f>
        <v>0</v>
      </c>
      <c r="AD108" s="87">
        <f>IF(ISNUMBER('Etape 2'!Y105),'Etape 2'!Y105,0)</f>
        <v>0</v>
      </c>
      <c r="AE108" s="87">
        <f>IF(ISNUMBER('Etape 2'!Z105),'Etape 2'!Z105,0)</f>
        <v>0</v>
      </c>
      <c r="AF108" s="86">
        <f t="shared" si="129"/>
        <v>999</v>
      </c>
      <c r="AG108" s="288">
        <f t="shared" si="130"/>
        <v>0.25</v>
      </c>
      <c r="AH108" s="181" t="e">
        <f t="shared" si="105"/>
        <v>#VALUE!</v>
      </c>
      <c r="AI108" s="181" t="e">
        <f t="shared" si="131"/>
        <v>#VALUE!</v>
      </c>
      <c r="AJ108" s="86">
        <f t="shared" si="106"/>
        <v>200</v>
      </c>
      <c r="AK108" s="91" t="e">
        <f t="shared" si="107"/>
        <v>#N/A</v>
      </c>
      <c r="AL108" s="91" t="e">
        <f t="shared" si="108"/>
        <v>#N/A</v>
      </c>
      <c r="AM108" s="91">
        <f t="shared" si="109"/>
        <v>6</v>
      </c>
      <c r="AN108" s="91" t="e">
        <f t="shared" si="132"/>
        <v>#N/A</v>
      </c>
      <c r="AO108" s="91" t="e">
        <f t="shared" si="133"/>
        <v>#N/A</v>
      </c>
      <c r="AP108" s="21" t="e">
        <f t="shared" si="110"/>
        <v>#N/A</v>
      </c>
      <c r="AQ108" s="21" t="e">
        <f t="shared" si="111"/>
        <v>#N/A</v>
      </c>
      <c r="AR108" s="92" t="str">
        <f t="shared" si="134"/>
        <v/>
      </c>
      <c r="AS108" s="21" t="str">
        <f t="shared" si="135"/>
        <v/>
      </c>
      <c r="AT108" s="59" t="str">
        <f t="shared" si="112"/>
        <v/>
      </c>
      <c r="AU108" s="105">
        <f t="shared" si="113"/>
        <v>1</v>
      </c>
      <c r="AV108" s="105">
        <f t="shared" si="114"/>
        <v>1</v>
      </c>
      <c r="AW108" s="58">
        <f t="shared" si="142"/>
        <v>2</v>
      </c>
      <c r="AX108" s="58">
        <f t="shared" si="115"/>
        <v>3</v>
      </c>
      <c r="AY108" s="58" t="str">
        <f t="shared" si="116"/>
        <v>avec vannes</v>
      </c>
      <c r="AZ108" s="58" t="str">
        <f t="shared" si="117"/>
        <v>fermé</v>
      </c>
      <c r="BA108" s="60">
        <f t="shared" si="144"/>
        <v>0</v>
      </c>
      <c r="BB108" s="60">
        <f t="shared" si="144"/>
        <v>0</v>
      </c>
      <c r="BC108" s="60">
        <f t="shared" si="144"/>
        <v>0</v>
      </c>
      <c r="BD108" s="60">
        <f t="shared" si="144"/>
        <v>0</v>
      </c>
      <c r="BE108" s="286" t="str">
        <f t="shared" si="118"/>
        <v/>
      </c>
      <c r="BF108" s="58" t="str">
        <f t="shared" si="136"/>
        <v/>
      </c>
      <c r="BG108" s="59" t="str">
        <f t="shared" si="119"/>
        <v/>
      </c>
      <c r="BH108" s="158">
        <f t="shared" ca="1" si="120"/>
        <v>1</v>
      </c>
      <c r="BI108" s="60">
        <f t="shared" ca="1" si="121"/>
        <v>0.15</v>
      </c>
      <c r="BJ108" s="60">
        <f t="shared" si="122"/>
        <v>0.2</v>
      </c>
      <c r="BK108" s="60" t="str">
        <f t="shared" si="137"/>
        <v/>
      </c>
      <c r="BL108" s="21" t="str">
        <f t="shared" si="138"/>
        <v/>
      </c>
      <c r="BM108" s="264" t="str">
        <f t="shared" si="123"/>
        <v/>
      </c>
      <c r="BN108" s="60" t="str">
        <f t="shared" si="139"/>
        <v/>
      </c>
      <c r="BO108" s="136">
        <f t="shared" si="140"/>
        <v>0</v>
      </c>
      <c r="BP108" s="59">
        <f t="shared" si="141"/>
        <v>0</v>
      </c>
      <c r="BQ108" s="136">
        <f t="shared" ca="1" si="124"/>
        <v>1293</v>
      </c>
      <c r="BR108" s="136">
        <f t="shared" ca="1" si="125"/>
        <v>1000.3089700996678</v>
      </c>
      <c r="BS108" s="136">
        <f t="shared" ca="1" si="126"/>
        <v>1468800.3089700998</v>
      </c>
      <c r="BT108" s="136">
        <f t="shared" ca="1" si="127"/>
        <v>313875.23169585888</v>
      </c>
      <c r="BU108" s="136">
        <f t="shared" ca="1" si="128"/>
        <v>1000.3089700996678</v>
      </c>
    </row>
    <row r="109" spans="1:73" x14ac:dyDescent="0.2">
      <c r="A109" s="87" t="str">
        <f>'Etape 2'!A106</f>
        <v/>
      </c>
      <c r="B109" s="87">
        <f>'Etape 2'!B106</f>
        <v>94</v>
      </c>
      <c r="C109" s="87">
        <f ca="1">'Etape 2'!C106</f>
        <v>207</v>
      </c>
      <c r="D109" s="87"/>
      <c r="E109" s="61">
        <f ca="1">RANK(BU109,BU$16:BU$315,0)+COUNTIF(BU$16:BU109,BU109)-1</f>
        <v>207</v>
      </c>
      <c r="F109" s="87" t="str">
        <f>'Etape 2'!D106</f>
        <v/>
      </c>
      <c r="G109" s="87" t="str">
        <f>'Etape 2'!E106</f>
        <v/>
      </c>
      <c r="H109" s="87" t="str">
        <f>'Etape 2'!F106</f>
        <v/>
      </c>
      <c r="I109" s="87" t="str">
        <f>'Etape 2'!G106</f>
        <v/>
      </c>
      <c r="J109" s="87" t="str">
        <f>'Etape 2'!H106</f>
        <v/>
      </c>
      <c r="K109" s="87" t="str">
        <f>'Etape 2'!I106</f>
        <v/>
      </c>
      <c r="L109" s="87">
        <f ca="1">'Etape 2'!J106</f>
        <v>999999</v>
      </c>
      <c r="M109" s="87">
        <f>'Etape 2'!K106</f>
        <v>999</v>
      </c>
      <c r="N109" s="87">
        <f ca="1">'Etape 2'!L106</f>
        <v>94</v>
      </c>
      <c r="O109" s="259">
        <f t="shared" si="102"/>
        <v>0.3</v>
      </c>
      <c r="P109" s="259">
        <f t="shared" si="103"/>
        <v>1.1000000000000001</v>
      </c>
      <c r="Q109" s="260">
        <f t="shared" si="104"/>
        <v>0</v>
      </c>
      <c r="R109" s="261">
        <f t="shared" si="143"/>
        <v>0</v>
      </c>
      <c r="S109" s="87">
        <f>IF(ISBLANK('Etape 2'!N106),0,VLOOKUP('Etape 2'!N106,Matrix_Uebersetzung,2,FALSE))</f>
        <v>0</v>
      </c>
      <c r="T109" s="87">
        <f>IF(ISBLANK('Etape 2'!O106),0,VLOOKUP('Etape 2'!O106,Matrix_Uebersetzung,2,FALSE))</f>
        <v>0</v>
      </c>
      <c r="U109" s="87">
        <f>IF(ISBLANK('Etape 2'!P106),0,VLOOKUP('Etape 2'!P106,Matrix_Uebersetzung,2,FALSE))</f>
        <v>0</v>
      </c>
      <c r="V109" s="87" t="str">
        <f>'Etape 2'!Q106</f>
        <v/>
      </c>
      <c r="W109" s="87">
        <f>'Etape 2'!R106</f>
        <v>0</v>
      </c>
      <c r="X109" s="87" t="str">
        <f>'Etape 2'!S106</f>
        <v/>
      </c>
      <c r="Y109" s="89" t="str">
        <f>'Etape 2'!T106</f>
        <v/>
      </c>
      <c r="Z109" s="87">
        <f>'Etape 2'!U106</f>
        <v>0</v>
      </c>
      <c r="AA109" s="87" t="str">
        <f>'Etape 2'!V106</f>
        <v/>
      </c>
      <c r="AB109" s="87">
        <f>IF(ISNUMBER('Etape 2'!W106),'Etape 2'!W106,0)</f>
        <v>0</v>
      </c>
      <c r="AC109" s="87">
        <f>IF(ISNUMBER('Etape 2'!X106),'Etape 2'!X106,0)</f>
        <v>0</v>
      </c>
      <c r="AD109" s="87">
        <f>IF(ISNUMBER('Etape 2'!Y106),'Etape 2'!Y106,0)</f>
        <v>0</v>
      </c>
      <c r="AE109" s="87">
        <f>IF(ISNUMBER('Etape 2'!Z106),'Etape 2'!Z106,0)</f>
        <v>0</v>
      </c>
      <c r="AF109" s="86">
        <f t="shared" si="129"/>
        <v>999</v>
      </c>
      <c r="AG109" s="288">
        <f t="shared" si="130"/>
        <v>0.25</v>
      </c>
      <c r="AH109" s="181" t="e">
        <f t="shared" si="105"/>
        <v>#VALUE!</v>
      </c>
      <c r="AI109" s="181" t="e">
        <f t="shared" si="131"/>
        <v>#VALUE!</v>
      </c>
      <c r="AJ109" s="86">
        <f t="shared" si="106"/>
        <v>200</v>
      </c>
      <c r="AK109" s="91" t="e">
        <f t="shared" si="107"/>
        <v>#N/A</v>
      </c>
      <c r="AL109" s="91" t="e">
        <f t="shared" si="108"/>
        <v>#N/A</v>
      </c>
      <c r="AM109" s="91">
        <f t="shared" si="109"/>
        <v>6</v>
      </c>
      <c r="AN109" s="91" t="e">
        <f t="shared" si="132"/>
        <v>#N/A</v>
      </c>
      <c r="AO109" s="91" t="e">
        <f t="shared" si="133"/>
        <v>#N/A</v>
      </c>
      <c r="AP109" s="21" t="e">
        <f t="shared" si="110"/>
        <v>#N/A</v>
      </c>
      <c r="AQ109" s="21" t="e">
        <f t="shared" si="111"/>
        <v>#N/A</v>
      </c>
      <c r="AR109" s="92" t="str">
        <f t="shared" si="134"/>
        <v/>
      </c>
      <c r="AS109" s="21" t="str">
        <f t="shared" si="135"/>
        <v/>
      </c>
      <c r="AT109" s="59" t="str">
        <f t="shared" si="112"/>
        <v/>
      </c>
      <c r="AU109" s="105">
        <f t="shared" si="113"/>
        <v>1</v>
      </c>
      <c r="AV109" s="105">
        <f t="shared" si="114"/>
        <v>1</v>
      </c>
      <c r="AW109" s="58">
        <f t="shared" si="142"/>
        <v>2</v>
      </c>
      <c r="AX109" s="58">
        <f t="shared" si="115"/>
        <v>3</v>
      </c>
      <c r="AY109" s="58" t="str">
        <f t="shared" si="116"/>
        <v>avec vannes</v>
      </c>
      <c r="AZ109" s="58" t="str">
        <f t="shared" si="117"/>
        <v>fermé</v>
      </c>
      <c r="BA109" s="60">
        <f t="shared" si="144"/>
        <v>0</v>
      </c>
      <c r="BB109" s="60">
        <f t="shared" si="144"/>
        <v>0</v>
      </c>
      <c r="BC109" s="60">
        <f t="shared" si="144"/>
        <v>0</v>
      </c>
      <c r="BD109" s="60">
        <f t="shared" si="144"/>
        <v>0</v>
      </c>
      <c r="BE109" s="286" t="str">
        <f t="shared" si="118"/>
        <v/>
      </c>
      <c r="BF109" s="58" t="str">
        <f t="shared" si="136"/>
        <v/>
      </c>
      <c r="BG109" s="59" t="str">
        <f t="shared" si="119"/>
        <v/>
      </c>
      <c r="BH109" s="158">
        <f t="shared" ca="1" si="120"/>
        <v>1</v>
      </c>
      <c r="BI109" s="60">
        <f t="shared" ca="1" si="121"/>
        <v>0.15</v>
      </c>
      <c r="BJ109" s="60">
        <f t="shared" si="122"/>
        <v>0.2</v>
      </c>
      <c r="BK109" s="60" t="str">
        <f t="shared" si="137"/>
        <v/>
      </c>
      <c r="BL109" s="21" t="str">
        <f t="shared" si="138"/>
        <v/>
      </c>
      <c r="BM109" s="264" t="str">
        <f t="shared" si="123"/>
        <v/>
      </c>
      <c r="BN109" s="60" t="str">
        <f t="shared" si="139"/>
        <v/>
      </c>
      <c r="BO109" s="136">
        <f t="shared" si="140"/>
        <v>0</v>
      </c>
      <c r="BP109" s="59">
        <f t="shared" si="141"/>
        <v>0</v>
      </c>
      <c r="BQ109" s="136">
        <f t="shared" ca="1" si="124"/>
        <v>1294</v>
      </c>
      <c r="BR109" s="136">
        <f t="shared" ca="1" si="125"/>
        <v>1000.312292358804</v>
      </c>
      <c r="BS109" s="136">
        <f t="shared" ca="1" si="126"/>
        <v>1468800.3122923588</v>
      </c>
      <c r="BT109" s="136">
        <f t="shared" ca="1" si="127"/>
        <v>313875.23501811799</v>
      </c>
      <c r="BU109" s="136">
        <f t="shared" ca="1" si="128"/>
        <v>1000.312292358804</v>
      </c>
    </row>
    <row r="110" spans="1:73" x14ac:dyDescent="0.2">
      <c r="A110" s="87" t="str">
        <f>'Etape 2'!A107</f>
        <v/>
      </c>
      <c r="B110" s="87">
        <f>'Etape 2'!B107</f>
        <v>95</v>
      </c>
      <c r="C110" s="87">
        <f ca="1">'Etape 2'!C107</f>
        <v>206</v>
      </c>
      <c r="D110" s="87"/>
      <c r="E110" s="61">
        <f ca="1">RANK(BU110,BU$16:BU$315,0)+COUNTIF(BU$16:BU110,BU110)-1</f>
        <v>206</v>
      </c>
      <c r="F110" s="87" t="str">
        <f>'Etape 2'!D107</f>
        <v/>
      </c>
      <c r="G110" s="87" t="str">
        <f>'Etape 2'!E107</f>
        <v/>
      </c>
      <c r="H110" s="87" t="str">
        <f>'Etape 2'!F107</f>
        <v/>
      </c>
      <c r="I110" s="87" t="str">
        <f>'Etape 2'!G107</f>
        <v/>
      </c>
      <c r="J110" s="87" t="str">
        <f>'Etape 2'!H107</f>
        <v/>
      </c>
      <c r="K110" s="87" t="str">
        <f>'Etape 2'!I107</f>
        <v/>
      </c>
      <c r="L110" s="87">
        <f ca="1">'Etape 2'!J107</f>
        <v>999999</v>
      </c>
      <c r="M110" s="87">
        <f>'Etape 2'!K107</f>
        <v>999</v>
      </c>
      <c r="N110" s="87">
        <f ca="1">'Etape 2'!L107</f>
        <v>95</v>
      </c>
      <c r="O110" s="259">
        <f t="shared" si="102"/>
        <v>0.3</v>
      </c>
      <c r="P110" s="259">
        <f t="shared" si="103"/>
        <v>1.1000000000000001</v>
      </c>
      <c r="Q110" s="260">
        <f t="shared" si="104"/>
        <v>0</v>
      </c>
      <c r="R110" s="261">
        <f t="shared" si="143"/>
        <v>0</v>
      </c>
      <c r="S110" s="87">
        <f>IF(ISBLANK('Etape 2'!N107),0,VLOOKUP('Etape 2'!N107,Matrix_Uebersetzung,2,FALSE))</f>
        <v>0</v>
      </c>
      <c r="T110" s="87">
        <f>IF(ISBLANK('Etape 2'!O107),0,VLOOKUP('Etape 2'!O107,Matrix_Uebersetzung,2,FALSE))</f>
        <v>0</v>
      </c>
      <c r="U110" s="87">
        <f>IF(ISBLANK('Etape 2'!P107),0,VLOOKUP('Etape 2'!P107,Matrix_Uebersetzung,2,FALSE))</f>
        <v>0</v>
      </c>
      <c r="V110" s="87" t="str">
        <f>'Etape 2'!Q107</f>
        <v/>
      </c>
      <c r="W110" s="87">
        <f>'Etape 2'!R107</f>
        <v>0</v>
      </c>
      <c r="X110" s="87" t="str">
        <f>'Etape 2'!S107</f>
        <v/>
      </c>
      <c r="Y110" s="89" t="str">
        <f>'Etape 2'!T107</f>
        <v/>
      </c>
      <c r="Z110" s="87">
        <f>'Etape 2'!U107</f>
        <v>0</v>
      </c>
      <c r="AA110" s="87" t="str">
        <f>'Etape 2'!V107</f>
        <v/>
      </c>
      <c r="AB110" s="87">
        <f>IF(ISNUMBER('Etape 2'!W107),'Etape 2'!W107,0)</f>
        <v>0</v>
      </c>
      <c r="AC110" s="87">
        <f>IF(ISNUMBER('Etape 2'!X107),'Etape 2'!X107,0)</f>
        <v>0</v>
      </c>
      <c r="AD110" s="87">
        <f>IF(ISNUMBER('Etape 2'!Y107),'Etape 2'!Y107,0)</f>
        <v>0</v>
      </c>
      <c r="AE110" s="87">
        <f>IF(ISNUMBER('Etape 2'!Z107),'Etape 2'!Z107,0)</f>
        <v>0</v>
      </c>
      <c r="AF110" s="86">
        <f t="shared" si="129"/>
        <v>999</v>
      </c>
      <c r="AG110" s="288">
        <f t="shared" si="130"/>
        <v>0.25</v>
      </c>
      <c r="AH110" s="181" t="e">
        <f t="shared" si="105"/>
        <v>#VALUE!</v>
      </c>
      <c r="AI110" s="181" t="e">
        <f t="shared" si="131"/>
        <v>#VALUE!</v>
      </c>
      <c r="AJ110" s="86">
        <f t="shared" si="106"/>
        <v>200</v>
      </c>
      <c r="AK110" s="91" t="e">
        <f t="shared" si="107"/>
        <v>#N/A</v>
      </c>
      <c r="AL110" s="91" t="e">
        <f t="shared" si="108"/>
        <v>#N/A</v>
      </c>
      <c r="AM110" s="91">
        <f t="shared" si="109"/>
        <v>6</v>
      </c>
      <c r="AN110" s="91" t="e">
        <f t="shared" si="132"/>
        <v>#N/A</v>
      </c>
      <c r="AO110" s="91" t="e">
        <f t="shared" si="133"/>
        <v>#N/A</v>
      </c>
      <c r="AP110" s="21" t="e">
        <f t="shared" si="110"/>
        <v>#N/A</v>
      </c>
      <c r="AQ110" s="21" t="e">
        <f t="shared" si="111"/>
        <v>#N/A</v>
      </c>
      <c r="AR110" s="92" t="str">
        <f t="shared" si="134"/>
        <v/>
      </c>
      <c r="AS110" s="21" t="str">
        <f t="shared" si="135"/>
        <v/>
      </c>
      <c r="AT110" s="59" t="str">
        <f t="shared" si="112"/>
        <v/>
      </c>
      <c r="AU110" s="105">
        <f t="shared" si="113"/>
        <v>1</v>
      </c>
      <c r="AV110" s="105">
        <f t="shared" si="114"/>
        <v>1</v>
      </c>
      <c r="AW110" s="58">
        <f t="shared" si="142"/>
        <v>2</v>
      </c>
      <c r="AX110" s="58">
        <f t="shared" si="115"/>
        <v>3</v>
      </c>
      <c r="AY110" s="58" t="str">
        <f t="shared" si="116"/>
        <v>avec vannes</v>
      </c>
      <c r="AZ110" s="58" t="str">
        <f t="shared" si="117"/>
        <v>fermé</v>
      </c>
      <c r="BA110" s="60">
        <f t="shared" si="144"/>
        <v>0</v>
      </c>
      <c r="BB110" s="60">
        <f t="shared" si="144"/>
        <v>0</v>
      </c>
      <c r="BC110" s="60">
        <f t="shared" si="144"/>
        <v>0</v>
      </c>
      <c r="BD110" s="60">
        <f t="shared" si="144"/>
        <v>0</v>
      </c>
      <c r="BE110" s="286" t="str">
        <f t="shared" si="118"/>
        <v/>
      </c>
      <c r="BF110" s="58" t="str">
        <f t="shared" si="136"/>
        <v/>
      </c>
      <c r="BG110" s="59" t="str">
        <f t="shared" si="119"/>
        <v/>
      </c>
      <c r="BH110" s="158">
        <f t="shared" ca="1" si="120"/>
        <v>1</v>
      </c>
      <c r="BI110" s="60">
        <f t="shared" ca="1" si="121"/>
        <v>0.15</v>
      </c>
      <c r="BJ110" s="60">
        <f t="shared" si="122"/>
        <v>0.2</v>
      </c>
      <c r="BK110" s="60" t="str">
        <f t="shared" si="137"/>
        <v/>
      </c>
      <c r="BL110" s="21" t="str">
        <f t="shared" si="138"/>
        <v/>
      </c>
      <c r="BM110" s="264" t="str">
        <f t="shared" si="123"/>
        <v/>
      </c>
      <c r="BN110" s="60" t="str">
        <f t="shared" si="139"/>
        <v/>
      </c>
      <c r="BO110" s="136">
        <f t="shared" si="140"/>
        <v>0</v>
      </c>
      <c r="BP110" s="59">
        <f t="shared" si="141"/>
        <v>0</v>
      </c>
      <c r="BQ110" s="136">
        <f t="shared" ca="1" si="124"/>
        <v>1295</v>
      </c>
      <c r="BR110" s="136">
        <f t="shared" ca="1" si="125"/>
        <v>1000.3156146179402</v>
      </c>
      <c r="BS110" s="136">
        <f t="shared" ca="1" si="126"/>
        <v>1468800.3156146179</v>
      </c>
      <c r="BT110" s="136">
        <f t="shared" ca="1" si="127"/>
        <v>313875.23834037717</v>
      </c>
      <c r="BU110" s="136">
        <f t="shared" ca="1" si="128"/>
        <v>1000.3156146179402</v>
      </c>
    </row>
    <row r="111" spans="1:73" x14ac:dyDescent="0.2">
      <c r="A111" s="87" t="str">
        <f>'Etape 2'!A108</f>
        <v/>
      </c>
      <c r="B111" s="87">
        <f>'Etape 2'!B108</f>
        <v>96</v>
      </c>
      <c r="C111" s="87">
        <f ca="1">'Etape 2'!C108</f>
        <v>205</v>
      </c>
      <c r="D111" s="87"/>
      <c r="E111" s="61">
        <f ca="1">RANK(BU111,BU$16:BU$315,0)+COUNTIF(BU$16:BU111,BU111)-1</f>
        <v>205</v>
      </c>
      <c r="F111" s="87" t="str">
        <f>'Etape 2'!D108</f>
        <v/>
      </c>
      <c r="G111" s="87" t="str">
        <f>'Etape 2'!E108</f>
        <v/>
      </c>
      <c r="H111" s="87" t="str">
        <f>'Etape 2'!F108</f>
        <v/>
      </c>
      <c r="I111" s="87" t="str">
        <f>'Etape 2'!G108</f>
        <v/>
      </c>
      <c r="J111" s="87" t="str">
        <f>'Etape 2'!H108</f>
        <v/>
      </c>
      <c r="K111" s="87" t="str">
        <f>'Etape 2'!I108</f>
        <v/>
      </c>
      <c r="L111" s="87">
        <f ca="1">'Etape 2'!J108</f>
        <v>999999</v>
      </c>
      <c r="M111" s="87">
        <f>'Etape 2'!K108</f>
        <v>999</v>
      </c>
      <c r="N111" s="87">
        <f ca="1">'Etape 2'!L108</f>
        <v>96</v>
      </c>
      <c r="O111" s="259">
        <f t="shared" si="102"/>
        <v>0.3</v>
      </c>
      <c r="P111" s="259">
        <f t="shared" si="103"/>
        <v>1.1000000000000001</v>
      </c>
      <c r="Q111" s="260">
        <f t="shared" si="104"/>
        <v>0</v>
      </c>
      <c r="R111" s="261">
        <f t="shared" si="143"/>
        <v>0</v>
      </c>
      <c r="S111" s="87">
        <f>IF(ISBLANK('Etape 2'!N108),0,VLOOKUP('Etape 2'!N108,Matrix_Uebersetzung,2,FALSE))</f>
        <v>0</v>
      </c>
      <c r="T111" s="87">
        <f>IF(ISBLANK('Etape 2'!O108),0,VLOOKUP('Etape 2'!O108,Matrix_Uebersetzung,2,FALSE))</f>
        <v>0</v>
      </c>
      <c r="U111" s="87">
        <f>IF(ISBLANK('Etape 2'!P108),0,VLOOKUP('Etape 2'!P108,Matrix_Uebersetzung,2,FALSE))</f>
        <v>0</v>
      </c>
      <c r="V111" s="87" t="str">
        <f>'Etape 2'!Q108</f>
        <v/>
      </c>
      <c r="W111" s="87">
        <f>'Etape 2'!R108</f>
        <v>0</v>
      </c>
      <c r="X111" s="87" t="str">
        <f>'Etape 2'!S108</f>
        <v/>
      </c>
      <c r="Y111" s="89" t="str">
        <f>'Etape 2'!T108</f>
        <v/>
      </c>
      <c r="Z111" s="87">
        <f>'Etape 2'!U108</f>
        <v>0</v>
      </c>
      <c r="AA111" s="87" t="str">
        <f>'Etape 2'!V108</f>
        <v/>
      </c>
      <c r="AB111" s="87">
        <f>IF(ISNUMBER('Etape 2'!W108),'Etape 2'!W108,0)</f>
        <v>0</v>
      </c>
      <c r="AC111" s="87">
        <f>IF(ISNUMBER('Etape 2'!X108),'Etape 2'!X108,0)</f>
        <v>0</v>
      </c>
      <c r="AD111" s="87">
        <f>IF(ISNUMBER('Etape 2'!Y108),'Etape 2'!Y108,0)</f>
        <v>0</v>
      </c>
      <c r="AE111" s="87">
        <f>IF(ISNUMBER('Etape 2'!Z108),'Etape 2'!Z108,0)</f>
        <v>0</v>
      </c>
      <c r="AF111" s="86">
        <f t="shared" si="129"/>
        <v>999</v>
      </c>
      <c r="AG111" s="288">
        <f t="shared" si="130"/>
        <v>0.25</v>
      </c>
      <c r="AH111" s="181" t="e">
        <f t="shared" si="105"/>
        <v>#VALUE!</v>
      </c>
      <c r="AI111" s="181" t="e">
        <f t="shared" si="131"/>
        <v>#VALUE!</v>
      </c>
      <c r="AJ111" s="86">
        <f t="shared" si="106"/>
        <v>200</v>
      </c>
      <c r="AK111" s="91" t="e">
        <f t="shared" si="107"/>
        <v>#N/A</v>
      </c>
      <c r="AL111" s="91" t="e">
        <f t="shared" si="108"/>
        <v>#N/A</v>
      </c>
      <c r="AM111" s="91">
        <f t="shared" si="109"/>
        <v>6</v>
      </c>
      <c r="AN111" s="91" t="e">
        <f t="shared" si="132"/>
        <v>#N/A</v>
      </c>
      <c r="AO111" s="91" t="e">
        <f t="shared" si="133"/>
        <v>#N/A</v>
      </c>
      <c r="AP111" s="21" t="e">
        <f t="shared" si="110"/>
        <v>#N/A</v>
      </c>
      <c r="AQ111" s="21" t="e">
        <f t="shared" si="111"/>
        <v>#N/A</v>
      </c>
      <c r="AR111" s="92" t="str">
        <f t="shared" si="134"/>
        <v/>
      </c>
      <c r="AS111" s="21" t="str">
        <f t="shared" si="135"/>
        <v/>
      </c>
      <c r="AT111" s="59" t="str">
        <f t="shared" si="112"/>
        <v/>
      </c>
      <c r="AU111" s="105">
        <f t="shared" si="113"/>
        <v>1</v>
      </c>
      <c r="AV111" s="105">
        <f t="shared" si="114"/>
        <v>1</v>
      </c>
      <c r="AW111" s="58">
        <f t="shared" si="142"/>
        <v>2</v>
      </c>
      <c r="AX111" s="58">
        <f t="shared" si="115"/>
        <v>3</v>
      </c>
      <c r="AY111" s="58" t="str">
        <f t="shared" si="116"/>
        <v>avec vannes</v>
      </c>
      <c r="AZ111" s="58" t="str">
        <f t="shared" si="117"/>
        <v>fermé</v>
      </c>
      <c r="BA111" s="60">
        <f t="shared" si="144"/>
        <v>0</v>
      </c>
      <c r="BB111" s="60">
        <f t="shared" si="144"/>
        <v>0</v>
      </c>
      <c r="BC111" s="60">
        <f t="shared" si="144"/>
        <v>0</v>
      </c>
      <c r="BD111" s="60">
        <f t="shared" si="144"/>
        <v>0</v>
      </c>
      <c r="BE111" s="286" t="str">
        <f t="shared" si="118"/>
        <v/>
      </c>
      <c r="BF111" s="58" t="str">
        <f t="shared" si="136"/>
        <v/>
      </c>
      <c r="BG111" s="59" t="str">
        <f t="shared" si="119"/>
        <v/>
      </c>
      <c r="BH111" s="158">
        <f t="shared" ca="1" si="120"/>
        <v>1</v>
      </c>
      <c r="BI111" s="60">
        <f t="shared" ca="1" si="121"/>
        <v>0.15</v>
      </c>
      <c r="BJ111" s="60">
        <f t="shared" si="122"/>
        <v>0.2</v>
      </c>
      <c r="BK111" s="60" t="str">
        <f t="shared" si="137"/>
        <v/>
      </c>
      <c r="BL111" s="21" t="str">
        <f t="shared" si="138"/>
        <v/>
      </c>
      <c r="BM111" s="264" t="str">
        <f t="shared" si="123"/>
        <v/>
      </c>
      <c r="BN111" s="60" t="str">
        <f t="shared" si="139"/>
        <v/>
      </c>
      <c r="BO111" s="136">
        <f t="shared" si="140"/>
        <v>0</v>
      </c>
      <c r="BP111" s="59">
        <f t="shared" si="141"/>
        <v>0</v>
      </c>
      <c r="BQ111" s="136">
        <f t="shared" ca="1" si="124"/>
        <v>1296</v>
      </c>
      <c r="BR111" s="136">
        <f t="shared" ca="1" si="125"/>
        <v>1000.3189368770765</v>
      </c>
      <c r="BS111" s="136">
        <f t="shared" ca="1" si="126"/>
        <v>1468800.3189368772</v>
      </c>
      <c r="BT111" s="136">
        <f t="shared" ca="1" si="127"/>
        <v>313875.24166263628</v>
      </c>
      <c r="BU111" s="136">
        <f t="shared" ca="1" si="128"/>
        <v>1000.3189368770765</v>
      </c>
    </row>
    <row r="112" spans="1:73" x14ac:dyDescent="0.2">
      <c r="A112" s="87" t="str">
        <f>'Etape 2'!A109</f>
        <v/>
      </c>
      <c r="B112" s="87">
        <f>'Etape 2'!B109</f>
        <v>97</v>
      </c>
      <c r="C112" s="87">
        <f ca="1">'Etape 2'!C109</f>
        <v>204</v>
      </c>
      <c r="D112" s="87"/>
      <c r="E112" s="61">
        <f ca="1">RANK(BU112,BU$16:BU$315,0)+COUNTIF(BU$16:BU112,BU112)-1</f>
        <v>204</v>
      </c>
      <c r="F112" s="87" t="str">
        <f>'Etape 2'!D109</f>
        <v/>
      </c>
      <c r="G112" s="87" t="str">
        <f>'Etape 2'!E109</f>
        <v/>
      </c>
      <c r="H112" s="87" t="str">
        <f>'Etape 2'!F109</f>
        <v/>
      </c>
      <c r="I112" s="87" t="str">
        <f>'Etape 2'!G109</f>
        <v/>
      </c>
      <c r="J112" s="87" t="str">
        <f>'Etape 2'!H109</f>
        <v/>
      </c>
      <c r="K112" s="87" t="str">
        <f>'Etape 2'!I109</f>
        <v/>
      </c>
      <c r="L112" s="87">
        <f ca="1">'Etape 2'!J109</f>
        <v>999999</v>
      </c>
      <c r="M112" s="87">
        <f>'Etape 2'!K109</f>
        <v>999</v>
      </c>
      <c r="N112" s="87">
        <f ca="1">'Etape 2'!L109</f>
        <v>97</v>
      </c>
      <c r="O112" s="259">
        <f t="shared" si="102"/>
        <v>0.3</v>
      </c>
      <c r="P112" s="259">
        <f t="shared" si="103"/>
        <v>1.1000000000000001</v>
      </c>
      <c r="Q112" s="260">
        <f t="shared" si="104"/>
        <v>0</v>
      </c>
      <c r="R112" s="261">
        <f t="shared" si="143"/>
        <v>0</v>
      </c>
      <c r="S112" s="87">
        <f>IF(ISBLANK('Etape 2'!N109),0,VLOOKUP('Etape 2'!N109,Matrix_Uebersetzung,2,FALSE))</f>
        <v>0</v>
      </c>
      <c r="T112" s="87">
        <f>IF(ISBLANK('Etape 2'!O109),0,VLOOKUP('Etape 2'!O109,Matrix_Uebersetzung,2,FALSE))</f>
        <v>0</v>
      </c>
      <c r="U112" s="87">
        <f>IF(ISBLANK('Etape 2'!P109),0,VLOOKUP('Etape 2'!P109,Matrix_Uebersetzung,2,FALSE))</f>
        <v>0</v>
      </c>
      <c r="V112" s="87" t="str">
        <f>'Etape 2'!Q109</f>
        <v/>
      </c>
      <c r="W112" s="87">
        <f>'Etape 2'!R109</f>
        <v>0</v>
      </c>
      <c r="X112" s="87" t="str">
        <f>'Etape 2'!S109</f>
        <v/>
      </c>
      <c r="Y112" s="89" t="str">
        <f>'Etape 2'!T109</f>
        <v/>
      </c>
      <c r="Z112" s="87">
        <f>'Etape 2'!U109</f>
        <v>0</v>
      </c>
      <c r="AA112" s="87" t="str">
        <f>'Etape 2'!V109</f>
        <v/>
      </c>
      <c r="AB112" s="87">
        <f>IF(ISNUMBER('Etape 2'!W109),'Etape 2'!W109,0)</f>
        <v>0</v>
      </c>
      <c r="AC112" s="87">
        <f>IF(ISNUMBER('Etape 2'!X109),'Etape 2'!X109,0)</f>
        <v>0</v>
      </c>
      <c r="AD112" s="87">
        <f>IF(ISNUMBER('Etape 2'!Y109),'Etape 2'!Y109,0)</f>
        <v>0</v>
      </c>
      <c r="AE112" s="87">
        <f>IF(ISNUMBER('Etape 2'!Z109),'Etape 2'!Z109,0)</f>
        <v>0</v>
      </c>
      <c r="AF112" s="86">
        <f t="shared" si="129"/>
        <v>999</v>
      </c>
      <c r="AG112" s="288">
        <f t="shared" si="130"/>
        <v>0.25</v>
      </c>
      <c r="AH112" s="181" t="e">
        <f t="shared" si="105"/>
        <v>#VALUE!</v>
      </c>
      <c r="AI112" s="181" t="e">
        <f t="shared" si="131"/>
        <v>#VALUE!</v>
      </c>
      <c r="AJ112" s="86">
        <f t="shared" si="106"/>
        <v>200</v>
      </c>
      <c r="AK112" s="91" t="e">
        <f t="shared" si="107"/>
        <v>#N/A</v>
      </c>
      <c r="AL112" s="91" t="e">
        <f t="shared" si="108"/>
        <v>#N/A</v>
      </c>
      <c r="AM112" s="91">
        <f t="shared" si="109"/>
        <v>6</v>
      </c>
      <c r="AN112" s="91" t="e">
        <f t="shared" si="132"/>
        <v>#N/A</v>
      </c>
      <c r="AO112" s="91" t="e">
        <f t="shared" si="133"/>
        <v>#N/A</v>
      </c>
      <c r="AP112" s="21" t="e">
        <f t="shared" si="110"/>
        <v>#N/A</v>
      </c>
      <c r="AQ112" s="21" t="e">
        <f t="shared" si="111"/>
        <v>#N/A</v>
      </c>
      <c r="AR112" s="92" t="str">
        <f t="shared" si="134"/>
        <v/>
      </c>
      <c r="AS112" s="21" t="str">
        <f t="shared" si="135"/>
        <v/>
      </c>
      <c r="AT112" s="59" t="str">
        <f t="shared" si="112"/>
        <v/>
      </c>
      <c r="AU112" s="105">
        <f t="shared" si="113"/>
        <v>1</v>
      </c>
      <c r="AV112" s="105">
        <f t="shared" si="114"/>
        <v>1</v>
      </c>
      <c r="AW112" s="58">
        <f t="shared" si="142"/>
        <v>2</v>
      </c>
      <c r="AX112" s="58">
        <f t="shared" ref="AX112:AX113" si="145">VLOOKUP(AW112,Matrix_Netztyp.Kreislauf.Spalte,6,0)</f>
        <v>3</v>
      </c>
      <c r="AY112" s="58" t="str">
        <f t="shared" si="116"/>
        <v>avec vannes</v>
      </c>
      <c r="AZ112" s="58" t="str">
        <f t="shared" si="117"/>
        <v>fermé</v>
      </c>
      <c r="BA112" s="60">
        <f t="shared" si="144"/>
        <v>0</v>
      </c>
      <c r="BB112" s="60">
        <f t="shared" si="144"/>
        <v>0</v>
      </c>
      <c r="BC112" s="60">
        <f t="shared" si="144"/>
        <v>0</v>
      </c>
      <c r="BD112" s="60">
        <f t="shared" si="144"/>
        <v>0</v>
      </c>
      <c r="BE112" s="286" t="str">
        <f t="shared" si="118"/>
        <v/>
      </c>
      <c r="BF112" s="58" t="str">
        <f t="shared" si="136"/>
        <v/>
      </c>
      <c r="BG112" s="59" t="str">
        <f t="shared" si="119"/>
        <v/>
      </c>
      <c r="BH112" s="158">
        <f t="shared" ca="1" si="120"/>
        <v>1</v>
      </c>
      <c r="BI112" s="60">
        <f t="shared" ca="1" si="121"/>
        <v>0.15</v>
      </c>
      <c r="BJ112" s="60">
        <f t="shared" si="122"/>
        <v>0.2</v>
      </c>
      <c r="BK112" s="60" t="str">
        <f t="shared" si="137"/>
        <v/>
      </c>
      <c r="BL112" s="21" t="str">
        <f t="shared" si="138"/>
        <v/>
      </c>
      <c r="BM112" s="264" t="str">
        <f t="shared" si="123"/>
        <v/>
      </c>
      <c r="BN112" s="60" t="str">
        <f t="shared" si="139"/>
        <v/>
      </c>
      <c r="BO112" s="136">
        <f t="shared" si="140"/>
        <v>0</v>
      </c>
      <c r="BP112" s="59">
        <f t="shared" si="141"/>
        <v>0</v>
      </c>
      <c r="BQ112" s="136">
        <f t="shared" ca="1" si="124"/>
        <v>1297</v>
      </c>
      <c r="BR112" s="136">
        <f t="shared" ca="1" si="125"/>
        <v>1000.3222591362127</v>
      </c>
      <c r="BS112" s="136">
        <f t="shared" ca="1" si="126"/>
        <v>1468800.3222591362</v>
      </c>
      <c r="BT112" s="136">
        <f t="shared" ca="1" si="127"/>
        <v>313875.2449848954</v>
      </c>
      <c r="BU112" s="136">
        <f t="shared" ca="1" si="128"/>
        <v>1000.3222591362127</v>
      </c>
    </row>
    <row r="113" spans="1:73" x14ac:dyDescent="0.2">
      <c r="A113" s="87" t="str">
        <f>'Etape 2'!A110</f>
        <v/>
      </c>
      <c r="B113" s="87">
        <f>'Etape 2'!B110</f>
        <v>98</v>
      </c>
      <c r="C113" s="87">
        <f ca="1">'Etape 2'!C110</f>
        <v>203</v>
      </c>
      <c r="D113" s="87"/>
      <c r="E113" s="61">
        <f ca="1">RANK(BU113,BU$16:BU$315,0)+COUNTIF(BU$16:BU113,BU113)-1</f>
        <v>203</v>
      </c>
      <c r="F113" s="87" t="str">
        <f>'Etape 2'!D110</f>
        <v/>
      </c>
      <c r="G113" s="87" t="str">
        <f>'Etape 2'!E110</f>
        <v/>
      </c>
      <c r="H113" s="87" t="str">
        <f>'Etape 2'!F110</f>
        <v/>
      </c>
      <c r="I113" s="87" t="str">
        <f>'Etape 2'!G110</f>
        <v/>
      </c>
      <c r="J113" s="87" t="str">
        <f>'Etape 2'!H110</f>
        <v/>
      </c>
      <c r="K113" s="87" t="str">
        <f>'Etape 2'!I110</f>
        <v/>
      </c>
      <c r="L113" s="87">
        <f ca="1">'Etape 2'!J110</f>
        <v>999999</v>
      </c>
      <c r="M113" s="87">
        <f>'Etape 2'!K110</f>
        <v>999</v>
      </c>
      <c r="N113" s="87">
        <f ca="1">'Etape 2'!L110</f>
        <v>98</v>
      </c>
      <c r="O113" s="259">
        <f t="shared" si="102"/>
        <v>0.3</v>
      </c>
      <c r="P113" s="259">
        <f t="shared" si="103"/>
        <v>1.1000000000000001</v>
      </c>
      <c r="Q113" s="260">
        <f t="shared" si="104"/>
        <v>0</v>
      </c>
      <c r="R113" s="261">
        <f t="shared" si="143"/>
        <v>0</v>
      </c>
      <c r="S113" s="87">
        <f>IF(ISBLANK('Etape 2'!N110),0,VLOOKUP('Etape 2'!N110,Matrix_Uebersetzung,2,FALSE))</f>
        <v>0</v>
      </c>
      <c r="T113" s="87">
        <f>IF(ISBLANK('Etape 2'!O110),0,VLOOKUP('Etape 2'!O110,Matrix_Uebersetzung,2,FALSE))</f>
        <v>0</v>
      </c>
      <c r="U113" s="87">
        <f>IF(ISBLANK('Etape 2'!P110),0,VLOOKUP('Etape 2'!P110,Matrix_Uebersetzung,2,FALSE))</f>
        <v>0</v>
      </c>
      <c r="V113" s="87" t="str">
        <f>'Etape 2'!Q110</f>
        <v/>
      </c>
      <c r="W113" s="87">
        <f>'Etape 2'!R110</f>
        <v>0</v>
      </c>
      <c r="X113" s="87" t="str">
        <f>'Etape 2'!S110</f>
        <v/>
      </c>
      <c r="Y113" s="89" t="str">
        <f>'Etape 2'!T110</f>
        <v/>
      </c>
      <c r="Z113" s="87">
        <f>'Etape 2'!U110</f>
        <v>0</v>
      </c>
      <c r="AA113" s="87" t="str">
        <f>'Etape 2'!V110</f>
        <v/>
      </c>
      <c r="AB113" s="87">
        <f>IF(ISNUMBER('Etape 2'!W110),'Etape 2'!W110,0)</f>
        <v>0</v>
      </c>
      <c r="AC113" s="87">
        <f>IF(ISNUMBER('Etape 2'!X110),'Etape 2'!X110,0)</f>
        <v>0</v>
      </c>
      <c r="AD113" s="87">
        <f>IF(ISNUMBER('Etape 2'!Y110),'Etape 2'!Y110,0)</f>
        <v>0</v>
      </c>
      <c r="AE113" s="87">
        <f>IF(ISNUMBER('Etape 2'!Z110),'Etape 2'!Z110,0)</f>
        <v>0</v>
      </c>
      <c r="AF113" s="86">
        <f t="shared" si="129"/>
        <v>999</v>
      </c>
      <c r="AG113" s="288">
        <f t="shared" si="130"/>
        <v>0.25</v>
      </c>
      <c r="AH113" s="181" t="e">
        <f t="shared" si="105"/>
        <v>#VALUE!</v>
      </c>
      <c r="AI113" s="181" t="e">
        <f t="shared" si="131"/>
        <v>#VALUE!</v>
      </c>
      <c r="AJ113" s="86">
        <f t="shared" si="106"/>
        <v>200</v>
      </c>
      <c r="AK113" s="91" t="e">
        <f t="shared" si="107"/>
        <v>#N/A</v>
      </c>
      <c r="AL113" s="91" t="e">
        <f t="shared" si="108"/>
        <v>#N/A</v>
      </c>
      <c r="AM113" s="91">
        <f t="shared" si="109"/>
        <v>6</v>
      </c>
      <c r="AN113" s="91" t="e">
        <f t="shared" si="132"/>
        <v>#N/A</v>
      </c>
      <c r="AO113" s="91" t="e">
        <f t="shared" si="133"/>
        <v>#N/A</v>
      </c>
      <c r="AP113" s="21" t="e">
        <f t="shared" si="110"/>
        <v>#N/A</v>
      </c>
      <c r="AQ113" s="21" t="e">
        <f t="shared" si="111"/>
        <v>#N/A</v>
      </c>
      <c r="AR113" s="92" t="str">
        <f t="shared" si="134"/>
        <v/>
      </c>
      <c r="AS113" s="21" t="str">
        <f t="shared" si="135"/>
        <v/>
      </c>
      <c r="AT113" s="59" t="str">
        <f t="shared" si="112"/>
        <v/>
      </c>
      <c r="AU113" s="105">
        <f t="shared" si="113"/>
        <v>1</v>
      </c>
      <c r="AV113" s="105">
        <f t="shared" si="114"/>
        <v>1</v>
      </c>
      <c r="AW113" s="58">
        <f t="shared" si="142"/>
        <v>2</v>
      </c>
      <c r="AX113" s="58">
        <f t="shared" si="145"/>
        <v>3</v>
      </c>
      <c r="AY113" s="58" t="str">
        <f t="shared" si="116"/>
        <v>avec vannes</v>
      </c>
      <c r="AZ113" s="58" t="str">
        <f t="shared" si="117"/>
        <v>fermé</v>
      </c>
      <c r="BA113" s="60">
        <f t="shared" si="144"/>
        <v>0</v>
      </c>
      <c r="BB113" s="60">
        <f t="shared" si="144"/>
        <v>0</v>
      </c>
      <c r="BC113" s="60">
        <f t="shared" si="144"/>
        <v>0</v>
      </c>
      <c r="BD113" s="60">
        <f t="shared" si="144"/>
        <v>0</v>
      </c>
      <c r="BE113" s="286" t="str">
        <f t="shared" si="118"/>
        <v/>
      </c>
      <c r="BF113" s="58" t="str">
        <f t="shared" si="136"/>
        <v/>
      </c>
      <c r="BG113" s="59" t="str">
        <f t="shared" si="119"/>
        <v/>
      </c>
      <c r="BH113" s="158">
        <f t="shared" ca="1" si="120"/>
        <v>1</v>
      </c>
      <c r="BI113" s="60">
        <f t="shared" ca="1" si="121"/>
        <v>0.15</v>
      </c>
      <c r="BJ113" s="60">
        <f t="shared" si="122"/>
        <v>0.2</v>
      </c>
      <c r="BK113" s="60" t="str">
        <f t="shared" si="137"/>
        <v/>
      </c>
      <c r="BL113" s="21" t="str">
        <f t="shared" si="138"/>
        <v/>
      </c>
      <c r="BM113" s="264" t="str">
        <f t="shared" si="123"/>
        <v/>
      </c>
      <c r="BN113" s="60" t="str">
        <f t="shared" si="139"/>
        <v/>
      </c>
      <c r="BO113" s="136">
        <f t="shared" si="140"/>
        <v>0</v>
      </c>
      <c r="BP113" s="59">
        <f t="shared" si="141"/>
        <v>0</v>
      </c>
      <c r="BQ113" s="136">
        <f t="shared" ca="1" si="124"/>
        <v>1298</v>
      </c>
      <c r="BR113" s="136">
        <f t="shared" ca="1" si="125"/>
        <v>1000.3255813953489</v>
      </c>
      <c r="BS113" s="136">
        <f t="shared" ca="1" si="126"/>
        <v>1468800.3255813953</v>
      </c>
      <c r="BT113" s="136">
        <f t="shared" ca="1" si="127"/>
        <v>313875.24830715457</v>
      </c>
      <c r="BU113" s="136">
        <f t="shared" ca="1" si="128"/>
        <v>1000.3255813953489</v>
      </c>
    </row>
    <row r="114" spans="1:73" x14ac:dyDescent="0.2">
      <c r="A114" s="87" t="str">
        <f>'Etape 2'!A111</f>
        <v/>
      </c>
      <c r="B114" s="87">
        <f>'Etape 2'!B111</f>
        <v>99</v>
      </c>
      <c r="C114" s="87">
        <f ca="1">'Etape 2'!C111</f>
        <v>202</v>
      </c>
      <c r="D114" s="87"/>
      <c r="E114" s="61">
        <f ca="1">RANK(BU114,BU$16:BU$315,0)+COUNTIF(BU$16:BU114,BU114)-1</f>
        <v>202</v>
      </c>
      <c r="F114" s="87" t="str">
        <f>'Etape 2'!D111</f>
        <v/>
      </c>
      <c r="G114" s="87" t="str">
        <f>'Etape 2'!E111</f>
        <v/>
      </c>
      <c r="H114" s="87" t="str">
        <f>'Etape 2'!F111</f>
        <v/>
      </c>
      <c r="I114" s="87" t="str">
        <f>'Etape 2'!G111</f>
        <v/>
      </c>
      <c r="J114" s="87" t="str">
        <f>'Etape 2'!H111</f>
        <v/>
      </c>
      <c r="K114" s="87" t="str">
        <f>'Etape 2'!I111</f>
        <v/>
      </c>
      <c r="L114" s="87">
        <f ca="1">'Etape 2'!J111</f>
        <v>999999</v>
      </c>
      <c r="M114" s="87">
        <f>'Etape 2'!K111</f>
        <v>999</v>
      </c>
      <c r="N114" s="87">
        <f ca="1">'Etape 2'!L111</f>
        <v>99</v>
      </c>
      <c r="O114" s="259">
        <f t="shared" si="102"/>
        <v>0.3</v>
      </c>
      <c r="P114" s="259">
        <f t="shared" si="103"/>
        <v>1.1000000000000001</v>
      </c>
      <c r="Q114" s="260">
        <f t="shared" si="104"/>
        <v>0</v>
      </c>
      <c r="R114" s="261">
        <f t="shared" si="143"/>
        <v>0</v>
      </c>
      <c r="S114" s="87">
        <f>IF(ISBLANK('Etape 2'!N111),0,VLOOKUP('Etape 2'!N111,Matrix_Uebersetzung,2,FALSE))</f>
        <v>0</v>
      </c>
      <c r="T114" s="87">
        <f>IF(ISBLANK('Etape 2'!O111),0,VLOOKUP('Etape 2'!O111,Matrix_Uebersetzung,2,FALSE))</f>
        <v>0</v>
      </c>
      <c r="U114" s="87">
        <f>IF(ISBLANK('Etape 2'!P111),0,VLOOKUP('Etape 2'!P111,Matrix_Uebersetzung,2,FALSE))</f>
        <v>0</v>
      </c>
      <c r="V114" s="87" t="str">
        <f>'Etape 2'!Q111</f>
        <v/>
      </c>
      <c r="W114" s="87">
        <f>'Etape 2'!R111</f>
        <v>0</v>
      </c>
      <c r="X114" s="87" t="str">
        <f>'Etape 2'!S111</f>
        <v/>
      </c>
      <c r="Y114" s="89" t="str">
        <f>'Etape 2'!T111</f>
        <v/>
      </c>
      <c r="Z114" s="87">
        <f>'Etape 2'!U111</f>
        <v>0</v>
      </c>
      <c r="AA114" s="87" t="str">
        <f>'Etape 2'!V111</f>
        <v/>
      </c>
      <c r="AB114" s="87">
        <f>IF(ISNUMBER('Etape 2'!W111),'Etape 2'!W111,0)</f>
        <v>0</v>
      </c>
      <c r="AC114" s="87">
        <f>IF(ISNUMBER('Etape 2'!X111),'Etape 2'!X111,0)</f>
        <v>0</v>
      </c>
      <c r="AD114" s="87">
        <f>IF(ISNUMBER('Etape 2'!Y111),'Etape 2'!Y111,0)</f>
        <v>0</v>
      </c>
      <c r="AE114" s="87">
        <f>IF(ISNUMBER('Etape 2'!Z111),'Etape 2'!Z111,0)</f>
        <v>0</v>
      </c>
      <c r="AF114" s="86">
        <f t="shared" si="129"/>
        <v>999</v>
      </c>
      <c r="AG114" s="288">
        <f t="shared" si="130"/>
        <v>0.25</v>
      </c>
      <c r="AH114" s="181" t="e">
        <f t="shared" si="105"/>
        <v>#VALUE!</v>
      </c>
      <c r="AI114" s="181" t="e">
        <f t="shared" ref="AI114:AI177" si="146">AH114*Preis_Strom.Schritt2/100</f>
        <v>#VALUE!</v>
      </c>
      <c r="AJ114" s="86">
        <f t="shared" si="106"/>
        <v>200</v>
      </c>
      <c r="AK114" s="91" t="e">
        <f t="shared" si="107"/>
        <v>#N/A</v>
      </c>
      <c r="AL114" s="91" t="e">
        <f t="shared" ref="AL114:AL177" si="147">VLOOKUP(AA114,Matrix_Motor.EffKl.IEID,2,1)</f>
        <v>#N/A</v>
      </c>
      <c r="AM114" s="91">
        <f t="shared" si="109"/>
        <v>6</v>
      </c>
      <c r="AN114" s="91" t="e">
        <f t="shared" ref="AN114:AN177" si="148">CONCATENATE(AK114,AL114,X114)</f>
        <v>#N/A</v>
      </c>
      <c r="AO114" s="91" t="e">
        <f t="shared" ref="AO114:AO177" si="149">CONCATENATE(AK114,AM114,X114)</f>
        <v>#N/A</v>
      </c>
      <c r="AP114" s="21" t="e">
        <f t="shared" ref="AP114:AP177" si="150">(VLOOKUP(AN114,Matrix_Motor.KombiKl.EffParameter,3,0)*(LOG(AJ114))^3+VLOOKUP(AN114,Matrix_Motor.KombiKl.EffParameter,4,0)*(LOG(AJ114))^2+VLOOKUP(AN114,Matrix_Motor.KombiKl.EffParameter,5,0)*(LOG(AJ114))+VLOOKUP(AN114,Matrix_Motor.KombiKl.EffParameter,6,0))/100</f>
        <v>#N/A</v>
      </c>
      <c r="AQ114" s="21" t="e">
        <f t="shared" ref="AQ114:AQ177" si="151">(VLOOKUP(AO114,Matrix_Motor.KombiKl.EffParameter,3,0)*(LOG(AJ114))^3+VLOOKUP(AO114,Matrix_Motor.KombiKl.EffParameter,4,0)*(LOG(AJ114))^2+VLOOKUP(AO114,Matrix_Motor.KombiKl.EffParameter,5,0)*(LOG(AJ114))+VLOOKUP(AO114,Matrix_Motor.KombiKl.EffParameter,6,0))/100</f>
        <v>#N/A</v>
      </c>
      <c r="AR114" s="92" t="str">
        <f t="shared" si="134"/>
        <v/>
      </c>
      <c r="AS114" s="21" t="str">
        <f t="shared" si="135"/>
        <v/>
      </c>
      <c r="AT114" s="59" t="str">
        <f t="shared" si="112"/>
        <v/>
      </c>
      <c r="AU114" s="105">
        <f t="shared" si="113"/>
        <v>1</v>
      </c>
      <c r="AV114" s="105">
        <f t="shared" ref="AV114:AV177" si="152">IF(ISERROR(VLOOKUP(S114,Matrix_Kreislauf.Zahl,2,0)),Wert_Kreislauf.Zahl.Schritt2,VLOOKUP(S114,Matrix_Kreislauf.Zahl,2,0))</f>
        <v>1</v>
      </c>
      <c r="AW114" s="58">
        <f t="shared" ref="AW114:AW177" si="153">AU114+AV114</f>
        <v>2</v>
      </c>
      <c r="AX114" s="58">
        <f t="shared" ref="AX114:AX177" si="154">VLOOKUP(AW114,Matrix_Netztyp.Kreislauf.Spalte,6,0)</f>
        <v>3</v>
      </c>
      <c r="AY114" s="58" t="str">
        <f t="shared" ref="AY114:AY177" si="155">VLOOKUP(AW114,Matrix_Netztyp.Kreislauf.Spalte,2,0)</f>
        <v>avec vannes</v>
      </c>
      <c r="AZ114" s="58" t="str">
        <f t="shared" ref="AZ114:AZ177" si="156">VLOOKUP(AW114,Matrix_Netztyp.Kreislauf.Spalte,4,0)</f>
        <v>fermé</v>
      </c>
      <c r="BA114" s="60">
        <f t="shared" si="144"/>
        <v>0</v>
      </c>
      <c r="BB114" s="60">
        <f t="shared" si="144"/>
        <v>0</v>
      </c>
      <c r="BC114" s="60">
        <f t="shared" si="144"/>
        <v>0</v>
      </c>
      <c r="BD114" s="60">
        <f t="shared" si="144"/>
        <v>0</v>
      </c>
      <c r="BE114" s="286" t="str">
        <f t="shared" si="118"/>
        <v/>
      </c>
      <c r="BF114" s="58" t="str">
        <f t="shared" si="136"/>
        <v/>
      </c>
      <c r="BG114" s="59" t="str">
        <f t="shared" si="119"/>
        <v/>
      </c>
      <c r="BH114" s="158">
        <f t="shared" ca="1" si="120"/>
        <v>1</v>
      </c>
      <c r="BI114" s="60">
        <f t="shared" ca="1" si="121"/>
        <v>0.15</v>
      </c>
      <c r="BJ114" s="60">
        <f t="shared" si="122"/>
        <v>0.2</v>
      </c>
      <c r="BK114" s="60" t="str">
        <f t="shared" si="137"/>
        <v/>
      </c>
      <c r="BL114" s="21" t="str">
        <f t="shared" si="138"/>
        <v/>
      </c>
      <c r="BM114" s="264" t="str">
        <f t="shared" si="123"/>
        <v/>
      </c>
      <c r="BN114" s="60" t="str">
        <f t="shared" si="139"/>
        <v/>
      </c>
      <c r="BO114" s="136">
        <f t="shared" si="140"/>
        <v>0</v>
      </c>
      <c r="BP114" s="59">
        <f t="shared" si="141"/>
        <v>0</v>
      </c>
      <c r="BQ114" s="136">
        <f t="shared" ca="1" si="124"/>
        <v>1299</v>
      </c>
      <c r="BR114" s="136">
        <f t="shared" ca="1" si="125"/>
        <v>1000.3289036544851</v>
      </c>
      <c r="BS114" s="136">
        <f t="shared" ca="1" si="126"/>
        <v>1468800.3289036546</v>
      </c>
      <c r="BT114" s="136">
        <f t="shared" ca="1" si="127"/>
        <v>313875.25162941369</v>
      </c>
      <c r="BU114" s="136">
        <f t="shared" ca="1" si="128"/>
        <v>1000.3289036544851</v>
      </c>
    </row>
    <row r="115" spans="1:73" x14ac:dyDescent="0.2">
      <c r="A115" s="87" t="str">
        <f>'Etape 2'!A112</f>
        <v/>
      </c>
      <c r="B115" s="87">
        <f>'Etape 2'!B112</f>
        <v>100</v>
      </c>
      <c r="C115" s="87">
        <f ca="1">'Etape 2'!C112</f>
        <v>201</v>
      </c>
      <c r="D115" s="87"/>
      <c r="E115" s="61">
        <f ca="1">RANK(BU115,BU$16:BU$315,0)+COUNTIF(BU$16:BU115,BU115)-1</f>
        <v>201</v>
      </c>
      <c r="F115" s="87" t="str">
        <f>'Etape 2'!D112</f>
        <v/>
      </c>
      <c r="G115" s="87" t="str">
        <f>'Etape 2'!E112</f>
        <v/>
      </c>
      <c r="H115" s="87" t="str">
        <f>'Etape 2'!F112</f>
        <v/>
      </c>
      <c r="I115" s="87" t="str">
        <f>'Etape 2'!G112</f>
        <v/>
      </c>
      <c r="J115" s="87" t="str">
        <f>'Etape 2'!H112</f>
        <v/>
      </c>
      <c r="K115" s="87" t="str">
        <f>'Etape 2'!I112</f>
        <v/>
      </c>
      <c r="L115" s="87">
        <f ca="1">'Etape 2'!J112</f>
        <v>999999</v>
      </c>
      <c r="M115" s="87">
        <f>'Etape 2'!K112</f>
        <v>999</v>
      </c>
      <c r="N115" s="87">
        <f ca="1">'Etape 2'!L112</f>
        <v>100</v>
      </c>
      <c r="O115" s="259">
        <f t="shared" si="102"/>
        <v>0.3</v>
      </c>
      <c r="P115" s="259">
        <f t="shared" si="103"/>
        <v>1.1000000000000001</v>
      </c>
      <c r="Q115" s="260">
        <f t="shared" si="104"/>
        <v>0</v>
      </c>
      <c r="R115" s="261">
        <f t="shared" si="143"/>
        <v>0</v>
      </c>
      <c r="S115" s="87">
        <f>IF(ISBLANK('Etape 2'!N112),0,VLOOKUP('Etape 2'!N112,Matrix_Uebersetzung,2,FALSE))</f>
        <v>0</v>
      </c>
      <c r="T115" s="87">
        <f>IF(ISBLANK('Etape 2'!O112),0,VLOOKUP('Etape 2'!O112,Matrix_Uebersetzung,2,FALSE))</f>
        <v>0</v>
      </c>
      <c r="U115" s="87">
        <f>IF(ISBLANK('Etape 2'!P112),0,VLOOKUP('Etape 2'!P112,Matrix_Uebersetzung,2,FALSE))</f>
        <v>0</v>
      </c>
      <c r="V115" s="87" t="str">
        <f>'Etape 2'!Q112</f>
        <v/>
      </c>
      <c r="W115" s="87">
        <f>'Etape 2'!R112</f>
        <v>0</v>
      </c>
      <c r="X115" s="87" t="str">
        <f>'Etape 2'!S112</f>
        <v/>
      </c>
      <c r="Y115" s="89" t="str">
        <f>'Etape 2'!T112</f>
        <v/>
      </c>
      <c r="Z115" s="87">
        <f>'Etape 2'!U112</f>
        <v>0</v>
      </c>
      <c r="AA115" s="87" t="str">
        <f>'Etape 2'!V112</f>
        <v/>
      </c>
      <c r="AB115" s="87">
        <f>IF(ISNUMBER('Etape 2'!W112),'Etape 2'!W112,0)</f>
        <v>0</v>
      </c>
      <c r="AC115" s="87">
        <f>IF(ISNUMBER('Etape 2'!X112),'Etape 2'!X112,0)</f>
        <v>0</v>
      </c>
      <c r="AD115" s="87">
        <f>IF(ISNUMBER('Etape 2'!Y112),'Etape 2'!Y112,0)</f>
        <v>0</v>
      </c>
      <c r="AE115" s="87">
        <f>IF(ISNUMBER('Etape 2'!Z112),'Etape 2'!Z112,0)</f>
        <v>0</v>
      </c>
      <c r="AF115" s="86">
        <f t="shared" si="129"/>
        <v>999</v>
      </c>
      <c r="AG115" s="288">
        <f t="shared" si="130"/>
        <v>0.25</v>
      </c>
      <c r="AH115" s="181" t="e">
        <f t="shared" si="105"/>
        <v>#VALUE!</v>
      </c>
      <c r="AI115" s="181" t="e">
        <f t="shared" si="146"/>
        <v>#VALUE!</v>
      </c>
      <c r="AJ115" s="86">
        <f t="shared" si="106"/>
        <v>200</v>
      </c>
      <c r="AK115" s="91" t="e">
        <f t="shared" si="107"/>
        <v>#N/A</v>
      </c>
      <c r="AL115" s="91" t="e">
        <f t="shared" si="147"/>
        <v>#N/A</v>
      </c>
      <c r="AM115" s="91">
        <f t="shared" si="109"/>
        <v>6</v>
      </c>
      <c r="AN115" s="91" t="e">
        <f t="shared" si="148"/>
        <v>#N/A</v>
      </c>
      <c r="AO115" s="91" t="e">
        <f t="shared" si="149"/>
        <v>#N/A</v>
      </c>
      <c r="AP115" s="21" t="e">
        <f t="shared" si="150"/>
        <v>#N/A</v>
      </c>
      <c r="AQ115" s="21" t="e">
        <f t="shared" si="151"/>
        <v>#N/A</v>
      </c>
      <c r="AR115" s="92" t="str">
        <f t="shared" si="134"/>
        <v/>
      </c>
      <c r="AS115" s="21" t="str">
        <f t="shared" si="135"/>
        <v/>
      </c>
      <c r="AT115" s="59" t="str">
        <f t="shared" si="112"/>
        <v/>
      </c>
      <c r="AU115" s="105">
        <f t="shared" si="113"/>
        <v>1</v>
      </c>
      <c r="AV115" s="105">
        <f t="shared" si="152"/>
        <v>1</v>
      </c>
      <c r="AW115" s="58">
        <f t="shared" si="153"/>
        <v>2</v>
      </c>
      <c r="AX115" s="58">
        <f t="shared" si="154"/>
        <v>3</v>
      </c>
      <c r="AY115" s="58" t="str">
        <f t="shared" si="155"/>
        <v>avec vannes</v>
      </c>
      <c r="AZ115" s="58" t="str">
        <f t="shared" si="156"/>
        <v>fermé</v>
      </c>
      <c r="BA115" s="60">
        <f t="shared" si="144"/>
        <v>0</v>
      </c>
      <c r="BB115" s="60">
        <f t="shared" si="144"/>
        <v>0</v>
      </c>
      <c r="BC115" s="60">
        <f t="shared" si="144"/>
        <v>0</v>
      </c>
      <c r="BD115" s="60">
        <f t="shared" si="144"/>
        <v>0</v>
      </c>
      <c r="BE115" s="286" t="str">
        <f t="shared" si="118"/>
        <v/>
      </c>
      <c r="BF115" s="58" t="str">
        <f t="shared" si="136"/>
        <v/>
      </c>
      <c r="BG115" s="59" t="str">
        <f t="shared" si="119"/>
        <v/>
      </c>
      <c r="BH115" s="158">
        <f t="shared" ca="1" si="120"/>
        <v>1</v>
      </c>
      <c r="BI115" s="60">
        <f t="shared" ca="1" si="121"/>
        <v>0.15</v>
      </c>
      <c r="BJ115" s="60">
        <f t="shared" si="122"/>
        <v>0.2</v>
      </c>
      <c r="BK115" s="60" t="str">
        <f t="shared" si="137"/>
        <v/>
      </c>
      <c r="BL115" s="21" t="str">
        <f t="shared" si="138"/>
        <v/>
      </c>
      <c r="BM115" s="264" t="str">
        <f t="shared" si="123"/>
        <v/>
      </c>
      <c r="BN115" s="60" t="str">
        <f t="shared" si="139"/>
        <v/>
      </c>
      <c r="BO115" s="136">
        <f t="shared" si="140"/>
        <v>0</v>
      </c>
      <c r="BP115" s="59">
        <f t="shared" si="141"/>
        <v>0</v>
      </c>
      <c r="BQ115" s="136">
        <f t="shared" ca="1" si="124"/>
        <v>1300</v>
      </c>
      <c r="BR115" s="136">
        <f t="shared" ca="1" si="125"/>
        <v>1000.3322259136213</v>
      </c>
      <c r="BS115" s="136">
        <f t="shared" ca="1" si="126"/>
        <v>1468800.3322259136</v>
      </c>
      <c r="BT115" s="136">
        <f t="shared" ca="1" si="127"/>
        <v>313875.25495167286</v>
      </c>
      <c r="BU115" s="136">
        <f t="shared" ca="1" si="128"/>
        <v>1000.3322259136213</v>
      </c>
    </row>
    <row r="116" spans="1:73" x14ac:dyDescent="0.2">
      <c r="A116" s="87" t="str">
        <f>'Etape 2'!A113</f>
        <v/>
      </c>
      <c r="B116" s="87">
        <f>'Etape 2'!B113</f>
        <v>101</v>
      </c>
      <c r="C116" s="87">
        <f ca="1">'Etape 2'!C113</f>
        <v>200</v>
      </c>
      <c r="D116" s="87"/>
      <c r="E116" s="61">
        <f ca="1">RANK(BU116,BU$16:BU$315,0)+COUNTIF(BU$16:BU116,BU116)-1</f>
        <v>200</v>
      </c>
      <c r="F116" s="87" t="str">
        <f>'Etape 2'!D113</f>
        <v/>
      </c>
      <c r="G116" s="87" t="str">
        <f>'Etape 2'!E113</f>
        <v/>
      </c>
      <c r="H116" s="87" t="str">
        <f>'Etape 2'!F113</f>
        <v/>
      </c>
      <c r="I116" s="87" t="str">
        <f>'Etape 2'!G113</f>
        <v/>
      </c>
      <c r="J116" s="87" t="str">
        <f>'Etape 2'!H113</f>
        <v/>
      </c>
      <c r="K116" s="87" t="str">
        <f>'Etape 2'!I113</f>
        <v/>
      </c>
      <c r="L116" s="87">
        <f ca="1">'Etape 2'!J113</f>
        <v>999999</v>
      </c>
      <c r="M116" s="87">
        <f>'Etape 2'!K113</f>
        <v>999</v>
      </c>
      <c r="N116" s="87">
        <f ca="1">'Etape 2'!L113</f>
        <v>101</v>
      </c>
      <c r="O116" s="259">
        <f t="shared" si="102"/>
        <v>0.3</v>
      </c>
      <c r="P116" s="259">
        <f t="shared" si="103"/>
        <v>1.1000000000000001</v>
      </c>
      <c r="Q116" s="260">
        <f t="shared" si="104"/>
        <v>0</v>
      </c>
      <c r="R116" s="261">
        <f t="shared" si="143"/>
        <v>0</v>
      </c>
      <c r="S116" s="87">
        <f>IF(ISBLANK('Etape 2'!N113),0,VLOOKUP('Etape 2'!N113,Matrix_Uebersetzung,2,FALSE))</f>
        <v>0</v>
      </c>
      <c r="T116" s="87">
        <f>IF(ISBLANK('Etape 2'!O113),0,VLOOKUP('Etape 2'!O113,Matrix_Uebersetzung,2,FALSE))</f>
        <v>0</v>
      </c>
      <c r="U116" s="87">
        <f>IF(ISBLANK('Etape 2'!P113),0,VLOOKUP('Etape 2'!P113,Matrix_Uebersetzung,2,FALSE))</f>
        <v>0</v>
      </c>
      <c r="V116" s="87" t="str">
        <f>'Etape 2'!Q113</f>
        <v/>
      </c>
      <c r="W116" s="87">
        <f>'Etape 2'!R113</f>
        <v>0</v>
      </c>
      <c r="X116" s="87" t="str">
        <f>'Etape 2'!S113</f>
        <v/>
      </c>
      <c r="Y116" s="89" t="str">
        <f>'Etape 2'!T113</f>
        <v/>
      </c>
      <c r="Z116" s="87">
        <f>'Etape 2'!U113</f>
        <v>0</v>
      </c>
      <c r="AA116" s="87" t="str">
        <f>'Etape 2'!V113</f>
        <v/>
      </c>
      <c r="AB116" s="87">
        <f>IF(ISNUMBER('Etape 2'!W113),'Etape 2'!W113,0)</f>
        <v>0</v>
      </c>
      <c r="AC116" s="87">
        <f>IF(ISNUMBER('Etape 2'!X113),'Etape 2'!X113,0)</f>
        <v>0</v>
      </c>
      <c r="AD116" s="87">
        <f>IF(ISNUMBER('Etape 2'!Y113),'Etape 2'!Y113,0)</f>
        <v>0</v>
      </c>
      <c r="AE116" s="87">
        <f>IF(ISNUMBER('Etape 2'!Z113),'Etape 2'!Z113,0)</f>
        <v>0</v>
      </c>
      <c r="AF116" s="86">
        <f t="shared" si="129"/>
        <v>999</v>
      </c>
      <c r="AG116" s="288">
        <f t="shared" si="130"/>
        <v>0.25</v>
      </c>
      <c r="AH116" s="181" t="e">
        <f t="shared" si="105"/>
        <v>#VALUE!</v>
      </c>
      <c r="AI116" s="181" t="e">
        <f t="shared" si="146"/>
        <v>#VALUE!</v>
      </c>
      <c r="AJ116" s="86">
        <f t="shared" si="106"/>
        <v>200</v>
      </c>
      <c r="AK116" s="91" t="e">
        <f t="shared" si="107"/>
        <v>#N/A</v>
      </c>
      <c r="AL116" s="91" t="e">
        <f t="shared" si="147"/>
        <v>#N/A</v>
      </c>
      <c r="AM116" s="91">
        <f t="shared" si="109"/>
        <v>6</v>
      </c>
      <c r="AN116" s="91" t="e">
        <f t="shared" si="148"/>
        <v>#N/A</v>
      </c>
      <c r="AO116" s="91" t="e">
        <f t="shared" si="149"/>
        <v>#N/A</v>
      </c>
      <c r="AP116" s="21" t="e">
        <f t="shared" si="150"/>
        <v>#N/A</v>
      </c>
      <c r="AQ116" s="21" t="e">
        <f t="shared" si="151"/>
        <v>#N/A</v>
      </c>
      <c r="AR116" s="92" t="str">
        <f t="shared" si="134"/>
        <v/>
      </c>
      <c r="AS116" s="21" t="str">
        <f t="shared" si="135"/>
        <v/>
      </c>
      <c r="AT116" s="59" t="str">
        <f t="shared" si="112"/>
        <v/>
      </c>
      <c r="AU116" s="105">
        <f t="shared" si="113"/>
        <v>1</v>
      </c>
      <c r="AV116" s="105">
        <f t="shared" si="152"/>
        <v>1</v>
      </c>
      <c r="AW116" s="58">
        <f t="shared" si="153"/>
        <v>2</v>
      </c>
      <c r="AX116" s="58">
        <f t="shared" si="154"/>
        <v>3</v>
      </c>
      <c r="AY116" s="58" t="str">
        <f t="shared" si="155"/>
        <v>avec vannes</v>
      </c>
      <c r="AZ116" s="58" t="str">
        <f t="shared" si="156"/>
        <v>fermé</v>
      </c>
      <c r="BA116" s="60">
        <f t="shared" ref="BA116:BD135" si="157">IF(BA$15/$AG116&gt;1,0,VLOOKUP(BA$15/$AG116,Matrix_Regelung.Teilvolumenstrom.Einsparpotential.ID,$AX116,0))</f>
        <v>0</v>
      </c>
      <c r="BB116" s="60">
        <f t="shared" si="157"/>
        <v>0</v>
      </c>
      <c r="BC116" s="60">
        <f t="shared" si="157"/>
        <v>0</v>
      </c>
      <c r="BD116" s="60">
        <f t="shared" si="157"/>
        <v>0</v>
      </c>
      <c r="BE116" s="286" t="str">
        <f t="shared" si="118"/>
        <v/>
      </c>
      <c r="BF116" s="58" t="str">
        <f t="shared" si="136"/>
        <v/>
      </c>
      <c r="BG116" s="59" t="str">
        <f t="shared" si="119"/>
        <v/>
      </c>
      <c r="BH116" s="158">
        <f t="shared" ca="1" si="120"/>
        <v>1</v>
      </c>
      <c r="BI116" s="60">
        <f t="shared" ca="1" si="121"/>
        <v>0.15</v>
      </c>
      <c r="BJ116" s="60">
        <f t="shared" si="122"/>
        <v>0.2</v>
      </c>
      <c r="BK116" s="60" t="str">
        <f t="shared" si="137"/>
        <v/>
      </c>
      <c r="BL116" s="21" t="str">
        <f t="shared" si="138"/>
        <v/>
      </c>
      <c r="BM116" s="264" t="str">
        <f t="shared" si="123"/>
        <v/>
      </c>
      <c r="BN116" s="60" t="str">
        <f t="shared" si="139"/>
        <v/>
      </c>
      <c r="BO116" s="136">
        <f t="shared" si="140"/>
        <v>0</v>
      </c>
      <c r="BP116" s="59">
        <f t="shared" si="141"/>
        <v>0</v>
      </c>
      <c r="BQ116" s="136">
        <f t="shared" ca="1" si="124"/>
        <v>1301</v>
      </c>
      <c r="BR116" s="136">
        <f t="shared" ca="1" si="125"/>
        <v>1000.3355481727575</v>
      </c>
      <c r="BS116" s="136">
        <f t="shared" ca="1" si="126"/>
        <v>1468800.3355481727</v>
      </c>
      <c r="BT116" s="136">
        <f t="shared" ca="1" si="127"/>
        <v>313875.25827393198</v>
      </c>
      <c r="BU116" s="136">
        <f t="shared" ca="1" si="128"/>
        <v>1000.3355481727575</v>
      </c>
    </row>
    <row r="117" spans="1:73" x14ac:dyDescent="0.2">
      <c r="A117" s="87" t="str">
        <f>'Etape 2'!A114</f>
        <v/>
      </c>
      <c r="B117" s="87">
        <f>'Etape 2'!B114</f>
        <v>102</v>
      </c>
      <c r="C117" s="87">
        <f ca="1">'Etape 2'!C114</f>
        <v>199</v>
      </c>
      <c r="D117" s="87"/>
      <c r="E117" s="61">
        <f ca="1">RANK(BU117,BU$16:BU$315,0)+COUNTIF(BU$16:BU117,BU117)-1</f>
        <v>199</v>
      </c>
      <c r="F117" s="87" t="str">
        <f>'Etape 2'!D114</f>
        <v/>
      </c>
      <c r="G117" s="87" t="str">
        <f>'Etape 2'!E114</f>
        <v/>
      </c>
      <c r="H117" s="87" t="str">
        <f>'Etape 2'!F114</f>
        <v/>
      </c>
      <c r="I117" s="87" t="str">
        <f>'Etape 2'!G114</f>
        <v/>
      </c>
      <c r="J117" s="87" t="str">
        <f>'Etape 2'!H114</f>
        <v/>
      </c>
      <c r="K117" s="87" t="str">
        <f>'Etape 2'!I114</f>
        <v/>
      </c>
      <c r="L117" s="87">
        <f ca="1">'Etape 2'!J114</f>
        <v>999999</v>
      </c>
      <c r="M117" s="87">
        <f>'Etape 2'!K114</f>
        <v>999</v>
      </c>
      <c r="N117" s="87">
        <f ca="1">'Etape 2'!L114</f>
        <v>102</v>
      </c>
      <c r="O117" s="259">
        <f t="shared" si="102"/>
        <v>0.3</v>
      </c>
      <c r="P117" s="259">
        <f t="shared" si="103"/>
        <v>1.1000000000000001</v>
      </c>
      <c r="Q117" s="260">
        <f t="shared" si="104"/>
        <v>0</v>
      </c>
      <c r="R117" s="261">
        <f t="shared" si="143"/>
        <v>0</v>
      </c>
      <c r="S117" s="87">
        <f>IF(ISBLANK('Etape 2'!N114),0,VLOOKUP('Etape 2'!N114,Matrix_Uebersetzung,2,FALSE))</f>
        <v>0</v>
      </c>
      <c r="T117" s="87">
        <f>IF(ISBLANK('Etape 2'!O114),0,VLOOKUP('Etape 2'!O114,Matrix_Uebersetzung,2,FALSE))</f>
        <v>0</v>
      </c>
      <c r="U117" s="87">
        <f>IF(ISBLANK('Etape 2'!P114),0,VLOOKUP('Etape 2'!P114,Matrix_Uebersetzung,2,FALSE))</f>
        <v>0</v>
      </c>
      <c r="V117" s="87" t="str">
        <f>'Etape 2'!Q114</f>
        <v/>
      </c>
      <c r="W117" s="87">
        <f>'Etape 2'!R114</f>
        <v>0</v>
      </c>
      <c r="X117" s="87" t="str">
        <f>'Etape 2'!S114</f>
        <v/>
      </c>
      <c r="Y117" s="89" t="str">
        <f>'Etape 2'!T114</f>
        <v/>
      </c>
      <c r="Z117" s="87">
        <f>'Etape 2'!U114</f>
        <v>0</v>
      </c>
      <c r="AA117" s="87" t="str">
        <f>'Etape 2'!V114</f>
        <v/>
      </c>
      <c r="AB117" s="87">
        <f>IF(ISNUMBER('Etape 2'!W114),'Etape 2'!W114,0)</f>
        <v>0</v>
      </c>
      <c r="AC117" s="87">
        <f>IF(ISNUMBER('Etape 2'!X114),'Etape 2'!X114,0)</f>
        <v>0</v>
      </c>
      <c r="AD117" s="87">
        <f>IF(ISNUMBER('Etape 2'!Y114),'Etape 2'!Y114,0)</f>
        <v>0</v>
      </c>
      <c r="AE117" s="87">
        <f>IF(ISNUMBER('Etape 2'!Z114),'Etape 2'!Z114,0)</f>
        <v>0</v>
      </c>
      <c r="AF117" s="86">
        <f t="shared" si="129"/>
        <v>999</v>
      </c>
      <c r="AG117" s="288">
        <f t="shared" si="130"/>
        <v>0.25</v>
      </c>
      <c r="AH117" s="181" t="e">
        <f t="shared" si="105"/>
        <v>#VALUE!</v>
      </c>
      <c r="AI117" s="181" t="e">
        <f t="shared" si="146"/>
        <v>#VALUE!</v>
      </c>
      <c r="AJ117" s="86">
        <f t="shared" si="106"/>
        <v>200</v>
      </c>
      <c r="AK117" s="91" t="e">
        <f t="shared" si="107"/>
        <v>#N/A</v>
      </c>
      <c r="AL117" s="91" t="e">
        <f t="shared" si="147"/>
        <v>#N/A</v>
      </c>
      <c r="AM117" s="91">
        <f t="shared" si="109"/>
        <v>6</v>
      </c>
      <c r="AN117" s="91" t="e">
        <f t="shared" si="148"/>
        <v>#N/A</v>
      </c>
      <c r="AO117" s="91" t="e">
        <f t="shared" si="149"/>
        <v>#N/A</v>
      </c>
      <c r="AP117" s="21" t="e">
        <f t="shared" si="150"/>
        <v>#N/A</v>
      </c>
      <c r="AQ117" s="21" t="e">
        <f t="shared" si="151"/>
        <v>#N/A</v>
      </c>
      <c r="AR117" s="92" t="str">
        <f t="shared" si="134"/>
        <v/>
      </c>
      <c r="AS117" s="21" t="str">
        <f t="shared" si="135"/>
        <v/>
      </c>
      <c r="AT117" s="59" t="str">
        <f t="shared" si="112"/>
        <v/>
      </c>
      <c r="AU117" s="105">
        <f t="shared" si="113"/>
        <v>1</v>
      </c>
      <c r="AV117" s="105">
        <f t="shared" si="152"/>
        <v>1</v>
      </c>
      <c r="AW117" s="58">
        <f t="shared" si="153"/>
        <v>2</v>
      </c>
      <c r="AX117" s="58">
        <f t="shared" si="154"/>
        <v>3</v>
      </c>
      <c r="AY117" s="58" t="str">
        <f t="shared" si="155"/>
        <v>avec vannes</v>
      </c>
      <c r="AZ117" s="58" t="str">
        <f t="shared" si="156"/>
        <v>fermé</v>
      </c>
      <c r="BA117" s="60">
        <f t="shared" si="157"/>
        <v>0</v>
      </c>
      <c r="BB117" s="60">
        <f t="shared" si="157"/>
        <v>0</v>
      </c>
      <c r="BC117" s="60">
        <f t="shared" si="157"/>
        <v>0</v>
      </c>
      <c r="BD117" s="60">
        <f t="shared" si="157"/>
        <v>0</v>
      </c>
      <c r="BE117" s="286" t="str">
        <f t="shared" si="118"/>
        <v/>
      </c>
      <c r="BF117" s="58" t="str">
        <f t="shared" si="136"/>
        <v/>
      </c>
      <c r="BG117" s="59" t="str">
        <f t="shared" si="119"/>
        <v/>
      </c>
      <c r="BH117" s="158">
        <f t="shared" ca="1" si="120"/>
        <v>1</v>
      </c>
      <c r="BI117" s="60">
        <f t="shared" ca="1" si="121"/>
        <v>0.15</v>
      </c>
      <c r="BJ117" s="60">
        <f t="shared" si="122"/>
        <v>0.2</v>
      </c>
      <c r="BK117" s="60" t="str">
        <f t="shared" si="137"/>
        <v/>
      </c>
      <c r="BL117" s="21" t="str">
        <f t="shared" si="138"/>
        <v/>
      </c>
      <c r="BM117" s="264" t="str">
        <f t="shared" si="123"/>
        <v/>
      </c>
      <c r="BN117" s="60" t="str">
        <f t="shared" si="139"/>
        <v/>
      </c>
      <c r="BO117" s="136">
        <f t="shared" si="140"/>
        <v>0</v>
      </c>
      <c r="BP117" s="59">
        <f t="shared" si="141"/>
        <v>0</v>
      </c>
      <c r="BQ117" s="136">
        <f t="shared" ca="1" si="124"/>
        <v>1302</v>
      </c>
      <c r="BR117" s="136">
        <f t="shared" ca="1" si="125"/>
        <v>1000.3388704318937</v>
      </c>
      <c r="BS117" s="136">
        <f t="shared" ca="1" si="126"/>
        <v>1468800.338870432</v>
      </c>
      <c r="BT117" s="136">
        <f t="shared" ca="1" si="127"/>
        <v>313875.26159619109</v>
      </c>
      <c r="BU117" s="136">
        <f t="shared" ca="1" si="128"/>
        <v>1000.3388704318937</v>
      </c>
    </row>
    <row r="118" spans="1:73" x14ac:dyDescent="0.2">
      <c r="A118" s="87" t="str">
        <f>'Etape 2'!A115</f>
        <v/>
      </c>
      <c r="B118" s="87">
        <f>'Etape 2'!B115</f>
        <v>103</v>
      </c>
      <c r="C118" s="87">
        <f ca="1">'Etape 2'!C115</f>
        <v>198</v>
      </c>
      <c r="D118" s="87"/>
      <c r="E118" s="61">
        <f ca="1">RANK(BU118,BU$16:BU$315,0)+COUNTIF(BU$16:BU118,BU118)-1</f>
        <v>198</v>
      </c>
      <c r="F118" s="87" t="str">
        <f>'Etape 2'!D115</f>
        <v/>
      </c>
      <c r="G118" s="87" t="str">
        <f>'Etape 2'!E115</f>
        <v/>
      </c>
      <c r="H118" s="87" t="str">
        <f>'Etape 2'!F115</f>
        <v/>
      </c>
      <c r="I118" s="87" t="str">
        <f>'Etape 2'!G115</f>
        <v/>
      </c>
      <c r="J118" s="87" t="str">
        <f>'Etape 2'!H115</f>
        <v/>
      </c>
      <c r="K118" s="87" t="str">
        <f>'Etape 2'!I115</f>
        <v/>
      </c>
      <c r="L118" s="87">
        <f ca="1">'Etape 2'!J115</f>
        <v>999999</v>
      </c>
      <c r="M118" s="87">
        <f>'Etape 2'!K115</f>
        <v>999</v>
      </c>
      <c r="N118" s="87">
        <f ca="1">'Etape 2'!L115</f>
        <v>103</v>
      </c>
      <c r="O118" s="259">
        <f t="shared" si="102"/>
        <v>0.3</v>
      </c>
      <c r="P118" s="259">
        <f t="shared" si="103"/>
        <v>1.1000000000000001</v>
      </c>
      <c r="Q118" s="260">
        <f t="shared" si="104"/>
        <v>0</v>
      </c>
      <c r="R118" s="261">
        <f t="shared" si="143"/>
        <v>0</v>
      </c>
      <c r="S118" s="87">
        <f>IF(ISBLANK('Etape 2'!N115),0,VLOOKUP('Etape 2'!N115,Matrix_Uebersetzung,2,FALSE))</f>
        <v>0</v>
      </c>
      <c r="T118" s="87">
        <f>IF(ISBLANK('Etape 2'!O115),0,VLOOKUP('Etape 2'!O115,Matrix_Uebersetzung,2,FALSE))</f>
        <v>0</v>
      </c>
      <c r="U118" s="87">
        <f>IF(ISBLANK('Etape 2'!P115),0,VLOOKUP('Etape 2'!P115,Matrix_Uebersetzung,2,FALSE))</f>
        <v>0</v>
      </c>
      <c r="V118" s="87" t="str">
        <f>'Etape 2'!Q115</f>
        <v/>
      </c>
      <c r="W118" s="87">
        <f>'Etape 2'!R115</f>
        <v>0</v>
      </c>
      <c r="X118" s="87" t="str">
        <f>'Etape 2'!S115</f>
        <v/>
      </c>
      <c r="Y118" s="89" t="str">
        <f>'Etape 2'!T115</f>
        <v/>
      </c>
      <c r="Z118" s="87">
        <f>'Etape 2'!U115</f>
        <v>0</v>
      </c>
      <c r="AA118" s="87" t="str">
        <f>'Etape 2'!V115</f>
        <v/>
      </c>
      <c r="AB118" s="87">
        <f>IF(ISNUMBER('Etape 2'!W115),'Etape 2'!W115,0)</f>
        <v>0</v>
      </c>
      <c r="AC118" s="87">
        <f>IF(ISNUMBER('Etape 2'!X115),'Etape 2'!X115,0)</f>
        <v>0</v>
      </c>
      <c r="AD118" s="87">
        <f>IF(ISNUMBER('Etape 2'!Y115),'Etape 2'!Y115,0)</f>
        <v>0</v>
      </c>
      <c r="AE118" s="87">
        <f>IF(ISNUMBER('Etape 2'!Z115),'Etape 2'!Z115,0)</f>
        <v>0</v>
      </c>
      <c r="AF118" s="86">
        <f t="shared" si="129"/>
        <v>999</v>
      </c>
      <c r="AG118" s="288">
        <f t="shared" si="130"/>
        <v>0.25</v>
      </c>
      <c r="AH118" s="181" t="e">
        <f t="shared" si="105"/>
        <v>#VALUE!</v>
      </c>
      <c r="AI118" s="181" t="e">
        <f t="shared" si="146"/>
        <v>#VALUE!</v>
      </c>
      <c r="AJ118" s="86">
        <f t="shared" si="106"/>
        <v>200</v>
      </c>
      <c r="AK118" s="91" t="e">
        <f t="shared" si="107"/>
        <v>#N/A</v>
      </c>
      <c r="AL118" s="91" t="e">
        <f t="shared" si="147"/>
        <v>#N/A</v>
      </c>
      <c r="AM118" s="91">
        <f t="shared" si="109"/>
        <v>6</v>
      </c>
      <c r="AN118" s="91" t="e">
        <f t="shared" si="148"/>
        <v>#N/A</v>
      </c>
      <c r="AO118" s="91" t="e">
        <f t="shared" si="149"/>
        <v>#N/A</v>
      </c>
      <c r="AP118" s="21" t="e">
        <f t="shared" si="150"/>
        <v>#N/A</v>
      </c>
      <c r="AQ118" s="21" t="e">
        <f t="shared" si="151"/>
        <v>#N/A</v>
      </c>
      <c r="AR118" s="92" t="str">
        <f t="shared" si="134"/>
        <v/>
      </c>
      <c r="AS118" s="21" t="str">
        <f t="shared" si="135"/>
        <v/>
      </c>
      <c r="AT118" s="59" t="str">
        <f t="shared" si="112"/>
        <v/>
      </c>
      <c r="AU118" s="105">
        <f t="shared" si="113"/>
        <v>1</v>
      </c>
      <c r="AV118" s="105">
        <f t="shared" si="152"/>
        <v>1</v>
      </c>
      <c r="AW118" s="58">
        <f t="shared" si="153"/>
        <v>2</v>
      </c>
      <c r="AX118" s="58">
        <f t="shared" si="154"/>
        <v>3</v>
      </c>
      <c r="AY118" s="58" t="str">
        <f t="shared" si="155"/>
        <v>avec vannes</v>
      </c>
      <c r="AZ118" s="58" t="str">
        <f t="shared" si="156"/>
        <v>fermé</v>
      </c>
      <c r="BA118" s="60">
        <f t="shared" si="157"/>
        <v>0</v>
      </c>
      <c r="BB118" s="60">
        <f t="shared" si="157"/>
        <v>0</v>
      </c>
      <c r="BC118" s="60">
        <f t="shared" si="157"/>
        <v>0</v>
      </c>
      <c r="BD118" s="60">
        <f t="shared" si="157"/>
        <v>0</v>
      </c>
      <c r="BE118" s="286" t="str">
        <f t="shared" si="118"/>
        <v/>
      </c>
      <c r="BF118" s="58" t="str">
        <f t="shared" si="136"/>
        <v/>
      </c>
      <c r="BG118" s="59" t="str">
        <f t="shared" si="119"/>
        <v/>
      </c>
      <c r="BH118" s="158">
        <f t="shared" ca="1" si="120"/>
        <v>1</v>
      </c>
      <c r="BI118" s="60">
        <f t="shared" ca="1" si="121"/>
        <v>0.15</v>
      </c>
      <c r="BJ118" s="60">
        <f t="shared" si="122"/>
        <v>0.2</v>
      </c>
      <c r="BK118" s="60" t="str">
        <f t="shared" si="137"/>
        <v/>
      </c>
      <c r="BL118" s="21" t="str">
        <f t="shared" si="138"/>
        <v/>
      </c>
      <c r="BM118" s="264" t="str">
        <f t="shared" si="123"/>
        <v/>
      </c>
      <c r="BN118" s="60" t="str">
        <f t="shared" si="139"/>
        <v/>
      </c>
      <c r="BO118" s="136">
        <f t="shared" si="140"/>
        <v>0</v>
      </c>
      <c r="BP118" s="59">
        <f t="shared" si="141"/>
        <v>0</v>
      </c>
      <c r="BQ118" s="136">
        <f t="shared" ca="1" si="124"/>
        <v>1303</v>
      </c>
      <c r="BR118" s="136">
        <f t="shared" ca="1" si="125"/>
        <v>1000.3421926910299</v>
      </c>
      <c r="BS118" s="136">
        <f t="shared" ca="1" si="126"/>
        <v>1468800.3421926911</v>
      </c>
      <c r="BT118" s="136">
        <f t="shared" ca="1" si="127"/>
        <v>313875.26491845027</v>
      </c>
      <c r="BU118" s="136">
        <f t="shared" ca="1" si="128"/>
        <v>1000.3421926910299</v>
      </c>
    </row>
    <row r="119" spans="1:73" x14ac:dyDescent="0.2">
      <c r="A119" s="87" t="str">
        <f>'Etape 2'!A116</f>
        <v/>
      </c>
      <c r="B119" s="87">
        <f>'Etape 2'!B116</f>
        <v>104</v>
      </c>
      <c r="C119" s="87">
        <f ca="1">'Etape 2'!C116</f>
        <v>197</v>
      </c>
      <c r="D119" s="87"/>
      <c r="E119" s="61">
        <f ca="1">RANK(BU119,BU$16:BU$315,0)+COUNTIF(BU$16:BU119,BU119)-1</f>
        <v>197</v>
      </c>
      <c r="F119" s="87" t="str">
        <f>'Etape 2'!D116</f>
        <v/>
      </c>
      <c r="G119" s="87" t="str">
        <f>'Etape 2'!E116</f>
        <v/>
      </c>
      <c r="H119" s="87" t="str">
        <f>'Etape 2'!F116</f>
        <v/>
      </c>
      <c r="I119" s="87" t="str">
        <f>'Etape 2'!G116</f>
        <v/>
      </c>
      <c r="J119" s="87" t="str">
        <f>'Etape 2'!H116</f>
        <v/>
      </c>
      <c r="K119" s="87" t="str">
        <f>'Etape 2'!I116</f>
        <v/>
      </c>
      <c r="L119" s="87">
        <f ca="1">'Etape 2'!J116</f>
        <v>999999</v>
      </c>
      <c r="M119" s="87">
        <f>'Etape 2'!K116</f>
        <v>999</v>
      </c>
      <c r="N119" s="87">
        <f ca="1">'Etape 2'!L116</f>
        <v>104</v>
      </c>
      <c r="O119" s="259">
        <f t="shared" si="102"/>
        <v>0.3</v>
      </c>
      <c r="P119" s="259">
        <f t="shared" si="103"/>
        <v>1.1000000000000001</v>
      </c>
      <c r="Q119" s="260">
        <f t="shared" si="104"/>
        <v>0</v>
      </c>
      <c r="R119" s="261">
        <f t="shared" si="143"/>
        <v>0</v>
      </c>
      <c r="S119" s="87">
        <f>IF(ISBLANK('Etape 2'!N116),0,VLOOKUP('Etape 2'!N116,Matrix_Uebersetzung,2,FALSE))</f>
        <v>0</v>
      </c>
      <c r="T119" s="87">
        <f>IF(ISBLANK('Etape 2'!O116),0,VLOOKUP('Etape 2'!O116,Matrix_Uebersetzung,2,FALSE))</f>
        <v>0</v>
      </c>
      <c r="U119" s="87">
        <f>IF(ISBLANK('Etape 2'!P116),0,VLOOKUP('Etape 2'!P116,Matrix_Uebersetzung,2,FALSE))</f>
        <v>0</v>
      </c>
      <c r="V119" s="87" t="str">
        <f>'Etape 2'!Q116</f>
        <v/>
      </c>
      <c r="W119" s="87">
        <f>'Etape 2'!R116</f>
        <v>0</v>
      </c>
      <c r="X119" s="87" t="str">
        <f>'Etape 2'!S116</f>
        <v/>
      </c>
      <c r="Y119" s="89" t="str">
        <f>'Etape 2'!T116</f>
        <v/>
      </c>
      <c r="Z119" s="87">
        <f>'Etape 2'!U116</f>
        <v>0</v>
      </c>
      <c r="AA119" s="87" t="str">
        <f>'Etape 2'!V116</f>
        <v/>
      </c>
      <c r="AB119" s="87">
        <f>IF(ISNUMBER('Etape 2'!W116),'Etape 2'!W116,0)</f>
        <v>0</v>
      </c>
      <c r="AC119" s="87">
        <f>IF(ISNUMBER('Etape 2'!X116),'Etape 2'!X116,0)</f>
        <v>0</v>
      </c>
      <c r="AD119" s="87">
        <f>IF(ISNUMBER('Etape 2'!Y116),'Etape 2'!Y116,0)</f>
        <v>0</v>
      </c>
      <c r="AE119" s="87">
        <f>IF(ISNUMBER('Etape 2'!Z116),'Etape 2'!Z116,0)</f>
        <v>0</v>
      </c>
      <c r="AF119" s="86">
        <f t="shared" si="129"/>
        <v>999</v>
      </c>
      <c r="AG119" s="288">
        <f t="shared" si="130"/>
        <v>0.25</v>
      </c>
      <c r="AH119" s="181" t="e">
        <f t="shared" si="105"/>
        <v>#VALUE!</v>
      </c>
      <c r="AI119" s="181" t="e">
        <f t="shared" si="146"/>
        <v>#VALUE!</v>
      </c>
      <c r="AJ119" s="86">
        <f t="shared" si="106"/>
        <v>200</v>
      </c>
      <c r="AK119" s="91" t="e">
        <f t="shared" si="107"/>
        <v>#N/A</v>
      </c>
      <c r="AL119" s="91" t="e">
        <f t="shared" si="147"/>
        <v>#N/A</v>
      </c>
      <c r="AM119" s="91">
        <f t="shared" si="109"/>
        <v>6</v>
      </c>
      <c r="AN119" s="91" t="e">
        <f t="shared" si="148"/>
        <v>#N/A</v>
      </c>
      <c r="AO119" s="91" t="e">
        <f t="shared" si="149"/>
        <v>#N/A</v>
      </c>
      <c r="AP119" s="21" t="e">
        <f t="shared" si="150"/>
        <v>#N/A</v>
      </c>
      <c r="AQ119" s="21" t="e">
        <f t="shared" si="151"/>
        <v>#N/A</v>
      </c>
      <c r="AR119" s="92" t="str">
        <f t="shared" si="134"/>
        <v/>
      </c>
      <c r="AS119" s="21" t="str">
        <f t="shared" si="135"/>
        <v/>
      </c>
      <c r="AT119" s="59" t="str">
        <f t="shared" si="112"/>
        <v/>
      </c>
      <c r="AU119" s="105">
        <f t="shared" si="113"/>
        <v>1</v>
      </c>
      <c r="AV119" s="105">
        <f t="shared" si="152"/>
        <v>1</v>
      </c>
      <c r="AW119" s="58">
        <f t="shared" si="153"/>
        <v>2</v>
      </c>
      <c r="AX119" s="58">
        <f t="shared" si="154"/>
        <v>3</v>
      </c>
      <c r="AY119" s="58" t="str">
        <f t="shared" si="155"/>
        <v>avec vannes</v>
      </c>
      <c r="AZ119" s="58" t="str">
        <f t="shared" si="156"/>
        <v>fermé</v>
      </c>
      <c r="BA119" s="60">
        <f t="shared" si="157"/>
        <v>0</v>
      </c>
      <c r="BB119" s="60">
        <f t="shared" si="157"/>
        <v>0</v>
      </c>
      <c r="BC119" s="60">
        <f t="shared" si="157"/>
        <v>0</v>
      </c>
      <c r="BD119" s="60">
        <f t="shared" si="157"/>
        <v>0</v>
      </c>
      <c r="BE119" s="286" t="str">
        <f t="shared" si="118"/>
        <v/>
      </c>
      <c r="BF119" s="58" t="str">
        <f t="shared" si="136"/>
        <v/>
      </c>
      <c r="BG119" s="59" t="str">
        <f t="shared" si="119"/>
        <v/>
      </c>
      <c r="BH119" s="158">
        <f t="shared" ca="1" si="120"/>
        <v>1</v>
      </c>
      <c r="BI119" s="60">
        <f t="shared" ca="1" si="121"/>
        <v>0.15</v>
      </c>
      <c r="BJ119" s="60">
        <f t="shared" si="122"/>
        <v>0.2</v>
      </c>
      <c r="BK119" s="60" t="str">
        <f t="shared" si="137"/>
        <v/>
      </c>
      <c r="BL119" s="21" t="str">
        <f t="shared" si="138"/>
        <v/>
      </c>
      <c r="BM119" s="264" t="str">
        <f t="shared" si="123"/>
        <v/>
      </c>
      <c r="BN119" s="60" t="str">
        <f t="shared" si="139"/>
        <v/>
      </c>
      <c r="BO119" s="136">
        <f t="shared" si="140"/>
        <v>0</v>
      </c>
      <c r="BP119" s="59">
        <f t="shared" si="141"/>
        <v>0</v>
      </c>
      <c r="BQ119" s="136">
        <f t="shared" ca="1" si="124"/>
        <v>1304</v>
      </c>
      <c r="BR119" s="136">
        <f t="shared" ca="1" si="125"/>
        <v>1000.3455149501661</v>
      </c>
      <c r="BS119" s="136">
        <f t="shared" ca="1" si="126"/>
        <v>1468800.3455149501</v>
      </c>
      <c r="BT119" s="136">
        <f t="shared" ca="1" si="127"/>
        <v>313875.26824070938</v>
      </c>
      <c r="BU119" s="136">
        <f t="shared" ca="1" si="128"/>
        <v>1000.3455149501661</v>
      </c>
    </row>
    <row r="120" spans="1:73" x14ac:dyDescent="0.2">
      <c r="A120" s="87" t="str">
        <f>'Etape 2'!A117</f>
        <v/>
      </c>
      <c r="B120" s="87">
        <f>'Etape 2'!B117</f>
        <v>105</v>
      </c>
      <c r="C120" s="87">
        <f ca="1">'Etape 2'!C117</f>
        <v>196</v>
      </c>
      <c r="D120" s="87"/>
      <c r="E120" s="61">
        <f ca="1">RANK(BU120,BU$16:BU$315,0)+COUNTIF(BU$16:BU120,BU120)-1</f>
        <v>196</v>
      </c>
      <c r="F120" s="87" t="str">
        <f>'Etape 2'!D117</f>
        <v/>
      </c>
      <c r="G120" s="87" t="str">
        <f>'Etape 2'!E117</f>
        <v/>
      </c>
      <c r="H120" s="87" t="str">
        <f>'Etape 2'!F117</f>
        <v/>
      </c>
      <c r="I120" s="87" t="str">
        <f>'Etape 2'!G117</f>
        <v/>
      </c>
      <c r="J120" s="87" t="str">
        <f>'Etape 2'!H117</f>
        <v/>
      </c>
      <c r="K120" s="87" t="str">
        <f>'Etape 2'!I117</f>
        <v/>
      </c>
      <c r="L120" s="87">
        <f ca="1">'Etape 2'!J117</f>
        <v>999999</v>
      </c>
      <c r="M120" s="87">
        <f>'Etape 2'!K117</f>
        <v>999</v>
      </c>
      <c r="N120" s="87">
        <f ca="1">'Etape 2'!L117</f>
        <v>105</v>
      </c>
      <c r="O120" s="259">
        <f t="shared" si="102"/>
        <v>0.3</v>
      </c>
      <c r="P120" s="259">
        <f t="shared" si="103"/>
        <v>1.1000000000000001</v>
      </c>
      <c r="Q120" s="260">
        <f t="shared" si="104"/>
        <v>0</v>
      </c>
      <c r="R120" s="261">
        <f t="shared" si="143"/>
        <v>0</v>
      </c>
      <c r="S120" s="87">
        <f>IF(ISBLANK('Etape 2'!N117),0,VLOOKUP('Etape 2'!N117,Matrix_Uebersetzung,2,FALSE))</f>
        <v>0</v>
      </c>
      <c r="T120" s="87">
        <f>IF(ISBLANK('Etape 2'!O117),0,VLOOKUP('Etape 2'!O117,Matrix_Uebersetzung,2,FALSE))</f>
        <v>0</v>
      </c>
      <c r="U120" s="87">
        <f>IF(ISBLANK('Etape 2'!P117),0,VLOOKUP('Etape 2'!P117,Matrix_Uebersetzung,2,FALSE))</f>
        <v>0</v>
      </c>
      <c r="V120" s="87" t="str">
        <f>'Etape 2'!Q117</f>
        <v/>
      </c>
      <c r="W120" s="87">
        <f>'Etape 2'!R117</f>
        <v>0</v>
      </c>
      <c r="X120" s="87" t="str">
        <f>'Etape 2'!S117</f>
        <v/>
      </c>
      <c r="Y120" s="89" t="str">
        <f>'Etape 2'!T117</f>
        <v/>
      </c>
      <c r="Z120" s="87">
        <f>'Etape 2'!U117</f>
        <v>0</v>
      </c>
      <c r="AA120" s="87" t="str">
        <f>'Etape 2'!V117</f>
        <v/>
      </c>
      <c r="AB120" s="87">
        <f>IF(ISNUMBER('Etape 2'!W117),'Etape 2'!W117,0)</f>
        <v>0</v>
      </c>
      <c r="AC120" s="87">
        <f>IF(ISNUMBER('Etape 2'!X117),'Etape 2'!X117,0)</f>
        <v>0</v>
      </c>
      <c r="AD120" s="87">
        <f>IF(ISNUMBER('Etape 2'!Y117),'Etape 2'!Y117,0)</f>
        <v>0</v>
      </c>
      <c r="AE120" s="87">
        <f>IF(ISNUMBER('Etape 2'!Z117),'Etape 2'!Z117,0)</f>
        <v>0</v>
      </c>
      <c r="AF120" s="86">
        <f t="shared" si="129"/>
        <v>999</v>
      </c>
      <c r="AG120" s="288">
        <f t="shared" si="130"/>
        <v>0.25</v>
      </c>
      <c r="AH120" s="181" t="e">
        <f t="shared" si="105"/>
        <v>#VALUE!</v>
      </c>
      <c r="AI120" s="181" t="e">
        <f t="shared" si="146"/>
        <v>#VALUE!</v>
      </c>
      <c r="AJ120" s="86">
        <f t="shared" si="106"/>
        <v>200</v>
      </c>
      <c r="AK120" s="91" t="e">
        <f t="shared" si="107"/>
        <v>#N/A</v>
      </c>
      <c r="AL120" s="91" t="e">
        <f t="shared" si="147"/>
        <v>#N/A</v>
      </c>
      <c r="AM120" s="91">
        <f t="shared" si="109"/>
        <v>6</v>
      </c>
      <c r="AN120" s="91" t="e">
        <f t="shared" si="148"/>
        <v>#N/A</v>
      </c>
      <c r="AO120" s="91" t="e">
        <f t="shared" si="149"/>
        <v>#N/A</v>
      </c>
      <c r="AP120" s="21" t="e">
        <f t="shared" si="150"/>
        <v>#N/A</v>
      </c>
      <c r="AQ120" s="21" t="e">
        <f t="shared" si="151"/>
        <v>#N/A</v>
      </c>
      <c r="AR120" s="92" t="str">
        <f t="shared" si="134"/>
        <v/>
      </c>
      <c r="AS120" s="21" t="str">
        <f t="shared" si="135"/>
        <v/>
      </c>
      <c r="AT120" s="59" t="str">
        <f t="shared" si="112"/>
        <v/>
      </c>
      <c r="AU120" s="105">
        <f t="shared" si="113"/>
        <v>1</v>
      </c>
      <c r="AV120" s="105">
        <f t="shared" si="152"/>
        <v>1</v>
      </c>
      <c r="AW120" s="58">
        <f t="shared" si="153"/>
        <v>2</v>
      </c>
      <c r="AX120" s="58">
        <f t="shared" si="154"/>
        <v>3</v>
      </c>
      <c r="AY120" s="58" t="str">
        <f t="shared" si="155"/>
        <v>avec vannes</v>
      </c>
      <c r="AZ120" s="58" t="str">
        <f t="shared" si="156"/>
        <v>fermé</v>
      </c>
      <c r="BA120" s="60">
        <f t="shared" si="157"/>
        <v>0</v>
      </c>
      <c r="BB120" s="60">
        <f t="shared" si="157"/>
        <v>0</v>
      </c>
      <c r="BC120" s="60">
        <f t="shared" si="157"/>
        <v>0</v>
      </c>
      <c r="BD120" s="60">
        <f t="shared" si="157"/>
        <v>0</v>
      </c>
      <c r="BE120" s="286" t="str">
        <f t="shared" si="118"/>
        <v/>
      </c>
      <c r="BF120" s="58" t="str">
        <f t="shared" si="136"/>
        <v/>
      </c>
      <c r="BG120" s="59" t="str">
        <f t="shared" si="119"/>
        <v/>
      </c>
      <c r="BH120" s="158">
        <f t="shared" ca="1" si="120"/>
        <v>1</v>
      </c>
      <c r="BI120" s="60">
        <f t="shared" ca="1" si="121"/>
        <v>0.15</v>
      </c>
      <c r="BJ120" s="60">
        <f t="shared" si="122"/>
        <v>0.2</v>
      </c>
      <c r="BK120" s="60" t="str">
        <f t="shared" si="137"/>
        <v/>
      </c>
      <c r="BL120" s="21" t="str">
        <f t="shared" si="138"/>
        <v/>
      </c>
      <c r="BM120" s="264" t="str">
        <f t="shared" si="123"/>
        <v/>
      </c>
      <c r="BN120" s="60" t="str">
        <f t="shared" si="139"/>
        <v/>
      </c>
      <c r="BO120" s="136">
        <f t="shared" si="140"/>
        <v>0</v>
      </c>
      <c r="BP120" s="59">
        <f t="shared" si="141"/>
        <v>0</v>
      </c>
      <c r="BQ120" s="136">
        <f t="shared" ca="1" si="124"/>
        <v>1305</v>
      </c>
      <c r="BR120" s="136">
        <f t="shared" ca="1" si="125"/>
        <v>1000.3488372093024</v>
      </c>
      <c r="BS120" s="136">
        <f t="shared" ca="1" si="126"/>
        <v>1468800.3488372094</v>
      </c>
      <c r="BT120" s="136">
        <f t="shared" ca="1" si="127"/>
        <v>313875.2715629685</v>
      </c>
      <c r="BU120" s="136">
        <f t="shared" ca="1" si="128"/>
        <v>1000.3488372093024</v>
      </c>
    </row>
    <row r="121" spans="1:73" x14ac:dyDescent="0.2">
      <c r="A121" s="87" t="str">
        <f>'Etape 2'!A118</f>
        <v/>
      </c>
      <c r="B121" s="87">
        <f>'Etape 2'!B118</f>
        <v>106</v>
      </c>
      <c r="C121" s="87">
        <f ca="1">'Etape 2'!C118</f>
        <v>195</v>
      </c>
      <c r="D121" s="87"/>
      <c r="E121" s="61">
        <f ca="1">RANK(BU121,BU$16:BU$315,0)+COUNTIF(BU$16:BU121,BU121)-1</f>
        <v>195</v>
      </c>
      <c r="F121" s="87" t="str">
        <f>'Etape 2'!D118</f>
        <v/>
      </c>
      <c r="G121" s="87" t="str">
        <f>'Etape 2'!E118</f>
        <v/>
      </c>
      <c r="H121" s="87" t="str">
        <f>'Etape 2'!F118</f>
        <v/>
      </c>
      <c r="I121" s="87" t="str">
        <f>'Etape 2'!G118</f>
        <v/>
      </c>
      <c r="J121" s="87" t="str">
        <f>'Etape 2'!H118</f>
        <v/>
      </c>
      <c r="K121" s="87" t="str">
        <f>'Etape 2'!I118</f>
        <v/>
      </c>
      <c r="L121" s="87">
        <f ca="1">'Etape 2'!J118</f>
        <v>999999</v>
      </c>
      <c r="M121" s="87">
        <f>'Etape 2'!K118</f>
        <v>999</v>
      </c>
      <c r="N121" s="87">
        <f ca="1">'Etape 2'!L118</f>
        <v>106</v>
      </c>
      <c r="O121" s="259">
        <f t="shared" si="102"/>
        <v>0.3</v>
      </c>
      <c r="P121" s="259">
        <f t="shared" si="103"/>
        <v>1.1000000000000001</v>
      </c>
      <c r="Q121" s="260">
        <f t="shared" si="104"/>
        <v>0</v>
      </c>
      <c r="R121" s="261">
        <f t="shared" si="143"/>
        <v>0</v>
      </c>
      <c r="S121" s="87">
        <f>IF(ISBLANK('Etape 2'!N118),0,VLOOKUP('Etape 2'!N118,Matrix_Uebersetzung,2,FALSE))</f>
        <v>0</v>
      </c>
      <c r="T121" s="87">
        <f>IF(ISBLANK('Etape 2'!O118),0,VLOOKUP('Etape 2'!O118,Matrix_Uebersetzung,2,FALSE))</f>
        <v>0</v>
      </c>
      <c r="U121" s="87">
        <f>IF(ISBLANK('Etape 2'!P118),0,VLOOKUP('Etape 2'!P118,Matrix_Uebersetzung,2,FALSE))</f>
        <v>0</v>
      </c>
      <c r="V121" s="87" t="str">
        <f>'Etape 2'!Q118</f>
        <v/>
      </c>
      <c r="W121" s="87">
        <f>'Etape 2'!R118</f>
        <v>0</v>
      </c>
      <c r="X121" s="87" t="str">
        <f>'Etape 2'!S118</f>
        <v/>
      </c>
      <c r="Y121" s="89" t="str">
        <f>'Etape 2'!T118</f>
        <v/>
      </c>
      <c r="Z121" s="87">
        <f>'Etape 2'!U118</f>
        <v>0</v>
      </c>
      <c r="AA121" s="87" t="str">
        <f>'Etape 2'!V118</f>
        <v/>
      </c>
      <c r="AB121" s="87">
        <f>IF(ISNUMBER('Etape 2'!W118),'Etape 2'!W118,0)</f>
        <v>0</v>
      </c>
      <c r="AC121" s="87">
        <f>IF(ISNUMBER('Etape 2'!X118),'Etape 2'!X118,0)</f>
        <v>0</v>
      </c>
      <c r="AD121" s="87">
        <f>IF(ISNUMBER('Etape 2'!Y118),'Etape 2'!Y118,0)</f>
        <v>0</v>
      </c>
      <c r="AE121" s="87">
        <f>IF(ISNUMBER('Etape 2'!Z118),'Etape 2'!Z118,0)</f>
        <v>0</v>
      </c>
      <c r="AF121" s="86">
        <f t="shared" si="129"/>
        <v>999</v>
      </c>
      <c r="AG121" s="288">
        <f t="shared" si="130"/>
        <v>0.25</v>
      </c>
      <c r="AH121" s="181" t="e">
        <f t="shared" si="105"/>
        <v>#VALUE!</v>
      </c>
      <c r="AI121" s="181" t="e">
        <f t="shared" si="146"/>
        <v>#VALUE!</v>
      </c>
      <c r="AJ121" s="86">
        <f t="shared" si="106"/>
        <v>200</v>
      </c>
      <c r="AK121" s="91" t="e">
        <f t="shared" si="107"/>
        <v>#N/A</v>
      </c>
      <c r="AL121" s="91" t="e">
        <f t="shared" si="147"/>
        <v>#N/A</v>
      </c>
      <c r="AM121" s="91">
        <f t="shared" si="109"/>
        <v>6</v>
      </c>
      <c r="AN121" s="91" t="e">
        <f t="shared" si="148"/>
        <v>#N/A</v>
      </c>
      <c r="AO121" s="91" t="e">
        <f t="shared" si="149"/>
        <v>#N/A</v>
      </c>
      <c r="AP121" s="21" t="e">
        <f t="shared" si="150"/>
        <v>#N/A</v>
      </c>
      <c r="AQ121" s="21" t="e">
        <f t="shared" si="151"/>
        <v>#N/A</v>
      </c>
      <c r="AR121" s="92" t="str">
        <f t="shared" si="134"/>
        <v/>
      </c>
      <c r="AS121" s="21" t="str">
        <f t="shared" si="135"/>
        <v/>
      </c>
      <c r="AT121" s="59" t="str">
        <f t="shared" si="112"/>
        <v/>
      </c>
      <c r="AU121" s="105">
        <f t="shared" si="113"/>
        <v>1</v>
      </c>
      <c r="AV121" s="105">
        <f t="shared" si="152"/>
        <v>1</v>
      </c>
      <c r="AW121" s="58">
        <f t="shared" si="153"/>
        <v>2</v>
      </c>
      <c r="AX121" s="58">
        <f t="shared" si="154"/>
        <v>3</v>
      </c>
      <c r="AY121" s="58" t="str">
        <f t="shared" si="155"/>
        <v>avec vannes</v>
      </c>
      <c r="AZ121" s="58" t="str">
        <f t="shared" si="156"/>
        <v>fermé</v>
      </c>
      <c r="BA121" s="60">
        <f t="shared" si="157"/>
        <v>0</v>
      </c>
      <c r="BB121" s="60">
        <f t="shared" si="157"/>
        <v>0</v>
      </c>
      <c r="BC121" s="60">
        <f t="shared" si="157"/>
        <v>0</v>
      </c>
      <c r="BD121" s="60">
        <f t="shared" si="157"/>
        <v>0</v>
      </c>
      <c r="BE121" s="286" t="str">
        <f t="shared" si="118"/>
        <v/>
      </c>
      <c r="BF121" s="58" t="str">
        <f t="shared" si="136"/>
        <v/>
      </c>
      <c r="BG121" s="59" t="str">
        <f t="shared" si="119"/>
        <v/>
      </c>
      <c r="BH121" s="158">
        <f t="shared" ca="1" si="120"/>
        <v>1</v>
      </c>
      <c r="BI121" s="60">
        <f t="shared" ca="1" si="121"/>
        <v>0.15</v>
      </c>
      <c r="BJ121" s="60">
        <f t="shared" si="122"/>
        <v>0.2</v>
      </c>
      <c r="BK121" s="60" t="str">
        <f t="shared" si="137"/>
        <v/>
      </c>
      <c r="BL121" s="21" t="str">
        <f t="shared" si="138"/>
        <v/>
      </c>
      <c r="BM121" s="264" t="str">
        <f t="shared" si="123"/>
        <v/>
      </c>
      <c r="BN121" s="60" t="str">
        <f t="shared" si="139"/>
        <v/>
      </c>
      <c r="BO121" s="136">
        <f t="shared" si="140"/>
        <v>0</v>
      </c>
      <c r="BP121" s="59">
        <f t="shared" si="141"/>
        <v>0</v>
      </c>
      <c r="BQ121" s="136">
        <f t="shared" ca="1" si="124"/>
        <v>1306</v>
      </c>
      <c r="BR121" s="136">
        <f t="shared" ca="1" si="125"/>
        <v>1000.3521594684386</v>
      </c>
      <c r="BS121" s="136">
        <f t="shared" ca="1" si="126"/>
        <v>1468800.3521594685</v>
      </c>
      <c r="BT121" s="136">
        <f t="shared" ca="1" si="127"/>
        <v>313875.27488522767</v>
      </c>
      <c r="BU121" s="136">
        <f t="shared" ca="1" si="128"/>
        <v>1000.3521594684386</v>
      </c>
    </row>
    <row r="122" spans="1:73" x14ac:dyDescent="0.2">
      <c r="A122" s="87" t="str">
        <f>'Etape 2'!A119</f>
        <v/>
      </c>
      <c r="B122" s="87">
        <f>'Etape 2'!B119</f>
        <v>107</v>
      </c>
      <c r="C122" s="87">
        <f ca="1">'Etape 2'!C119</f>
        <v>194</v>
      </c>
      <c r="D122" s="87"/>
      <c r="E122" s="61">
        <f ca="1">RANK(BU122,BU$16:BU$315,0)+COUNTIF(BU$16:BU122,BU122)-1</f>
        <v>194</v>
      </c>
      <c r="F122" s="87" t="str">
        <f>'Etape 2'!D119</f>
        <v/>
      </c>
      <c r="G122" s="87" t="str">
        <f>'Etape 2'!E119</f>
        <v/>
      </c>
      <c r="H122" s="87" t="str">
        <f>'Etape 2'!F119</f>
        <v/>
      </c>
      <c r="I122" s="87" t="str">
        <f>'Etape 2'!G119</f>
        <v/>
      </c>
      <c r="J122" s="87" t="str">
        <f>'Etape 2'!H119</f>
        <v/>
      </c>
      <c r="K122" s="87" t="str">
        <f>'Etape 2'!I119</f>
        <v/>
      </c>
      <c r="L122" s="87">
        <f ca="1">'Etape 2'!J119</f>
        <v>999999</v>
      </c>
      <c r="M122" s="87">
        <f>'Etape 2'!K119</f>
        <v>999</v>
      </c>
      <c r="N122" s="87">
        <f ca="1">'Etape 2'!L119</f>
        <v>107</v>
      </c>
      <c r="O122" s="259">
        <f t="shared" si="102"/>
        <v>0.3</v>
      </c>
      <c r="P122" s="259">
        <f t="shared" si="103"/>
        <v>1.1000000000000001</v>
      </c>
      <c r="Q122" s="260">
        <f t="shared" si="104"/>
        <v>0</v>
      </c>
      <c r="R122" s="261">
        <f t="shared" si="143"/>
        <v>0</v>
      </c>
      <c r="S122" s="87">
        <f>IF(ISBLANK('Etape 2'!N119),0,VLOOKUP('Etape 2'!N119,Matrix_Uebersetzung,2,FALSE))</f>
        <v>0</v>
      </c>
      <c r="T122" s="87">
        <f>IF(ISBLANK('Etape 2'!O119),0,VLOOKUP('Etape 2'!O119,Matrix_Uebersetzung,2,FALSE))</f>
        <v>0</v>
      </c>
      <c r="U122" s="87">
        <f>IF(ISBLANK('Etape 2'!P119),0,VLOOKUP('Etape 2'!P119,Matrix_Uebersetzung,2,FALSE))</f>
        <v>0</v>
      </c>
      <c r="V122" s="87" t="str">
        <f>'Etape 2'!Q119</f>
        <v/>
      </c>
      <c r="W122" s="87">
        <f>'Etape 2'!R119</f>
        <v>0</v>
      </c>
      <c r="X122" s="87" t="str">
        <f>'Etape 2'!S119</f>
        <v/>
      </c>
      <c r="Y122" s="89" t="str">
        <f>'Etape 2'!T119</f>
        <v/>
      </c>
      <c r="Z122" s="87">
        <f>'Etape 2'!U119</f>
        <v>0</v>
      </c>
      <c r="AA122" s="87" t="str">
        <f>'Etape 2'!V119</f>
        <v/>
      </c>
      <c r="AB122" s="87">
        <f>IF(ISNUMBER('Etape 2'!W119),'Etape 2'!W119,0)</f>
        <v>0</v>
      </c>
      <c r="AC122" s="87">
        <f>IF(ISNUMBER('Etape 2'!X119),'Etape 2'!X119,0)</f>
        <v>0</v>
      </c>
      <c r="AD122" s="87">
        <f>IF(ISNUMBER('Etape 2'!Y119),'Etape 2'!Y119,0)</f>
        <v>0</v>
      </c>
      <c r="AE122" s="87">
        <f>IF(ISNUMBER('Etape 2'!Z119),'Etape 2'!Z119,0)</f>
        <v>0</v>
      </c>
      <c r="AF122" s="86">
        <f t="shared" si="129"/>
        <v>999</v>
      </c>
      <c r="AG122" s="288">
        <f t="shared" si="130"/>
        <v>0.25</v>
      </c>
      <c r="AH122" s="181" t="e">
        <f t="shared" si="105"/>
        <v>#VALUE!</v>
      </c>
      <c r="AI122" s="181" t="e">
        <f t="shared" si="146"/>
        <v>#VALUE!</v>
      </c>
      <c r="AJ122" s="86">
        <f t="shared" si="106"/>
        <v>200</v>
      </c>
      <c r="AK122" s="91" t="e">
        <f t="shared" si="107"/>
        <v>#N/A</v>
      </c>
      <c r="AL122" s="91" t="e">
        <f t="shared" si="147"/>
        <v>#N/A</v>
      </c>
      <c r="AM122" s="91">
        <f t="shared" si="109"/>
        <v>6</v>
      </c>
      <c r="AN122" s="91" t="e">
        <f t="shared" si="148"/>
        <v>#N/A</v>
      </c>
      <c r="AO122" s="91" t="e">
        <f t="shared" si="149"/>
        <v>#N/A</v>
      </c>
      <c r="AP122" s="21" t="e">
        <f t="shared" si="150"/>
        <v>#N/A</v>
      </c>
      <c r="AQ122" s="21" t="e">
        <f t="shared" si="151"/>
        <v>#N/A</v>
      </c>
      <c r="AR122" s="92" t="str">
        <f t="shared" si="134"/>
        <v/>
      </c>
      <c r="AS122" s="21" t="str">
        <f t="shared" si="135"/>
        <v/>
      </c>
      <c r="AT122" s="59" t="str">
        <f t="shared" si="112"/>
        <v/>
      </c>
      <c r="AU122" s="105">
        <f t="shared" si="113"/>
        <v>1</v>
      </c>
      <c r="AV122" s="105">
        <f t="shared" si="152"/>
        <v>1</v>
      </c>
      <c r="AW122" s="58">
        <f t="shared" si="153"/>
        <v>2</v>
      </c>
      <c r="AX122" s="58">
        <f t="shared" si="154"/>
        <v>3</v>
      </c>
      <c r="AY122" s="58" t="str">
        <f t="shared" si="155"/>
        <v>avec vannes</v>
      </c>
      <c r="AZ122" s="58" t="str">
        <f t="shared" si="156"/>
        <v>fermé</v>
      </c>
      <c r="BA122" s="60">
        <f t="shared" si="157"/>
        <v>0</v>
      </c>
      <c r="BB122" s="60">
        <f t="shared" si="157"/>
        <v>0</v>
      </c>
      <c r="BC122" s="60">
        <f t="shared" si="157"/>
        <v>0</v>
      </c>
      <c r="BD122" s="60">
        <f t="shared" si="157"/>
        <v>0</v>
      </c>
      <c r="BE122" s="286" t="str">
        <f t="shared" si="118"/>
        <v/>
      </c>
      <c r="BF122" s="58" t="str">
        <f t="shared" si="136"/>
        <v/>
      </c>
      <c r="BG122" s="59" t="str">
        <f t="shared" si="119"/>
        <v/>
      </c>
      <c r="BH122" s="158">
        <f t="shared" ca="1" si="120"/>
        <v>1</v>
      </c>
      <c r="BI122" s="60">
        <f t="shared" ca="1" si="121"/>
        <v>0.15</v>
      </c>
      <c r="BJ122" s="60">
        <f t="shared" si="122"/>
        <v>0.2</v>
      </c>
      <c r="BK122" s="60" t="str">
        <f t="shared" si="137"/>
        <v/>
      </c>
      <c r="BL122" s="21" t="str">
        <f t="shared" si="138"/>
        <v/>
      </c>
      <c r="BM122" s="264" t="str">
        <f t="shared" si="123"/>
        <v/>
      </c>
      <c r="BN122" s="60" t="str">
        <f t="shared" si="139"/>
        <v/>
      </c>
      <c r="BO122" s="136">
        <f t="shared" si="140"/>
        <v>0</v>
      </c>
      <c r="BP122" s="59">
        <f t="shared" si="141"/>
        <v>0</v>
      </c>
      <c r="BQ122" s="136">
        <f t="shared" ca="1" si="124"/>
        <v>1307</v>
      </c>
      <c r="BR122" s="136">
        <f t="shared" ca="1" si="125"/>
        <v>1000.3554817275748</v>
      </c>
      <c r="BS122" s="136">
        <f t="shared" ca="1" si="126"/>
        <v>1468800.3554817275</v>
      </c>
      <c r="BT122" s="136">
        <f t="shared" ca="1" si="127"/>
        <v>313875.27820748679</v>
      </c>
      <c r="BU122" s="136">
        <f t="shared" ca="1" si="128"/>
        <v>1000.3554817275748</v>
      </c>
    </row>
    <row r="123" spans="1:73" x14ac:dyDescent="0.2">
      <c r="A123" s="87" t="str">
        <f>'Etape 2'!A120</f>
        <v/>
      </c>
      <c r="B123" s="87">
        <f>'Etape 2'!B120</f>
        <v>108</v>
      </c>
      <c r="C123" s="87">
        <f ca="1">'Etape 2'!C120</f>
        <v>193</v>
      </c>
      <c r="D123" s="87"/>
      <c r="E123" s="61">
        <f ca="1">RANK(BU123,BU$16:BU$315,0)+COUNTIF(BU$16:BU123,BU123)-1</f>
        <v>193</v>
      </c>
      <c r="F123" s="87" t="str">
        <f>'Etape 2'!D120</f>
        <v/>
      </c>
      <c r="G123" s="87" t="str">
        <f>'Etape 2'!E120</f>
        <v/>
      </c>
      <c r="H123" s="87" t="str">
        <f>'Etape 2'!F120</f>
        <v/>
      </c>
      <c r="I123" s="87" t="str">
        <f>'Etape 2'!G120</f>
        <v/>
      </c>
      <c r="J123" s="87" t="str">
        <f>'Etape 2'!H120</f>
        <v/>
      </c>
      <c r="K123" s="87" t="str">
        <f>'Etape 2'!I120</f>
        <v/>
      </c>
      <c r="L123" s="87">
        <f ca="1">'Etape 2'!J120</f>
        <v>999999</v>
      </c>
      <c r="M123" s="87">
        <f>'Etape 2'!K120</f>
        <v>999</v>
      </c>
      <c r="N123" s="87">
        <f ca="1">'Etape 2'!L120</f>
        <v>108</v>
      </c>
      <c r="O123" s="259">
        <f t="shared" si="102"/>
        <v>0.3</v>
      </c>
      <c r="P123" s="259">
        <f t="shared" si="103"/>
        <v>1.1000000000000001</v>
      </c>
      <c r="Q123" s="260">
        <f t="shared" si="104"/>
        <v>0</v>
      </c>
      <c r="R123" s="261">
        <f t="shared" si="143"/>
        <v>0</v>
      </c>
      <c r="S123" s="87">
        <f>IF(ISBLANK('Etape 2'!N120),0,VLOOKUP('Etape 2'!N120,Matrix_Uebersetzung,2,FALSE))</f>
        <v>0</v>
      </c>
      <c r="T123" s="87">
        <f>IF(ISBLANK('Etape 2'!O120),0,VLOOKUP('Etape 2'!O120,Matrix_Uebersetzung,2,FALSE))</f>
        <v>0</v>
      </c>
      <c r="U123" s="87">
        <f>IF(ISBLANK('Etape 2'!P120),0,VLOOKUP('Etape 2'!P120,Matrix_Uebersetzung,2,FALSE))</f>
        <v>0</v>
      </c>
      <c r="V123" s="87" t="str">
        <f>'Etape 2'!Q120</f>
        <v/>
      </c>
      <c r="W123" s="87">
        <f>'Etape 2'!R120</f>
        <v>0</v>
      </c>
      <c r="X123" s="87" t="str">
        <f>'Etape 2'!S120</f>
        <v/>
      </c>
      <c r="Y123" s="89" t="str">
        <f>'Etape 2'!T120</f>
        <v/>
      </c>
      <c r="Z123" s="87">
        <f>'Etape 2'!U120</f>
        <v>0</v>
      </c>
      <c r="AA123" s="87" t="str">
        <f>'Etape 2'!V120</f>
        <v/>
      </c>
      <c r="AB123" s="87">
        <f>IF(ISNUMBER('Etape 2'!W120),'Etape 2'!W120,0)</f>
        <v>0</v>
      </c>
      <c r="AC123" s="87">
        <f>IF(ISNUMBER('Etape 2'!X120),'Etape 2'!X120,0)</f>
        <v>0</v>
      </c>
      <c r="AD123" s="87">
        <f>IF(ISNUMBER('Etape 2'!Y120),'Etape 2'!Y120,0)</f>
        <v>0</v>
      </c>
      <c r="AE123" s="87">
        <f>IF(ISNUMBER('Etape 2'!Z120),'Etape 2'!Z120,0)</f>
        <v>0</v>
      </c>
      <c r="AF123" s="86">
        <f t="shared" si="129"/>
        <v>999</v>
      </c>
      <c r="AG123" s="288">
        <f t="shared" si="130"/>
        <v>0.25</v>
      </c>
      <c r="AH123" s="181" t="e">
        <f t="shared" si="105"/>
        <v>#VALUE!</v>
      </c>
      <c r="AI123" s="181" t="e">
        <f t="shared" si="146"/>
        <v>#VALUE!</v>
      </c>
      <c r="AJ123" s="86">
        <f t="shared" si="106"/>
        <v>200</v>
      </c>
      <c r="AK123" s="91" t="e">
        <f t="shared" si="107"/>
        <v>#N/A</v>
      </c>
      <c r="AL123" s="91" t="e">
        <f t="shared" si="147"/>
        <v>#N/A</v>
      </c>
      <c r="AM123" s="91">
        <f t="shared" si="109"/>
        <v>6</v>
      </c>
      <c r="AN123" s="91" t="e">
        <f t="shared" si="148"/>
        <v>#N/A</v>
      </c>
      <c r="AO123" s="91" t="e">
        <f t="shared" si="149"/>
        <v>#N/A</v>
      </c>
      <c r="AP123" s="21" t="e">
        <f t="shared" si="150"/>
        <v>#N/A</v>
      </c>
      <c r="AQ123" s="21" t="e">
        <f t="shared" si="151"/>
        <v>#N/A</v>
      </c>
      <c r="AR123" s="92" t="str">
        <f t="shared" si="134"/>
        <v/>
      </c>
      <c r="AS123" s="21" t="str">
        <f t="shared" si="135"/>
        <v/>
      </c>
      <c r="AT123" s="59" t="str">
        <f t="shared" si="112"/>
        <v/>
      </c>
      <c r="AU123" s="105">
        <f t="shared" si="113"/>
        <v>1</v>
      </c>
      <c r="AV123" s="105">
        <f t="shared" si="152"/>
        <v>1</v>
      </c>
      <c r="AW123" s="58">
        <f t="shared" si="153"/>
        <v>2</v>
      </c>
      <c r="AX123" s="58">
        <f t="shared" si="154"/>
        <v>3</v>
      </c>
      <c r="AY123" s="58" t="str">
        <f t="shared" si="155"/>
        <v>avec vannes</v>
      </c>
      <c r="AZ123" s="58" t="str">
        <f t="shared" si="156"/>
        <v>fermé</v>
      </c>
      <c r="BA123" s="60">
        <f t="shared" si="157"/>
        <v>0</v>
      </c>
      <c r="BB123" s="60">
        <f t="shared" si="157"/>
        <v>0</v>
      </c>
      <c r="BC123" s="60">
        <f t="shared" si="157"/>
        <v>0</v>
      </c>
      <c r="BD123" s="60">
        <f t="shared" si="157"/>
        <v>0</v>
      </c>
      <c r="BE123" s="286" t="str">
        <f t="shared" si="118"/>
        <v/>
      </c>
      <c r="BF123" s="58" t="str">
        <f t="shared" si="136"/>
        <v/>
      </c>
      <c r="BG123" s="59" t="str">
        <f t="shared" si="119"/>
        <v/>
      </c>
      <c r="BH123" s="158">
        <f t="shared" ca="1" si="120"/>
        <v>1</v>
      </c>
      <c r="BI123" s="60">
        <f t="shared" ca="1" si="121"/>
        <v>0.15</v>
      </c>
      <c r="BJ123" s="60">
        <f t="shared" si="122"/>
        <v>0.2</v>
      </c>
      <c r="BK123" s="60" t="str">
        <f t="shared" si="137"/>
        <v/>
      </c>
      <c r="BL123" s="21" t="str">
        <f t="shared" si="138"/>
        <v/>
      </c>
      <c r="BM123" s="264" t="str">
        <f t="shared" si="123"/>
        <v/>
      </c>
      <c r="BN123" s="60" t="str">
        <f t="shared" si="139"/>
        <v/>
      </c>
      <c r="BO123" s="136">
        <f t="shared" si="140"/>
        <v>0</v>
      </c>
      <c r="BP123" s="59">
        <f t="shared" si="141"/>
        <v>0</v>
      </c>
      <c r="BQ123" s="136">
        <f t="shared" ca="1" si="124"/>
        <v>1308</v>
      </c>
      <c r="BR123" s="136">
        <f t="shared" ca="1" si="125"/>
        <v>1000.358803986711</v>
      </c>
      <c r="BS123" s="136">
        <f t="shared" ca="1" si="126"/>
        <v>1468800.3588039868</v>
      </c>
      <c r="BT123" s="136">
        <f t="shared" ca="1" si="127"/>
        <v>313875.2815297459</v>
      </c>
      <c r="BU123" s="136">
        <f t="shared" ca="1" si="128"/>
        <v>1000.358803986711</v>
      </c>
    </row>
    <row r="124" spans="1:73" x14ac:dyDescent="0.2">
      <c r="A124" s="87" t="str">
        <f>'Etape 2'!A121</f>
        <v/>
      </c>
      <c r="B124" s="87">
        <f>'Etape 2'!B121</f>
        <v>109</v>
      </c>
      <c r="C124" s="87">
        <f ca="1">'Etape 2'!C121</f>
        <v>192</v>
      </c>
      <c r="D124" s="87"/>
      <c r="E124" s="61">
        <f ca="1">RANK(BU124,BU$16:BU$315,0)+COUNTIF(BU$16:BU124,BU124)-1</f>
        <v>192</v>
      </c>
      <c r="F124" s="87" t="str">
        <f>'Etape 2'!D121</f>
        <v/>
      </c>
      <c r="G124" s="87" t="str">
        <f>'Etape 2'!E121</f>
        <v/>
      </c>
      <c r="H124" s="87" t="str">
        <f>'Etape 2'!F121</f>
        <v/>
      </c>
      <c r="I124" s="87" t="str">
        <f>'Etape 2'!G121</f>
        <v/>
      </c>
      <c r="J124" s="87" t="str">
        <f>'Etape 2'!H121</f>
        <v/>
      </c>
      <c r="K124" s="87" t="str">
        <f>'Etape 2'!I121</f>
        <v/>
      </c>
      <c r="L124" s="87">
        <f ca="1">'Etape 2'!J121</f>
        <v>999999</v>
      </c>
      <c r="M124" s="87">
        <f>'Etape 2'!K121</f>
        <v>999</v>
      </c>
      <c r="N124" s="87">
        <f ca="1">'Etape 2'!L121</f>
        <v>109</v>
      </c>
      <c r="O124" s="259">
        <f t="shared" si="102"/>
        <v>0.3</v>
      </c>
      <c r="P124" s="259">
        <f t="shared" si="103"/>
        <v>1.1000000000000001</v>
      </c>
      <c r="Q124" s="260">
        <f t="shared" si="104"/>
        <v>0</v>
      </c>
      <c r="R124" s="261">
        <f t="shared" si="143"/>
        <v>0</v>
      </c>
      <c r="S124" s="87">
        <f>IF(ISBLANK('Etape 2'!N121),0,VLOOKUP('Etape 2'!N121,Matrix_Uebersetzung,2,FALSE))</f>
        <v>0</v>
      </c>
      <c r="T124" s="87">
        <f>IF(ISBLANK('Etape 2'!O121),0,VLOOKUP('Etape 2'!O121,Matrix_Uebersetzung,2,FALSE))</f>
        <v>0</v>
      </c>
      <c r="U124" s="87">
        <f>IF(ISBLANK('Etape 2'!P121),0,VLOOKUP('Etape 2'!P121,Matrix_Uebersetzung,2,FALSE))</f>
        <v>0</v>
      </c>
      <c r="V124" s="87" t="str">
        <f>'Etape 2'!Q121</f>
        <v/>
      </c>
      <c r="W124" s="87">
        <f>'Etape 2'!R121</f>
        <v>0</v>
      </c>
      <c r="X124" s="87" t="str">
        <f>'Etape 2'!S121</f>
        <v/>
      </c>
      <c r="Y124" s="89" t="str">
        <f>'Etape 2'!T121</f>
        <v/>
      </c>
      <c r="Z124" s="87">
        <f>'Etape 2'!U121</f>
        <v>0</v>
      </c>
      <c r="AA124" s="87" t="str">
        <f>'Etape 2'!V121</f>
        <v/>
      </c>
      <c r="AB124" s="87">
        <f>IF(ISNUMBER('Etape 2'!W121),'Etape 2'!W121,0)</f>
        <v>0</v>
      </c>
      <c r="AC124" s="87">
        <f>IF(ISNUMBER('Etape 2'!X121),'Etape 2'!X121,0)</f>
        <v>0</v>
      </c>
      <c r="AD124" s="87">
        <f>IF(ISNUMBER('Etape 2'!Y121),'Etape 2'!Y121,0)</f>
        <v>0</v>
      </c>
      <c r="AE124" s="87">
        <f>IF(ISNUMBER('Etape 2'!Z121),'Etape 2'!Z121,0)</f>
        <v>0</v>
      </c>
      <c r="AF124" s="86">
        <f t="shared" si="129"/>
        <v>999</v>
      </c>
      <c r="AG124" s="288">
        <f t="shared" si="130"/>
        <v>0.25</v>
      </c>
      <c r="AH124" s="181" t="e">
        <f t="shared" si="105"/>
        <v>#VALUE!</v>
      </c>
      <c r="AI124" s="181" t="e">
        <f t="shared" si="146"/>
        <v>#VALUE!</v>
      </c>
      <c r="AJ124" s="86">
        <f t="shared" si="106"/>
        <v>200</v>
      </c>
      <c r="AK124" s="91" t="e">
        <f t="shared" si="107"/>
        <v>#N/A</v>
      </c>
      <c r="AL124" s="91" t="e">
        <f t="shared" si="147"/>
        <v>#N/A</v>
      </c>
      <c r="AM124" s="91">
        <f t="shared" si="109"/>
        <v>6</v>
      </c>
      <c r="AN124" s="91" t="e">
        <f t="shared" si="148"/>
        <v>#N/A</v>
      </c>
      <c r="AO124" s="91" t="e">
        <f t="shared" si="149"/>
        <v>#N/A</v>
      </c>
      <c r="AP124" s="21" t="e">
        <f t="shared" si="150"/>
        <v>#N/A</v>
      </c>
      <c r="AQ124" s="21" t="e">
        <f t="shared" si="151"/>
        <v>#N/A</v>
      </c>
      <c r="AR124" s="92" t="str">
        <f t="shared" si="134"/>
        <v/>
      </c>
      <c r="AS124" s="21" t="str">
        <f t="shared" si="135"/>
        <v/>
      </c>
      <c r="AT124" s="59" t="str">
        <f t="shared" si="112"/>
        <v/>
      </c>
      <c r="AU124" s="105">
        <f t="shared" si="113"/>
        <v>1</v>
      </c>
      <c r="AV124" s="105">
        <f t="shared" si="152"/>
        <v>1</v>
      </c>
      <c r="AW124" s="58">
        <f t="shared" si="153"/>
        <v>2</v>
      </c>
      <c r="AX124" s="58">
        <f t="shared" si="154"/>
        <v>3</v>
      </c>
      <c r="AY124" s="58" t="str">
        <f t="shared" si="155"/>
        <v>avec vannes</v>
      </c>
      <c r="AZ124" s="58" t="str">
        <f t="shared" si="156"/>
        <v>fermé</v>
      </c>
      <c r="BA124" s="60">
        <f t="shared" si="157"/>
        <v>0</v>
      </c>
      <c r="BB124" s="60">
        <f t="shared" si="157"/>
        <v>0</v>
      </c>
      <c r="BC124" s="60">
        <f t="shared" si="157"/>
        <v>0</v>
      </c>
      <c r="BD124" s="60">
        <f t="shared" si="157"/>
        <v>0</v>
      </c>
      <c r="BE124" s="286" t="str">
        <f t="shared" si="118"/>
        <v/>
      </c>
      <c r="BF124" s="58" t="str">
        <f t="shared" si="136"/>
        <v/>
      </c>
      <c r="BG124" s="59" t="str">
        <f t="shared" si="119"/>
        <v/>
      </c>
      <c r="BH124" s="158">
        <f t="shared" ca="1" si="120"/>
        <v>1</v>
      </c>
      <c r="BI124" s="60">
        <f t="shared" ca="1" si="121"/>
        <v>0.15</v>
      </c>
      <c r="BJ124" s="60">
        <f t="shared" si="122"/>
        <v>0.2</v>
      </c>
      <c r="BK124" s="60" t="str">
        <f t="shared" si="137"/>
        <v/>
      </c>
      <c r="BL124" s="21" t="str">
        <f t="shared" si="138"/>
        <v/>
      </c>
      <c r="BM124" s="264" t="str">
        <f t="shared" si="123"/>
        <v/>
      </c>
      <c r="BN124" s="60" t="str">
        <f t="shared" si="139"/>
        <v/>
      </c>
      <c r="BO124" s="136">
        <f t="shared" si="140"/>
        <v>0</v>
      </c>
      <c r="BP124" s="59">
        <f t="shared" si="141"/>
        <v>0</v>
      </c>
      <c r="BQ124" s="136">
        <f t="shared" ca="1" si="124"/>
        <v>1309</v>
      </c>
      <c r="BR124" s="136">
        <f t="shared" ca="1" si="125"/>
        <v>1000.3621262458472</v>
      </c>
      <c r="BS124" s="136">
        <f t="shared" ca="1" si="126"/>
        <v>1468800.3621262459</v>
      </c>
      <c r="BT124" s="136">
        <f t="shared" ca="1" si="127"/>
        <v>313875.28485200508</v>
      </c>
      <c r="BU124" s="136">
        <f t="shared" ca="1" si="128"/>
        <v>1000.3621262458472</v>
      </c>
    </row>
    <row r="125" spans="1:73" x14ac:dyDescent="0.2">
      <c r="A125" s="87" t="str">
        <f>'Etape 2'!A122</f>
        <v/>
      </c>
      <c r="B125" s="87">
        <f>'Etape 2'!B122</f>
        <v>110</v>
      </c>
      <c r="C125" s="87">
        <f ca="1">'Etape 2'!C122</f>
        <v>191</v>
      </c>
      <c r="D125" s="87"/>
      <c r="E125" s="61">
        <f ca="1">RANK(BU125,BU$16:BU$315,0)+COUNTIF(BU$16:BU125,BU125)-1</f>
        <v>191</v>
      </c>
      <c r="F125" s="87" t="str">
        <f>'Etape 2'!D122</f>
        <v/>
      </c>
      <c r="G125" s="87" t="str">
        <f>'Etape 2'!E122</f>
        <v/>
      </c>
      <c r="H125" s="87" t="str">
        <f>'Etape 2'!F122</f>
        <v/>
      </c>
      <c r="I125" s="87" t="str">
        <f>'Etape 2'!G122</f>
        <v/>
      </c>
      <c r="J125" s="87" t="str">
        <f>'Etape 2'!H122</f>
        <v/>
      </c>
      <c r="K125" s="87" t="str">
        <f>'Etape 2'!I122</f>
        <v/>
      </c>
      <c r="L125" s="87">
        <f ca="1">'Etape 2'!J122</f>
        <v>999999</v>
      </c>
      <c r="M125" s="87">
        <f>'Etape 2'!K122</f>
        <v>999</v>
      </c>
      <c r="N125" s="87">
        <f ca="1">'Etape 2'!L122</f>
        <v>110</v>
      </c>
      <c r="O125" s="259">
        <f t="shared" si="102"/>
        <v>0.3</v>
      </c>
      <c r="P125" s="259">
        <f t="shared" si="103"/>
        <v>1.1000000000000001</v>
      </c>
      <c r="Q125" s="260">
        <f t="shared" si="104"/>
        <v>0</v>
      </c>
      <c r="R125" s="261">
        <f t="shared" si="143"/>
        <v>0</v>
      </c>
      <c r="S125" s="87">
        <f>IF(ISBLANK('Etape 2'!N122),0,VLOOKUP('Etape 2'!N122,Matrix_Uebersetzung,2,FALSE))</f>
        <v>0</v>
      </c>
      <c r="T125" s="87">
        <f>IF(ISBLANK('Etape 2'!O122),0,VLOOKUP('Etape 2'!O122,Matrix_Uebersetzung,2,FALSE))</f>
        <v>0</v>
      </c>
      <c r="U125" s="87">
        <f>IF(ISBLANK('Etape 2'!P122),0,VLOOKUP('Etape 2'!P122,Matrix_Uebersetzung,2,FALSE))</f>
        <v>0</v>
      </c>
      <c r="V125" s="87" t="str">
        <f>'Etape 2'!Q122</f>
        <v/>
      </c>
      <c r="W125" s="87">
        <f>'Etape 2'!R122</f>
        <v>0</v>
      </c>
      <c r="X125" s="87" t="str">
        <f>'Etape 2'!S122</f>
        <v/>
      </c>
      <c r="Y125" s="89" t="str">
        <f>'Etape 2'!T122</f>
        <v/>
      </c>
      <c r="Z125" s="87">
        <f>'Etape 2'!U122</f>
        <v>0</v>
      </c>
      <c r="AA125" s="87" t="str">
        <f>'Etape 2'!V122</f>
        <v/>
      </c>
      <c r="AB125" s="87">
        <f>IF(ISNUMBER('Etape 2'!W122),'Etape 2'!W122,0)</f>
        <v>0</v>
      </c>
      <c r="AC125" s="87">
        <f>IF(ISNUMBER('Etape 2'!X122),'Etape 2'!X122,0)</f>
        <v>0</v>
      </c>
      <c r="AD125" s="87">
        <f>IF(ISNUMBER('Etape 2'!Y122),'Etape 2'!Y122,0)</f>
        <v>0</v>
      </c>
      <c r="AE125" s="87">
        <f>IF(ISNUMBER('Etape 2'!Z122),'Etape 2'!Z122,0)</f>
        <v>0</v>
      </c>
      <c r="AF125" s="86">
        <f t="shared" si="129"/>
        <v>999</v>
      </c>
      <c r="AG125" s="288">
        <f t="shared" si="130"/>
        <v>0.25</v>
      </c>
      <c r="AH125" s="181" t="e">
        <f t="shared" si="105"/>
        <v>#VALUE!</v>
      </c>
      <c r="AI125" s="181" t="e">
        <f t="shared" si="146"/>
        <v>#VALUE!</v>
      </c>
      <c r="AJ125" s="86">
        <f t="shared" si="106"/>
        <v>200</v>
      </c>
      <c r="AK125" s="91" t="e">
        <f t="shared" si="107"/>
        <v>#N/A</v>
      </c>
      <c r="AL125" s="91" t="e">
        <f t="shared" si="147"/>
        <v>#N/A</v>
      </c>
      <c r="AM125" s="91">
        <f t="shared" si="109"/>
        <v>6</v>
      </c>
      <c r="AN125" s="91" t="e">
        <f t="shared" si="148"/>
        <v>#N/A</v>
      </c>
      <c r="AO125" s="91" t="e">
        <f t="shared" si="149"/>
        <v>#N/A</v>
      </c>
      <c r="AP125" s="21" t="e">
        <f t="shared" si="150"/>
        <v>#N/A</v>
      </c>
      <c r="AQ125" s="21" t="e">
        <f t="shared" si="151"/>
        <v>#N/A</v>
      </c>
      <c r="AR125" s="92" t="str">
        <f t="shared" si="134"/>
        <v/>
      </c>
      <c r="AS125" s="21" t="str">
        <f t="shared" si="135"/>
        <v/>
      </c>
      <c r="AT125" s="59" t="str">
        <f t="shared" si="112"/>
        <v/>
      </c>
      <c r="AU125" s="105">
        <f t="shared" si="113"/>
        <v>1</v>
      </c>
      <c r="AV125" s="105">
        <f t="shared" si="152"/>
        <v>1</v>
      </c>
      <c r="AW125" s="58">
        <f t="shared" si="153"/>
        <v>2</v>
      </c>
      <c r="AX125" s="58">
        <f t="shared" si="154"/>
        <v>3</v>
      </c>
      <c r="AY125" s="58" t="str">
        <f t="shared" si="155"/>
        <v>avec vannes</v>
      </c>
      <c r="AZ125" s="58" t="str">
        <f t="shared" si="156"/>
        <v>fermé</v>
      </c>
      <c r="BA125" s="60">
        <f t="shared" si="157"/>
        <v>0</v>
      </c>
      <c r="BB125" s="60">
        <f t="shared" si="157"/>
        <v>0</v>
      </c>
      <c r="BC125" s="60">
        <f t="shared" si="157"/>
        <v>0</v>
      </c>
      <c r="BD125" s="60">
        <f t="shared" si="157"/>
        <v>0</v>
      </c>
      <c r="BE125" s="286" t="str">
        <f t="shared" si="118"/>
        <v/>
      </c>
      <c r="BF125" s="58" t="str">
        <f t="shared" si="136"/>
        <v/>
      </c>
      <c r="BG125" s="59" t="str">
        <f t="shared" si="119"/>
        <v/>
      </c>
      <c r="BH125" s="158">
        <f t="shared" ca="1" si="120"/>
        <v>1</v>
      </c>
      <c r="BI125" s="60">
        <f t="shared" ca="1" si="121"/>
        <v>0.15</v>
      </c>
      <c r="BJ125" s="60">
        <f t="shared" si="122"/>
        <v>0.2</v>
      </c>
      <c r="BK125" s="60" t="str">
        <f t="shared" si="137"/>
        <v/>
      </c>
      <c r="BL125" s="21" t="str">
        <f t="shared" si="138"/>
        <v/>
      </c>
      <c r="BM125" s="264" t="str">
        <f t="shared" si="123"/>
        <v/>
      </c>
      <c r="BN125" s="60" t="str">
        <f t="shared" si="139"/>
        <v/>
      </c>
      <c r="BO125" s="136">
        <f t="shared" si="140"/>
        <v>0</v>
      </c>
      <c r="BP125" s="59">
        <f t="shared" si="141"/>
        <v>0</v>
      </c>
      <c r="BQ125" s="136">
        <f t="shared" ca="1" si="124"/>
        <v>1310</v>
      </c>
      <c r="BR125" s="136">
        <f t="shared" ca="1" si="125"/>
        <v>1000.3654485049834</v>
      </c>
      <c r="BS125" s="136">
        <f t="shared" ca="1" si="126"/>
        <v>1468800.3654485049</v>
      </c>
      <c r="BT125" s="136">
        <f t="shared" ca="1" si="127"/>
        <v>313875.28817426419</v>
      </c>
      <c r="BU125" s="136">
        <f t="shared" ca="1" si="128"/>
        <v>1000.3654485049834</v>
      </c>
    </row>
    <row r="126" spans="1:73" x14ac:dyDescent="0.2">
      <c r="A126" s="87" t="str">
        <f>'Etape 2'!A123</f>
        <v/>
      </c>
      <c r="B126" s="87">
        <f>'Etape 2'!B123</f>
        <v>111</v>
      </c>
      <c r="C126" s="87">
        <f ca="1">'Etape 2'!C123</f>
        <v>190</v>
      </c>
      <c r="D126" s="87"/>
      <c r="E126" s="61">
        <f ca="1">RANK(BU126,BU$16:BU$315,0)+COUNTIF(BU$16:BU126,BU126)-1</f>
        <v>190</v>
      </c>
      <c r="F126" s="87" t="str">
        <f>'Etape 2'!D123</f>
        <v/>
      </c>
      <c r="G126" s="87" t="str">
        <f>'Etape 2'!E123</f>
        <v/>
      </c>
      <c r="H126" s="87" t="str">
        <f>'Etape 2'!F123</f>
        <v/>
      </c>
      <c r="I126" s="87" t="str">
        <f>'Etape 2'!G123</f>
        <v/>
      </c>
      <c r="J126" s="87" t="str">
        <f>'Etape 2'!H123</f>
        <v/>
      </c>
      <c r="K126" s="87" t="str">
        <f>'Etape 2'!I123</f>
        <v/>
      </c>
      <c r="L126" s="87">
        <f ca="1">'Etape 2'!J123</f>
        <v>999999</v>
      </c>
      <c r="M126" s="87">
        <f>'Etape 2'!K123</f>
        <v>999</v>
      </c>
      <c r="N126" s="87">
        <f ca="1">'Etape 2'!L123</f>
        <v>111</v>
      </c>
      <c r="O126" s="259">
        <f t="shared" si="102"/>
        <v>0.3</v>
      </c>
      <c r="P126" s="259">
        <f t="shared" si="103"/>
        <v>1.1000000000000001</v>
      </c>
      <c r="Q126" s="260">
        <f t="shared" si="104"/>
        <v>0</v>
      </c>
      <c r="R126" s="261">
        <f t="shared" si="143"/>
        <v>0</v>
      </c>
      <c r="S126" s="87">
        <f>IF(ISBLANK('Etape 2'!N123),0,VLOOKUP('Etape 2'!N123,Matrix_Uebersetzung,2,FALSE))</f>
        <v>0</v>
      </c>
      <c r="T126" s="87">
        <f>IF(ISBLANK('Etape 2'!O123),0,VLOOKUP('Etape 2'!O123,Matrix_Uebersetzung,2,FALSE))</f>
        <v>0</v>
      </c>
      <c r="U126" s="87">
        <f>IF(ISBLANK('Etape 2'!P123),0,VLOOKUP('Etape 2'!P123,Matrix_Uebersetzung,2,FALSE))</f>
        <v>0</v>
      </c>
      <c r="V126" s="87" t="str">
        <f>'Etape 2'!Q123</f>
        <v/>
      </c>
      <c r="W126" s="87">
        <f>'Etape 2'!R123</f>
        <v>0</v>
      </c>
      <c r="X126" s="87" t="str">
        <f>'Etape 2'!S123</f>
        <v/>
      </c>
      <c r="Y126" s="89" t="str">
        <f>'Etape 2'!T123</f>
        <v/>
      </c>
      <c r="Z126" s="87">
        <f>'Etape 2'!U123</f>
        <v>0</v>
      </c>
      <c r="AA126" s="87" t="str">
        <f>'Etape 2'!V123</f>
        <v/>
      </c>
      <c r="AB126" s="87">
        <f>IF(ISNUMBER('Etape 2'!W123),'Etape 2'!W123,0)</f>
        <v>0</v>
      </c>
      <c r="AC126" s="87">
        <f>IF(ISNUMBER('Etape 2'!X123),'Etape 2'!X123,0)</f>
        <v>0</v>
      </c>
      <c r="AD126" s="87">
        <f>IF(ISNUMBER('Etape 2'!Y123),'Etape 2'!Y123,0)</f>
        <v>0</v>
      </c>
      <c r="AE126" s="87">
        <f>IF(ISNUMBER('Etape 2'!Z123),'Etape 2'!Z123,0)</f>
        <v>0</v>
      </c>
      <c r="AF126" s="86">
        <f t="shared" si="129"/>
        <v>999</v>
      </c>
      <c r="AG126" s="288">
        <f t="shared" si="130"/>
        <v>0.25</v>
      </c>
      <c r="AH126" s="181" t="e">
        <f t="shared" si="105"/>
        <v>#VALUE!</v>
      </c>
      <c r="AI126" s="181" t="e">
        <f t="shared" si="146"/>
        <v>#VALUE!</v>
      </c>
      <c r="AJ126" s="86">
        <f t="shared" si="106"/>
        <v>200</v>
      </c>
      <c r="AK126" s="91" t="e">
        <f t="shared" si="107"/>
        <v>#N/A</v>
      </c>
      <c r="AL126" s="91" t="e">
        <f t="shared" si="147"/>
        <v>#N/A</v>
      </c>
      <c r="AM126" s="91">
        <f t="shared" si="109"/>
        <v>6</v>
      </c>
      <c r="AN126" s="91" t="e">
        <f t="shared" si="148"/>
        <v>#N/A</v>
      </c>
      <c r="AO126" s="91" t="e">
        <f t="shared" si="149"/>
        <v>#N/A</v>
      </c>
      <c r="AP126" s="21" t="e">
        <f t="shared" si="150"/>
        <v>#N/A</v>
      </c>
      <c r="AQ126" s="21" t="e">
        <f t="shared" si="151"/>
        <v>#N/A</v>
      </c>
      <c r="AR126" s="92" t="str">
        <f t="shared" si="134"/>
        <v/>
      </c>
      <c r="AS126" s="21" t="str">
        <f t="shared" si="135"/>
        <v/>
      </c>
      <c r="AT126" s="59" t="str">
        <f t="shared" si="112"/>
        <v/>
      </c>
      <c r="AU126" s="105">
        <f t="shared" si="113"/>
        <v>1</v>
      </c>
      <c r="AV126" s="105">
        <f t="shared" si="152"/>
        <v>1</v>
      </c>
      <c r="AW126" s="58">
        <f t="shared" si="153"/>
        <v>2</v>
      </c>
      <c r="AX126" s="58">
        <f t="shared" si="154"/>
        <v>3</v>
      </c>
      <c r="AY126" s="58" t="str">
        <f t="shared" si="155"/>
        <v>avec vannes</v>
      </c>
      <c r="AZ126" s="58" t="str">
        <f t="shared" si="156"/>
        <v>fermé</v>
      </c>
      <c r="BA126" s="60">
        <f t="shared" si="157"/>
        <v>0</v>
      </c>
      <c r="BB126" s="60">
        <f t="shared" si="157"/>
        <v>0</v>
      </c>
      <c r="BC126" s="60">
        <f t="shared" si="157"/>
        <v>0</v>
      </c>
      <c r="BD126" s="60">
        <f t="shared" si="157"/>
        <v>0</v>
      </c>
      <c r="BE126" s="286" t="str">
        <f t="shared" si="118"/>
        <v/>
      </c>
      <c r="BF126" s="58" t="str">
        <f t="shared" si="136"/>
        <v/>
      </c>
      <c r="BG126" s="59" t="str">
        <f t="shared" si="119"/>
        <v/>
      </c>
      <c r="BH126" s="158">
        <f t="shared" ca="1" si="120"/>
        <v>1</v>
      </c>
      <c r="BI126" s="60">
        <f t="shared" ca="1" si="121"/>
        <v>0.15</v>
      </c>
      <c r="BJ126" s="60">
        <f t="shared" si="122"/>
        <v>0.2</v>
      </c>
      <c r="BK126" s="60" t="str">
        <f t="shared" si="137"/>
        <v/>
      </c>
      <c r="BL126" s="21" t="str">
        <f t="shared" si="138"/>
        <v/>
      </c>
      <c r="BM126" s="264" t="str">
        <f t="shared" si="123"/>
        <v/>
      </c>
      <c r="BN126" s="60" t="str">
        <f t="shared" si="139"/>
        <v/>
      </c>
      <c r="BO126" s="136">
        <f t="shared" si="140"/>
        <v>0</v>
      </c>
      <c r="BP126" s="59">
        <f t="shared" si="141"/>
        <v>0</v>
      </c>
      <c r="BQ126" s="136">
        <f t="shared" ca="1" si="124"/>
        <v>1311</v>
      </c>
      <c r="BR126" s="136">
        <f t="shared" ca="1" si="125"/>
        <v>1000.3687707641196</v>
      </c>
      <c r="BS126" s="136">
        <f t="shared" ca="1" si="126"/>
        <v>1468800.3687707642</v>
      </c>
      <c r="BT126" s="136">
        <f t="shared" ca="1" si="127"/>
        <v>313875.29149652331</v>
      </c>
      <c r="BU126" s="136">
        <f t="shared" ca="1" si="128"/>
        <v>1000.3687707641196</v>
      </c>
    </row>
    <row r="127" spans="1:73" x14ac:dyDescent="0.2">
      <c r="A127" s="87" t="str">
        <f>'Etape 2'!A124</f>
        <v/>
      </c>
      <c r="B127" s="87">
        <f>'Etape 2'!B124</f>
        <v>112</v>
      </c>
      <c r="C127" s="87">
        <f ca="1">'Etape 2'!C124</f>
        <v>189</v>
      </c>
      <c r="D127" s="87"/>
      <c r="E127" s="61">
        <f ca="1">RANK(BU127,BU$16:BU$315,0)+COUNTIF(BU$16:BU127,BU127)-1</f>
        <v>189</v>
      </c>
      <c r="F127" s="87" t="str">
        <f>'Etape 2'!D124</f>
        <v/>
      </c>
      <c r="G127" s="87" t="str">
        <f>'Etape 2'!E124</f>
        <v/>
      </c>
      <c r="H127" s="87" t="str">
        <f>'Etape 2'!F124</f>
        <v/>
      </c>
      <c r="I127" s="87" t="str">
        <f>'Etape 2'!G124</f>
        <v/>
      </c>
      <c r="J127" s="87" t="str">
        <f>'Etape 2'!H124</f>
        <v/>
      </c>
      <c r="K127" s="87" t="str">
        <f>'Etape 2'!I124</f>
        <v/>
      </c>
      <c r="L127" s="87">
        <f ca="1">'Etape 2'!J124</f>
        <v>999999</v>
      </c>
      <c r="M127" s="87">
        <f>'Etape 2'!K124</f>
        <v>999</v>
      </c>
      <c r="N127" s="87">
        <f ca="1">'Etape 2'!L124</f>
        <v>112</v>
      </c>
      <c r="O127" s="259">
        <f t="shared" si="102"/>
        <v>0.3</v>
      </c>
      <c r="P127" s="259">
        <f t="shared" si="103"/>
        <v>1.1000000000000001</v>
      </c>
      <c r="Q127" s="260">
        <f t="shared" si="104"/>
        <v>0</v>
      </c>
      <c r="R127" s="261">
        <f t="shared" si="143"/>
        <v>0</v>
      </c>
      <c r="S127" s="87">
        <f>IF(ISBLANK('Etape 2'!N124),0,VLOOKUP('Etape 2'!N124,Matrix_Uebersetzung,2,FALSE))</f>
        <v>0</v>
      </c>
      <c r="T127" s="87">
        <f>IF(ISBLANK('Etape 2'!O124),0,VLOOKUP('Etape 2'!O124,Matrix_Uebersetzung,2,FALSE))</f>
        <v>0</v>
      </c>
      <c r="U127" s="87">
        <f>IF(ISBLANK('Etape 2'!P124),0,VLOOKUP('Etape 2'!P124,Matrix_Uebersetzung,2,FALSE))</f>
        <v>0</v>
      </c>
      <c r="V127" s="87" t="str">
        <f>'Etape 2'!Q124</f>
        <v/>
      </c>
      <c r="W127" s="87">
        <f>'Etape 2'!R124</f>
        <v>0</v>
      </c>
      <c r="X127" s="87" t="str">
        <f>'Etape 2'!S124</f>
        <v/>
      </c>
      <c r="Y127" s="89" t="str">
        <f>'Etape 2'!T124</f>
        <v/>
      </c>
      <c r="Z127" s="87">
        <f>'Etape 2'!U124</f>
        <v>0</v>
      </c>
      <c r="AA127" s="87" t="str">
        <f>'Etape 2'!V124</f>
        <v/>
      </c>
      <c r="AB127" s="87">
        <f>IF(ISNUMBER('Etape 2'!W124),'Etape 2'!W124,0)</f>
        <v>0</v>
      </c>
      <c r="AC127" s="87">
        <f>IF(ISNUMBER('Etape 2'!X124),'Etape 2'!X124,0)</f>
        <v>0</v>
      </c>
      <c r="AD127" s="87">
        <f>IF(ISNUMBER('Etape 2'!Y124),'Etape 2'!Y124,0)</f>
        <v>0</v>
      </c>
      <c r="AE127" s="87">
        <f>IF(ISNUMBER('Etape 2'!Z124),'Etape 2'!Z124,0)</f>
        <v>0</v>
      </c>
      <c r="AF127" s="86">
        <f t="shared" si="129"/>
        <v>999</v>
      </c>
      <c r="AG127" s="288">
        <f t="shared" si="130"/>
        <v>0.25</v>
      </c>
      <c r="AH127" s="181" t="e">
        <f t="shared" si="105"/>
        <v>#VALUE!</v>
      </c>
      <c r="AI127" s="181" t="e">
        <f t="shared" si="146"/>
        <v>#VALUE!</v>
      </c>
      <c r="AJ127" s="86">
        <f t="shared" si="106"/>
        <v>200</v>
      </c>
      <c r="AK127" s="91" t="e">
        <f t="shared" si="107"/>
        <v>#N/A</v>
      </c>
      <c r="AL127" s="91" t="e">
        <f t="shared" si="147"/>
        <v>#N/A</v>
      </c>
      <c r="AM127" s="91">
        <f t="shared" si="109"/>
        <v>6</v>
      </c>
      <c r="AN127" s="91" t="e">
        <f t="shared" si="148"/>
        <v>#N/A</v>
      </c>
      <c r="AO127" s="91" t="e">
        <f t="shared" si="149"/>
        <v>#N/A</v>
      </c>
      <c r="AP127" s="21" t="e">
        <f t="shared" si="150"/>
        <v>#N/A</v>
      </c>
      <c r="AQ127" s="21" t="e">
        <f t="shared" si="151"/>
        <v>#N/A</v>
      </c>
      <c r="AR127" s="92" t="str">
        <f t="shared" si="134"/>
        <v/>
      </c>
      <c r="AS127" s="21" t="str">
        <f t="shared" si="135"/>
        <v/>
      </c>
      <c r="AT127" s="59" t="str">
        <f t="shared" si="112"/>
        <v/>
      </c>
      <c r="AU127" s="105">
        <f t="shared" si="113"/>
        <v>1</v>
      </c>
      <c r="AV127" s="105">
        <f t="shared" si="152"/>
        <v>1</v>
      </c>
      <c r="AW127" s="58">
        <f t="shared" si="153"/>
        <v>2</v>
      </c>
      <c r="AX127" s="58">
        <f t="shared" si="154"/>
        <v>3</v>
      </c>
      <c r="AY127" s="58" t="str">
        <f t="shared" si="155"/>
        <v>avec vannes</v>
      </c>
      <c r="AZ127" s="58" t="str">
        <f t="shared" si="156"/>
        <v>fermé</v>
      </c>
      <c r="BA127" s="60">
        <f t="shared" si="157"/>
        <v>0</v>
      </c>
      <c r="BB127" s="60">
        <f t="shared" si="157"/>
        <v>0</v>
      </c>
      <c r="BC127" s="60">
        <f t="shared" si="157"/>
        <v>0</v>
      </c>
      <c r="BD127" s="60">
        <f t="shared" si="157"/>
        <v>0</v>
      </c>
      <c r="BE127" s="286" t="str">
        <f t="shared" si="118"/>
        <v/>
      </c>
      <c r="BF127" s="58" t="str">
        <f t="shared" si="136"/>
        <v/>
      </c>
      <c r="BG127" s="59" t="str">
        <f t="shared" si="119"/>
        <v/>
      </c>
      <c r="BH127" s="158">
        <f t="shared" ca="1" si="120"/>
        <v>1</v>
      </c>
      <c r="BI127" s="60">
        <f t="shared" ca="1" si="121"/>
        <v>0.15</v>
      </c>
      <c r="BJ127" s="60">
        <f t="shared" si="122"/>
        <v>0.2</v>
      </c>
      <c r="BK127" s="60" t="str">
        <f t="shared" si="137"/>
        <v/>
      </c>
      <c r="BL127" s="21" t="str">
        <f t="shared" si="138"/>
        <v/>
      </c>
      <c r="BM127" s="264" t="str">
        <f t="shared" si="123"/>
        <v/>
      </c>
      <c r="BN127" s="60" t="str">
        <f t="shared" si="139"/>
        <v/>
      </c>
      <c r="BO127" s="136">
        <f t="shared" si="140"/>
        <v>0</v>
      </c>
      <c r="BP127" s="59">
        <f t="shared" si="141"/>
        <v>0</v>
      </c>
      <c r="BQ127" s="136">
        <f t="shared" ca="1" si="124"/>
        <v>1312</v>
      </c>
      <c r="BR127" s="136">
        <f t="shared" ca="1" si="125"/>
        <v>1000.3720930232558</v>
      </c>
      <c r="BS127" s="136">
        <f t="shared" ca="1" si="126"/>
        <v>1468800.3720930233</v>
      </c>
      <c r="BT127" s="136">
        <f t="shared" ca="1" si="127"/>
        <v>313875.29481878248</v>
      </c>
      <c r="BU127" s="136">
        <f t="shared" ca="1" si="128"/>
        <v>1000.3720930232558</v>
      </c>
    </row>
    <row r="128" spans="1:73" x14ac:dyDescent="0.2">
      <c r="A128" s="87" t="str">
        <f>'Etape 2'!A125</f>
        <v/>
      </c>
      <c r="B128" s="87">
        <f>'Etape 2'!B125</f>
        <v>113</v>
      </c>
      <c r="C128" s="87">
        <f ca="1">'Etape 2'!C125</f>
        <v>188</v>
      </c>
      <c r="D128" s="87"/>
      <c r="E128" s="61">
        <f ca="1">RANK(BU128,BU$16:BU$315,0)+COUNTIF(BU$16:BU128,BU128)-1</f>
        <v>188</v>
      </c>
      <c r="F128" s="87" t="str">
        <f>'Etape 2'!D125</f>
        <v/>
      </c>
      <c r="G128" s="87" t="str">
        <f>'Etape 2'!E125</f>
        <v/>
      </c>
      <c r="H128" s="87" t="str">
        <f>'Etape 2'!F125</f>
        <v/>
      </c>
      <c r="I128" s="87" t="str">
        <f>'Etape 2'!G125</f>
        <v/>
      </c>
      <c r="J128" s="87" t="str">
        <f>'Etape 2'!H125</f>
        <v/>
      </c>
      <c r="K128" s="87" t="str">
        <f>'Etape 2'!I125</f>
        <v/>
      </c>
      <c r="L128" s="87">
        <f ca="1">'Etape 2'!J125</f>
        <v>999999</v>
      </c>
      <c r="M128" s="87">
        <f>'Etape 2'!K125</f>
        <v>999</v>
      </c>
      <c r="N128" s="87">
        <f ca="1">'Etape 2'!L125</f>
        <v>113</v>
      </c>
      <c r="O128" s="259">
        <f t="shared" si="102"/>
        <v>0.3</v>
      </c>
      <c r="P128" s="259">
        <f t="shared" si="103"/>
        <v>1.1000000000000001</v>
      </c>
      <c r="Q128" s="260">
        <f t="shared" si="104"/>
        <v>0</v>
      </c>
      <c r="R128" s="261">
        <f t="shared" si="143"/>
        <v>0</v>
      </c>
      <c r="S128" s="87">
        <f>IF(ISBLANK('Etape 2'!N125),0,VLOOKUP('Etape 2'!N125,Matrix_Uebersetzung,2,FALSE))</f>
        <v>0</v>
      </c>
      <c r="T128" s="87">
        <f>IF(ISBLANK('Etape 2'!O125),0,VLOOKUP('Etape 2'!O125,Matrix_Uebersetzung,2,FALSE))</f>
        <v>0</v>
      </c>
      <c r="U128" s="87">
        <f>IF(ISBLANK('Etape 2'!P125),0,VLOOKUP('Etape 2'!P125,Matrix_Uebersetzung,2,FALSE))</f>
        <v>0</v>
      </c>
      <c r="V128" s="87" t="str">
        <f>'Etape 2'!Q125</f>
        <v/>
      </c>
      <c r="W128" s="87">
        <f>'Etape 2'!R125</f>
        <v>0</v>
      </c>
      <c r="X128" s="87" t="str">
        <f>'Etape 2'!S125</f>
        <v/>
      </c>
      <c r="Y128" s="89" t="str">
        <f>'Etape 2'!T125</f>
        <v/>
      </c>
      <c r="Z128" s="87">
        <f>'Etape 2'!U125</f>
        <v>0</v>
      </c>
      <c r="AA128" s="87" t="str">
        <f>'Etape 2'!V125</f>
        <v/>
      </c>
      <c r="AB128" s="87">
        <f>IF(ISNUMBER('Etape 2'!W125),'Etape 2'!W125,0)</f>
        <v>0</v>
      </c>
      <c r="AC128" s="87">
        <f>IF(ISNUMBER('Etape 2'!X125),'Etape 2'!X125,0)</f>
        <v>0</v>
      </c>
      <c r="AD128" s="87">
        <f>IF(ISNUMBER('Etape 2'!Y125),'Etape 2'!Y125,0)</f>
        <v>0</v>
      </c>
      <c r="AE128" s="87">
        <f>IF(ISNUMBER('Etape 2'!Z125),'Etape 2'!Z125,0)</f>
        <v>0</v>
      </c>
      <c r="AF128" s="86">
        <f t="shared" si="129"/>
        <v>999</v>
      </c>
      <c r="AG128" s="288">
        <f t="shared" si="130"/>
        <v>0.25</v>
      </c>
      <c r="AH128" s="181" t="e">
        <f t="shared" si="105"/>
        <v>#VALUE!</v>
      </c>
      <c r="AI128" s="181" t="e">
        <f t="shared" si="146"/>
        <v>#VALUE!</v>
      </c>
      <c r="AJ128" s="86">
        <f t="shared" si="106"/>
        <v>200</v>
      </c>
      <c r="AK128" s="91" t="e">
        <f t="shared" si="107"/>
        <v>#N/A</v>
      </c>
      <c r="AL128" s="91" t="e">
        <f t="shared" si="147"/>
        <v>#N/A</v>
      </c>
      <c r="AM128" s="91">
        <f t="shared" si="109"/>
        <v>6</v>
      </c>
      <c r="AN128" s="91" t="e">
        <f t="shared" si="148"/>
        <v>#N/A</v>
      </c>
      <c r="AO128" s="91" t="e">
        <f t="shared" si="149"/>
        <v>#N/A</v>
      </c>
      <c r="AP128" s="21" t="e">
        <f t="shared" si="150"/>
        <v>#N/A</v>
      </c>
      <c r="AQ128" s="21" t="e">
        <f t="shared" si="151"/>
        <v>#N/A</v>
      </c>
      <c r="AR128" s="92" t="str">
        <f t="shared" si="134"/>
        <v/>
      </c>
      <c r="AS128" s="21" t="str">
        <f t="shared" si="135"/>
        <v/>
      </c>
      <c r="AT128" s="59" t="str">
        <f t="shared" si="112"/>
        <v/>
      </c>
      <c r="AU128" s="105">
        <f t="shared" si="113"/>
        <v>1</v>
      </c>
      <c r="AV128" s="105">
        <f t="shared" si="152"/>
        <v>1</v>
      </c>
      <c r="AW128" s="58">
        <f t="shared" si="153"/>
        <v>2</v>
      </c>
      <c r="AX128" s="58">
        <f t="shared" si="154"/>
        <v>3</v>
      </c>
      <c r="AY128" s="58" t="str">
        <f t="shared" si="155"/>
        <v>avec vannes</v>
      </c>
      <c r="AZ128" s="58" t="str">
        <f t="shared" si="156"/>
        <v>fermé</v>
      </c>
      <c r="BA128" s="60">
        <f t="shared" si="157"/>
        <v>0</v>
      </c>
      <c r="BB128" s="60">
        <f t="shared" si="157"/>
        <v>0</v>
      </c>
      <c r="BC128" s="60">
        <f t="shared" si="157"/>
        <v>0</v>
      </c>
      <c r="BD128" s="60">
        <f t="shared" si="157"/>
        <v>0</v>
      </c>
      <c r="BE128" s="286" t="str">
        <f t="shared" si="118"/>
        <v/>
      </c>
      <c r="BF128" s="58" t="str">
        <f t="shared" si="136"/>
        <v/>
      </c>
      <c r="BG128" s="59" t="str">
        <f t="shared" si="119"/>
        <v/>
      </c>
      <c r="BH128" s="158">
        <f t="shared" ca="1" si="120"/>
        <v>1</v>
      </c>
      <c r="BI128" s="60">
        <f t="shared" ca="1" si="121"/>
        <v>0.15</v>
      </c>
      <c r="BJ128" s="60">
        <f t="shared" si="122"/>
        <v>0.2</v>
      </c>
      <c r="BK128" s="60" t="str">
        <f t="shared" si="137"/>
        <v/>
      </c>
      <c r="BL128" s="21" t="str">
        <f t="shared" si="138"/>
        <v/>
      </c>
      <c r="BM128" s="264" t="str">
        <f t="shared" si="123"/>
        <v/>
      </c>
      <c r="BN128" s="60" t="str">
        <f t="shared" si="139"/>
        <v/>
      </c>
      <c r="BO128" s="136">
        <f t="shared" si="140"/>
        <v>0</v>
      </c>
      <c r="BP128" s="59">
        <f t="shared" si="141"/>
        <v>0</v>
      </c>
      <c r="BQ128" s="136">
        <f t="shared" ca="1" si="124"/>
        <v>1313</v>
      </c>
      <c r="BR128" s="136">
        <f t="shared" ca="1" si="125"/>
        <v>1000.3754152823921</v>
      </c>
      <c r="BS128" s="136">
        <f t="shared" ca="1" si="126"/>
        <v>1468800.3754152823</v>
      </c>
      <c r="BT128" s="136">
        <f t="shared" ca="1" si="127"/>
        <v>313875.2981410416</v>
      </c>
      <c r="BU128" s="136">
        <f t="shared" ca="1" si="128"/>
        <v>1000.3754152823921</v>
      </c>
    </row>
    <row r="129" spans="1:73" x14ac:dyDescent="0.2">
      <c r="A129" s="87" t="str">
        <f>'Etape 2'!A126</f>
        <v/>
      </c>
      <c r="B129" s="87">
        <f>'Etape 2'!B126</f>
        <v>114</v>
      </c>
      <c r="C129" s="87">
        <f ca="1">'Etape 2'!C126</f>
        <v>187</v>
      </c>
      <c r="D129" s="87"/>
      <c r="E129" s="61">
        <f ca="1">RANK(BU129,BU$16:BU$315,0)+COUNTIF(BU$16:BU129,BU129)-1</f>
        <v>187</v>
      </c>
      <c r="F129" s="87" t="str">
        <f>'Etape 2'!D126</f>
        <v/>
      </c>
      <c r="G129" s="87" t="str">
        <f>'Etape 2'!E126</f>
        <v/>
      </c>
      <c r="H129" s="87" t="str">
        <f>'Etape 2'!F126</f>
        <v/>
      </c>
      <c r="I129" s="87" t="str">
        <f>'Etape 2'!G126</f>
        <v/>
      </c>
      <c r="J129" s="87" t="str">
        <f>'Etape 2'!H126</f>
        <v/>
      </c>
      <c r="K129" s="87" t="str">
        <f>'Etape 2'!I126</f>
        <v/>
      </c>
      <c r="L129" s="87">
        <f ca="1">'Etape 2'!J126</f>
        <v>999999</v>
      </c>
      <c r="M129" s="87">
        <f>'Etape 2'!K126</f>
        <v>999</v>
      </c>
      <c r="N129" s="87">
        <f ca="1">'Etape 2'!L126</f>
        <v>114</v>
      </c>
      <c r="O129" s="259">
        <f t="shared" si="102"/>
        <v>0.3</v>
      </c>
      <c r="P129" s="259">
        <f t="shared" si="103"/>
        <v>1.1000000000000001</v>
      </c>
      <c r="Q129" s="260">
        <f t="shared" si="104"/>
        <v>0</v>
      </c>
      <c r="R129" s="261">
        <f t="shared" si="143"/>
        <v>0</v>
      </c>
      <c r="S129" s="87">
        <f>IF(ISBLANK('Etape 2'!N126),0,VLOOKUP('Etape 2'!N126,Matrix_Uebersetzung,2,FALSE))</f>
        <v>0</v>
      </c>
      <c r="T129" s="87">
        <f>IF(ISBLANK('Etape 2'!O126),0,VLOOKUP('Etape 2'!O126,Matrix_Uebersetzung,2,FALSE))</f>
        <v>0</v>
      </c>
      <c r="U129" s="87">
        <f>IF(ISBLANK('Etape 2'!P126),0,VLOOKUP('Etape 2'!P126,Matrix_Uebersetzung,2,FALSE))</f>
        <v>0</v>
      </c>
      <c r="V129" s="87" t="str">
        <f>'Etape 2'!Q126</f>
        <v/>
      </c>
      <c r="W129" s="87">
        <f>'Etape 2'!R126</f>
        <v>0</v>
      </c>
      <c r="X129" s="87" t="str">
        <f>'Etape 2'!S126</f>
        <v/>
      </c>
      <c r="Y129" s="89" t="str">
        <f>'Etape 2'!T126</f>
        <v/>
      </c>
      <c r="Z129" s="87">
        <f>'Etape 2'!U126</f>
        <v>0</v>
      </c>
      <c r="AA129" s="87" t="str">
        <f>'Etape 2'!V126</f>
        <v/>
      </c>
      <c r="AB129" s="87">
        <f>IF(ISNUMBER('Etape 2'!W126),'Etape 2'!W126,0)</f>
        <v>0</v>
      </c>
      <c r="AC129" s="87">
        <f>IF(ISNUMBER('Etape 2'!X126),'Etape 2'!X126,0)</f>
        <v>0</v>
      </c>
      <c r="AD129" s="87">
        <f>IF(ISNUMBER('Etape 2'!Y126),'Etape 2'!Y126,0)</f>
        <v>0</v>
      </c>
      <c r="AE129" s="87">
        <f>IF(ISNUMBER('Etape 2'!Z126),'Etape 2'!Z126,0)</f>
        <v>0</v>
      </c>
      <c r="AF129" s="86">
        <f t="shared" si="129"/>
        <v>999</v>
      </c>
      <c r="AG129" s="288">
        <f t="shared" si="130"/>
        <v>0.25</v>
      </c>
      <c r="AH129" s="181" t="e">
        <f t="shared" si="105"/>
        <v>#VALUE!</v>
      </c>
      <c r="AI129" s="181" t="e">
        <f t="shared" si="146"/>
        <v>#VALUE!</v>
      </c>
      <c r="AJ129" s="86">
        <f t="shared" si="106"/>
        <v>200</v>
      </c>
      <c r="AK129" s="91" t="e">
        <f t="shared" si="107"/>
        <v>#N/A</v>
      </c>
      <c r="AL129" s="91" t="e">
        <f t="shared" si="147"/>
        <v>#N/A</v>
      </c>
      <c r="AM129" s="91">
        <f t="shared" si="109"/>
        <v>6</v>
      </c>
      <c r="AN129" s="91" t="e">
        <f t="shared" si="148"/>
        <v>#N/A</v>
      </c>
      <c r="AO129" s="91" t="e">
        <f t="shared" si="149"/>
        <v>#N/A</v>
      </c>
      <c r="AP129" s="21" t="e">
        <f t="shared" si="150"/>
        <v>#N/A</v>
      </c>
      <c r="AQ129" s="21" t="e">
        <f t="shared" si="151"/>
        <v>#N/A</v>
      </c>
      <c r="AR129" s="92" t="str">
        <f t="shared" si="134"/>
        <v/>
      </c>
      <c r="AS129" s="21" t="str">
        <f t="shared" si="135"/>
        <v/>
      </c>
      <c r="AT129" s="59" t="str">
        <f t="shared" si="112"/>
        <v/>
      </c>
      <c r="AU129" s="105">
        <f t="shared" si="113"/>
        <v>1</v>
      </c>
      <c r="AV129" s="105">
        <f t="shared" si="152"/>
        <v>1</v>
      </c>
      <c r="AW129" s="58">
        <f t="shared" si="153"/>
        <v>2</v>
      </c>
      <c r="AX129" s="58">
        <f t="shared" si="154"/>
        <v>3</v>
      </c>
      <c r="AY129" s="58" t="str">
        <f t="shared" si="155"/>
        <v>avec vannes</v>
      </c>
      <c r="AZ129" s="58" t="str">
        <f t="shared" si="156"/>
        <v>fermé</v>
      </c>
      <c r="BA129" s="60">
        <f t="shared" si="157"/>
        <v>0</v>
      </c>
      <c r="BB129" s="60">
        <f t="shared" si="157"/>
        <v>0</v>
      </c>
      <c r="BC129" s="60">
        <f t="shared" si="157"/>
        <v>0</v>
      </c>
      <c r="BD129" s="60">
        <f t="shared" si="157"/>
        <v>0</v>
      </c>
      <c r="BE129" s="286" t="str">
        <f t="shared" si="118"/>
        <v/>
      </c>
      <c r="BF129" s="58" t="str">
        <f t="shared" si="136"/>
        <v/>
      </c>
      <c r="BG129" s="59" t="str">
        <f t="shared" si="119"/>
        <v/>
      </c>
      <c r="BH129" s="158">
        <f t="shared" ca="1" si="120"/>
        <v>1</v>
      </c>
      <c r="BI129" s="60">
        <f t="shared" ca="1" si="121"/>
        <v>0.15</v>
      </c>
      <c r="BJ129" s="60">
        <f t="shared" si="122"/>
        <v>0.2</v>
      </c>
      <c r="BK129" s="60" t="str">
        <f t="shared" si="137"/>
        <v/>
      </c>
      <c r="BL129" s="21" t="str">
        <f t="shared" si="138"/>
        <v/>
      </c>
      <c r="BM129" s="264" t="str">
        <f t="shared" si="123"/>
        <v/>
      </c>
      <c r="BN129" s="60" t="str">
        <f t="shared" si="139"/>
        <v/>
      </c>
      <c r="BO129" s="136">
        <f t="shared" si="140"/>
        <v>0</v>
      </c>
      <c r="BP129" s="59">
        <f t="shared" si="141"/>
        <v>0</v>
      </c>
      <c r="BQ129" s="136">
        <f t="shared" ca="1" si="124"/>
        <v>1314</v>
      </c>
      <c r="BR129" s="136">
        <f t="shared" ca="1" si="125"/>
        <v>1000.3787375415283</v>
      </c>
      <c r="BS129" s="136">
        <f t="shared" ca="1" si="126"/>
        <v>1468800.3787375416</v>
      </c>
      <c r="BT129" s="136">
        <f t="shared" ca="1" si="127"/>
        <v>313875.30146330077</v>
      </c>
      <c r="BU129" s="136">
        <f t="shared" ca="1" si="128"/>
        <v>1000.3787375415283</v>
      </c>
    </row>
    <row r="130" spans="1:73" x14ac:dyDescent="0.2">
      <c r="A130" s="87" t="str">
        <f>'Etape 2'!A127</f>
        <v/>
      </c>
      <c r="B130" s="87">
        <f>'Etape 2'!B127</f>
        <v>115</v>
      </c>
      <c r="C130" s="87">
        <f ca="1">'Etape 2'!C127</f>
        <v>186</v>
      </c>
      <c r="D130" s="87"/>
      <c r="E130" s="61">
        <f ca="1">RANK(BU130,BU$16:BU$315,0)+COUNTIF(BU$16:BU130,BU130)-1</f>
        <v>186</v>
      </c>
      <c r="F130" s="87" t="str">
        <f>'Etape 2'!D127</f>
        <v/>
      </c>
      <c r="G130" s="87" t="str">
        <f>'Etape 2'!E127</f>
        <v/>
      </c>
      <c r="H130" s="87" t="str">
        <f>'Etape 2'!F127</f>
        <v/>
      </c>
      <c r="I130" s="87" t="str">
        <f>'Etape 2'!G127</f>
        <v/>
      </c>
      <c r="J130" s="87" t="str">
        <f>'Etape 2'!H127</f>
        <v/>
      </c>
      <c r="K130" s="87" t="str">
        <f>'Etape 2'!I127</f>
        <v/>
      </c>
      <c r="L130" s="87">
        <f ca="1">'Etape 2'!J127</f>
        <v>999999</v>
      </c>
      <c r="M130" s="87">
        <f>'Etape 2'!K127</f>
        <v>999</v>
      </c>
      <c r="N130" s="87">
        <f ca="1">'Etape 2'!L127</f>
        <v>115</v>
      </c>
      <c r="O130" s="259">
        <f t="shared" si="102"/>
        <v>0.3</v>
      </c>
      <c r="P130" s="259">
        <f t="shared" si="103"/>
        <v>1.1000000000000001</v>
      </c>
      <c r="Q130" s="260">
        <f t="shared" si="104"/>
        <v>0</v>
      </c>
      <c r="R130" s="261">
        <f t="shared" si="143"/>
        <v>0</v>
      </c>
      <c r="S130" s="87">
        <f>IF(ISBLANK('Etape 2'!N127),0,VLOOKUP('Etape 2'!N127,Matrix_Uebersetzung,2,FALSE))</f>
        <v>0</v>
      </c>
      <c r="T130" s="87">
        <f>IF(ISBLANK('Etape 2'!O127),0,VLOOKUP('Etape 2'!O127,Matrix_Uebersetzung,2,FALSE))</f>
        <v>0</v>
      </c>
      <c r="U130" s="87">
        <f>IF(ISBLANK('Etape 2'!P127),0,VLOOKUP('Etape 2'!P127,Matrix_Uebersetzung,2,FALSE))</f>
        <v>0</v>
      </c>
      <c r="V130" s="87" t="str">
        <f>'Etape 2'!Q127</f>
        <v/>
      </c>
      <c r="W130" s="87">
        <f>'Etape 2'!R127</f>
        <v>0</v>
      </c>
      <c r="X130" s="87" t="str">
        <f>'Etape 2'!S127</f>
        <v/>
      </c>
      <c r="Y130" s="89" t="str">
        <f>'Etape 2'!T127</f>
        <v/>
      </c>
      <c r="Z130" s="87">
        <f>'Etape 2'!U127</f>
        <v>0</v>
      </c>
      <c r="AA130" s="87" t="str">
        <f>'Etape 2'!V127</f>
        <v/>
      </c>
      <c r="AB130" s="87">
        <f>IF(ISNUMBER('Etape 2'!W127),'Etape 2'!W127,0)</f>
        <v>0</v>
      </c>
      <c r="AC130" s="87">
        <f>IF(ISNUMBER('Etape 2'!X127),'Etape 2'!X127,0)</f>
        <v>0</v>
      </c>
      <c r="AD130" s="87">
        <f>IF(ISNUMBER('Etape 2'!Y127),'Etape 2'!Y127,0)</f>
        <v>0</v>
      </c>
      <c r="AE130" s="87">
        <f>IF(ISNUMBER('Etape 2'!Z127),'Etape 2'!Z127,0)</f>
        <v>0</v>
      </c>
      <c r="AF130" s="86">
        <f t="shared" si="129"/>
        <v>999</v>
      </c>
      <c r="AG130" s="288">
        <f t="shared" si="130"/>
        <v>0.25</v>
      </c>
      <c r="AH130" s="181" t="e">
        <f t="shared" si="105"/>
        <v>#VALUE!</v>
      </c>
      <c r="AI130" s="181" t="e">
        <f t="shared" si="146"/>
        <v>#VALUE!</v>
      </c>
      <c r="AJ130" s="86">
        <f t="shared" si="106"/>
        <v>200</v>
      </c>
      <c r="AK130" s="91" t="e">
        <f t="shared" si="107"/>
        <v>#N/A</v>
      </c>
      <c r="AL130" s="91" t="e">
        <f t="shared" si="147"/>
        <v>#N/A</v>
      </c>
      <c r="AM130" s="91">
        <f t="shared" si="109"/>
        <v>6</v>
      </c>
      <c r="AN130" s="91" t="e">
        <f t="shared" si="148"/>
        <v>#N/A</v>
      </c>
      <c r="AO130" s="91" t="e">
        <f t="shared" si="149"/>
        <v>#N/A</v>
      </c>
      <c r="AP130" s="21" t="e">
        <f t="shared" si="150"/>
        <v>#N/A</v>
      </c>
      <c r="AQ130" s="21" t="e">
        <f t="shared" si="151"/>
        <v>#N/A</v>
      </c>
      <c r="AR130" s="92" t="str">
        <f t="shared" si="134"/>
        <v/>
      </c>
      <c r="AS130" s="21" t="str">
        <f t="shared" si="135"/>
        <v/>
      </c>
      <c r="AT130" s="59" t="str">
        <f t="shared" si="112"/>
        <v/>
      </c>
      <c r="AU130" s="105">
        <f t="shared" si="113"/>
        <v>1</v>
      </c>
      <c r="AV130" s="105">
        <f t="shared" si="152"/>
        <v>1</v>
      </c>
      <c r="AW130" s="58">
        <f t="shared" si="153"/>
        <v>2</v>
      </c>
      <c r="AX130" s="58">
        <f t="shared" si="154"/>
        <v>3</v>
      </c>
      <c r="AY130" s="58" t="str">
        <f t="shared" si="155"/>
        <v>avec vannes</v>
      </c>
      <c r="AZ130" s="58" t="str">
        <f t="shared" si="156"/>
        <v>fermé</v>
      </c>
      <c r="BA130" s="60">
        <f t="shared" si="157"/>
        <v>0</v>
      </c>
      <c r="BB130" s="60">
        <f t="shared" si="157"/>
        <v>0</v>
      </c>
      <c r="BC130" s="60">
        <f t="shared" si="157"/>
        <v>0</v>
      </c>
      <c r="BD130" s="60">
        <f t="shared" si="157"/>
        <v>0</v>
      </c>
      <c r="BE130" s="286" t="str">
        <f t="shared" si="118"/>
        <v/>
      </c>
      <c r="BF130" s="58" t="str">
        <f t="shared" si="136"/>
        <v/>
      </c>
      <c r="BG130" s="59" t="str">
        <f t="shared" si="119"/>
        <v/>
      </c>
      <c r="BH130" s="158">
        <f t="shared" ca="1" si="120"/>
        <v>1</v>
      </c>
      <c r="BI130" s="60">
        <f t="shared" ca="1" si="121"/>
        <v>0.15</v>
      </c>
      <c r="BJ130" s="60">
        <f t="shared" si="122"/>
        <v>0.2</v>
      </c>
      <c r="BK130" s="60" t="str">
        <f t="shared" si="137"/>
        <v/>
      </c>
      <c r="BL130" s="21" t="str">
        <f t="shared" si="138"/>
        <v/>
      </c>
      <c r="BM130" s="264" t="str">
        <f t="shared" si="123"/>
        <v/>
      </c>
      <c r="BN130" s="60" t="str">
        <f t="shared" si="139"/>
        <v/>
      </c>
      <c r="BO130" s="136">
        <f t="shared" si="140"/>
        <v>0</v>
      </c>
      <c r="BP130" s="59">
        <f t="shared" si="141"/>
        <v>0</v>
      </c>
      <c r="BQ130" s="136">
        <f t="shared" ca="1" si="124"/>
        <v>1315</v>
      </c>
      <c r="BR130" s="136">
        <f t="shared" ca="1" si="125"/>
        <v>1000.3820598006645</v>
      </c>
      <c r="BS130" s="136">
        <f t="shared" ca="1" si="126"/>
        <v>1468800.3820598007</v>
      </c>
      <c r="BT130" s="136">
        <f t="shared" ca="1" si="127"/>
        <v>313875.30478555989</v>
      </c>
      <c r="BU130" s="136">
        <f t="shared" ca="1" si="128"/>
        <v>1000.3820598006645</v>
      </c>
    </row>
    <row r="131" spans="1:73" x14ac:dyDescent="0.2">
      <c r="A131" s="87" t="str">
        <f>'Etape 2'!A128</f>
        <v/>
      </c>
      <c r="B131" s="87">
        <f>'Etape 2'!B128</f>
        <v>116</v>
      </c>
      <c r="C131" s="87">
        <f ca="1">'Etape 2'!C128</f>
        <v>185</v>
      </c>
      <c r="D131" s="87"/>
      <c r="E131" s="61">
        <f ca="1">RANK(BU131,BU$16:BU$315,0)+COUNTIF(BU$16:BU131,BU131)-1</f>
        <v>185</v>
      </c>
      <c r="F131" s="87" t="str">
        <f>'Etape 2'!D128</f>
        <v/>
      </c>
      <c r="G131" s="87" t="str">
        <f>'Etape 2'!E128</f>
        <v/>
      </c>
      <c r="H131" s="87" t="str">
        <f>'Etape 2'!F128</f>
        <v/>
      </c>
      <c r="I131" s="87" t="str">
        <f>'Etape 2'!G128</f>
        <v/>
      </c>
      <c r="J131" s="87" t="str">
        <f>'Etape 2'!H128</f>
        <v/>
      </c>
      <c r="K131" s="87" t="str">
        <f>'Etape 2'!I128</f>
        <v/>
      </c>
      <c r="L131" s="87">
        <f ca="1">'Etape 2'!J128</f>
        <v>999999</v>
      </c>
      <c r="M131" s="87">
        <f>'Etape 2'!K128</f>
        <v>999</v>
      </c>
      <c r="N131" s="87">
        <f ca="1">'Etape 2'!L128</f>
        <v>116</v>
      </c>
      <c r="O131" s="259">
        <f t="shared" si="102"/>
        <v>0.3</v>
      </c>
      <c r="P131" s="259">
        <f t="shared" si="103"/>
        <v>1.1000000000000001</v>
      </c>
      <c r="Q131" s="260">
        <f t="shared" si="104"/>
        <v>0</v>
      </c>
      <c r="R131" s="261">
        <f t="shared" si="143"/>
        <v>0</v>
      </c>
      <c r="S131" s="87">
        <f>IF(ISBLANK('Etape 2'!N128),0,VLOOKUP('Etape 2'!N128,Matrix_Uebersetzung,2,FALSE))</f>
        <v>0</v>
      </c>
      <c r="T131" s="87">
        <f>IF(ISBLANK('Etape 2'!O128),0,VLOOKUP('Etape 2'!O128,Matrix_Uebersetzung,2,FALSE))</f>
        <v>0</v>
      </c>
      <c r="U131" s="87">
        <f>IF(ISBLANK('Etape 2'!P128),0,VLOOKUP('Etape 2'!P128,Matrix_Uebersetzung,2,FALSE))</f>
        <v>0</v>
      </c>
      <c r="V131" s="87" t="str">
        <f>'Etape 2'!Q128</f>
        <v/>
      </c>
      <c r="W131" s="87">
        <f>'Etape 2'!R128</f>
        <v>0</v>
      </c>
      <c r="X131" s="87" t="str">
        <f>'Etape 2'!S128</f>
        <v/>
      </c>
      <c r="Y131" s="89" t="str">
        <f>'Etape 2'!T128</f>
        <v/>
      </c>
      <c r="Z131" s="87">
        <f>'Etape 2'!U128</f>
        <v>0</v>
      </c>
      <c r="AA131" s="87" t="str">
        <f>'Etape 2'!V128</f>
        <v/>
      </c>
      <c r="AB131" s="87">
        <f>IF(ISNUMBER('Etape 2'!W128),'Etape 2'!W128,0)</f>
        <v>0</v>
      </c>
      <c r="AC131" s="87">
        <f>IF(ISNUMBER('Etape 2'!X128),'Etape 2'!X128,0)</f>
        <v>0</v>
      </c>
      <c r="AD131" s="87">
        <f>IF(ISNUMBER('Etape 2'!Y128),'Etape 2'!Y128,0)</f>
        <v>0</v>
      </c>
      <c r="AE131" s="87">
        <f>IF(ISNUMBER('Etape 2'!Z128),'Etape 2'!Z128,0)</f>
        <v>0</v>
      </c>
      <c r="AF131" s="86">
        <f t="shared" si="129"/>
        <v>999</v>
      </c>
      <c r="AG131" s="288">
        <f t="shared" si="130"/>
        <v>0.25</v>
      </c>
      <c r="AH131" s="181" t="e">
        <f t="shared" si="105"/>
        <v>#VALUE!</v>
      </c>
      <c r="AI131" s="181" t="e">
        <f t="shared" si="146"/>
        <v>#VALUE!</v>
      </c>
      <c r="AJ131" s="86">
        <f t="shared" si="106"/>
        <v>200</v>
      </c>
      <c r="AK131" s="91" t="e">
        <f t="shared" si="107"/>
        <v>#N/A</v>
      </c>
      <c r="AL131" s="91" t="e">
        <f t="shared" si="147"/>
        <v>#N/A</v>
      </c>
      <c r="AM131" s="91">
        <f t="shared" si="109"/>
        <v>6</v>
      </c>
      <c r="AN131" s="91" t="e">
        <f t="shared" si="148"/>
        <v>#N/A</v>
      </c>
      <c r="AO131" s="91" t="e">
        <f t="shared" si="149"/>
        <v>#N/A</v>
      </c>
      <c r="AP131" s="21" t="e">
        <f t="shared" si="150"/>
        <v>#N/A</v>
      </c>
      <c r="AQ131" s="21" t="e">
        <f t="shared" si="151"/>
        <v>#N/A</v>
      </c>
      <c r="AR131" s="92" t="str">
        <f t="shared" si="134"/>
        <v/>
      </c>
      <c r="AS131" s="21" t="str">
        <f t="shared" si="135"/>
        <v/>
      </c>
      <c r="AT131" s="59" t="str">
        <f t="shared" si="112"/>
        <v/>
      </c>
      <c r="AU131" s="105">
        <f t="shared" si="113"/>
        <v>1</v>
      </c>
      <c r="AV131" s="105">
        <f t="shared" si="152"/>
        <v>1</v>
      </c>
      <c r="AW131" s="58">
        <f t="shared" si="153"/>
        <v>2</v>
      </c>
      <c r="AX131" s="58">
        <f t="shared" si="154"/>
        <v>3</v>
      </c>
      <c r="AY131" s="58" t="str">
        <f t="shared" si="155"/>
        <v>avec vannes</v>
      </c>
      <c r="AZ131" s="58" t="str">
        <f t="shared" si="156"/>
        <v>fermé</v>
      </c>
      <c r="BA131" s="60">
        <f t="shared" si="157"/>
        <v>0</v>
      </c>
      <c r="BB131" s="60">
        <f t="shared" si="157"/>
        <v>0</v>
      </c>
      <c r="BC131" s="60">
        <f t="shared" si="157"/>
        <v>0</v>
      </c>
      <c r="BD131" s="60">
        <f t="shared" si="157"/>
        <v>0</v>
      </c>
      <c r="BE131" s="286" t="str">
        <f t="shared" si="118"/>
        <v/>
      </c>
      <c r="BF131" s="58" t="str">
        <f t="shared" si="136"/>
        <v/>
      </c>
      <c r="BG131" s="59" t="str">
        <f t="shared" si="119"/>
        <v/>
      </c>
      <c r="BH131" s="158">
        <f t="shared" ca="1" si="120"/>
        <v>1</v>
      </c>
      <c r="BI131" s="60">
        <f t="shared" ca="1" si="121"/>
        <v>0.15</v>
      </c>
      <c r="BJ131" s="60">
        <f t="shared" si="122"/>
        <v>0.2</v>
      </c>
      <c r="BK131" s="60" t="str">
        <f t="shared" si="137"/>
        <v/>
      </c>
      <c r="BL131" s="21" t="str">
        <f t="shared" si="138"/>
        <v/>
      </c>
      <c r="BM131" s="264" t="str">
        <f t="shared" si="123"/>
        <v/>
      </c>
      <c r="BN131" s="60" t="str">
        <f t="shared" si="139"/>
        <v/>
      </c>
      <c r="BO131" s="136">
        <f t="shared" si="140"/>
        <v>0</v>
      </c>
      <c r="BP131" s="59">
        <f t="shared" si="141"/>
        <v>0</v>
      </c>
      <c r="BQ131" s="136">
        <f t="shared" ca="1" si="124"/>
        <v>1316</v>
      </c>
      <c r="BR131" s="136">
        <f t="shared" ca="1" si="125"/>
        <v>1000.3853820598007</v>
      </c>
      <c r="BS131" s="136">
        <f t="shared" ca="1" si="126"/>
        <v>1468800.3853820597</v>
      </c>
      <c r="BT131" s="136">
        <f t="shared" ca="1" si="127"/>
        <v>313875.308107819</v>
      </c>
      <c r="BU131" s="136">
        <f t="shared" ca="1" si="128"/>
        <v>1000.3853820598007</v>
      </c>
    </row>
    <row r="132" spans="1:73" x14ac:dyDescent="0.2">
      <c r="A132" s="87" t="str">
        <f>'Etape 2'!A129</f>
        <v/>
      </c>
      <c r="B132" s="87">
        <f>'Etape 2'!B129</f>
        <v>117</v>
      </c>
      <c r="C132" s="87">
        <f ca="1">'Etape 2'!C129</f>
        <v>184</v>
      </c>
      <c r="D132" s="87"/>
      <c r="E132" s="61">
        <f ca="1">RANK(BU132,BU$16:BU$315,0)+COUNTIF(BU$16:BU132,BU132)-1</f>
        <v>184</v>
      </c>
      <c r="F132" s="87" t="str">
        <f>'Etape 2'!D129</f>
        <v/>
      </c>
      <c r="G132" s="87" t="str">
        <f>'Etape 2'!E129</f>
        <v/>
      </c>
      <c r="H132" s="87" t="str">
        <f>'Etape 2'!F129</f>
        <v/>
      </c>
      <c r="I132" s="87" t="str">
        <f>'Etape 2'!G129</f>
        <v/>
      </c>
      <c r="J132" s="87" t="str">
        <f>'Etape 2'!H129</f>
        <v/>
      </c>
      <c r="K132" s="87" t="str">
        <f>'Etape 2'!I129</f>
        <v/>
      </c>
      <c r="L132" s="87">
        <f ca="1">'Etape 2'!J129</f>
        <v>999999</v>
      </c>
      <c r="M132" s="87">
        <f>'Etape 2'!K129</f>
        <v>999</v>
      </c>
      <c r="N132" s="87">
        <f ca="1">'Etape 2'!L129</f>
        <v>117</v>
      </c>
      <c r="O132" s="259">
        <f t="shared" si="102"/>
        <v>0.3</v>
      </c>
      <c r="P132" s="259">
        <f t="shared" si="103"/>
        <v>1.1000000000000001</v>
      </c>
      <c r="Q132" s="260">
        <f t="shared" si="104"/>
        <v>0</v>
      </c>
      <c r="R132" s="261">
        <f t="shared" si="143"/>
        <v>0</v>
      </c>
      <c r="S132" s="87">
        <f>IF(ISBLANK('Etape 2'!N129),0,VLOOKUP('Etape 2'!N129,Matrix_Uebersetzung,2,FALSE))</f>
        <v>0</v>
      </c>
      <c r="T132" s="87">
        <f>IF(ISBLANK('Etape 2'!O129),0,VLOOKUP('Etape 2'!O129,Matrix_Uebersetzung,2,FALSE))</f>
        <v>0</v>
      </c>
      <c r="U132" s="87">
        <f>IF(ISBLANK('Etape 2'!P129),0,VLOOKUP('Etape 2'!P129,Matrix_Uebersetzung,2,FALSE))</f>
        <v>0</v>
      </c>
      <c r="V132" s="87" t="str">
        <f>'Etape 2'!Q129</f>
        <v/>
      </c>
      <c r="W132" s="87">
        <f>'Etape 2'!R129</f>
        <v>0</v>
      </c>
      <c r="X132" s="87" t="str">
        <f>'Etape 2'!S129</f>
        <v/>
      </c>
      <c r="Y132" s="89" t="str">
        <f>'Etape 2'!T129</f>
        <v/>
      </c>
      <c r="Z132" s="87">
        <f>'Etape 2'!U129</f>
        <v>0</v>
      </c>
      <c r="AA132" s="87" t="str">
        <f>'Etape 2'!V129</f>
        <v/>
      </c>
      <c r="AB132" s="87">
        <f>IF(ISNUMBER('Etape 2'!W129),'Etape 2'!W129,0)</f>
        <v>0</v>
      </c>
      <c r="AC132" s="87">
        <f>IF(ISNUMBER('Etape 2'!X129),'Etape 2'!X129,0)</f>
        <v>0</v>
      </c>
      <c r="AD132" s="87">
        <f>IF(ISNUMBER('Etape 2'!Y129),'Etape 2'!Y129,0)</f>
        <v>0</v>
      </c>
      <c r="AE132" s="87">
        <f>IF(ISNUMBER('Etape 2'!Z129),'Etape 2'!Z129,0)</f>
        <v>0</v>
      </c>
      <c r="AF132" s="86">
        <f t="shared" si="129"/>
        <v>999</v>
      </c>
      <c r="AG132" s="288">
        <f t="shared" si="130"/>
        <v>0.25</v>
      </c>
      <c r="AH132" s="181" t="e">
        <f t="shared" si="105"/>
        <v>#VALUE!</v>
      </c>
      <c r="AI132" s="181" t="e">
        <f t="shared" si="146"/>
        <v>#VALUE!</v>
      </c>
      <c r="AJ132" s="86">
        <f t="shared" si="106"/>
        <v>200</v>
      </c>
      <c r="AK132" s="91" t="e">
        <f t="shared" si="107"/>
        <v>#N/A</v>
      </c>
      <c r="AL132" s="91" t="e">
        <f t="shared" si="147"/>
        <v>#N/A</v>
      </c>
      <c r="AM132" s="91">
        <f t="shared" si="109"/>
        <v>6</v>
      </c>
      <c r="AN132" s="91" t="e">
        <f t="shared" si="148"/>
        <v>#N/A</v>
      </c>
      <c r="AO132" s="91" t="e">
        <f t="shared" si="149"/>
        <v>#N/A</v>
      </c>
      <c r="AP132" s="21" t="e">
        <f t="shared" si="150"/>
        <v>#N/A</v>
      </c>
      <c r="AQ132" s="21" t="e">
        <f t="shared" si="151"/>
        <v>#N/A</v>
      </c>
      <c r="AR132" s="92" t="str">
        <f t="shared" si="134"/>
        <v/>
      </c>
      <c r="AS132" s="21" t="str">
        <f t="shared" si="135"/>
        <v/>
      </c>
      <c r="AT132" s="59" t="str">
        <f t="shared" si="112"/>
        <v/>
      </c>
      <c r="AU132" s="105">
        <f t="shared" si="113"/>
        <v>1</v>
      </c>
      <c r="AV132" s="105">
        <f t="shared" si="152"/>
        <v>1</v>
      </c>
      <c r="AW132" s="58">
        <f t="shared" si="153"/>
        <v>2</v>
      </c>
      <c r="AX132" s="58">
        <f t="shared" si="154"/>
        <v>3</v>
      </c>
      <c r="AY132" s="58" t="str">
        <f t="shared" si="155"/>
        <v>avec vannes</v>
      </c>
      <c r="AZ132" s="58" t="str">
        <f t="shared" si="156"/>
        <v>fermé</v>
      </c>
      <c r="BA132" s="60">
        <f t="shared" si="157"/>
        <v>0</v>
      </c>
      <c r="BB132" s="60">
        <f t="shared" si="157"/>
        <v>0</v>
      </c>
      <c r="BC132" s="60">
        <f t="shared" si="157"/>
        <v>0</v>
      </c>
      <c r="BD132" s="60">
        <f t="shared" si="157"/>
        <v>0</v>
      </c>
      <c r="BE132" s="286" t="str">
        <f t="shared" si="118"/>
        <v/>
      </c>
      <c r="BF132" s="58" t="str">
        <f t="shared" si="136"/>
        <v/>
      </c>
      <c r="BG132" s="59" t="str">
        <f t="shared" si="119"/>
        <v/>
      </c>
      <c r="BH132" s="158">
        <f t="shared" ca="1" si="120"/>
        <v>1</v>
      </c>
      <c r="BI132" s="60">
        <f t="shared" ca="1" si="121"/>
        <v>0.15</v>
      </c>
      <c r="BJ132" s="60">
        <f t="shared" si="122"/>
        <v>0.2</v>
      </c>
      <c r="BK132" s="60" t="str">
        <f t="shared" si="137"/>
        <v/>
      </c>
      <c r="BL132" s="21" t="str">
        <f t="shared" si="138"/>
        <v/>
      </c>
      <c r="BM132" s="264" t="str">
        <f t="shared" si="123"/>
        <v/>
      </c>
      <c r="BN132" s="60" t="str">
        <f t="shared" si="139"/>
        <v/>
      </c>
      <c r="BO132" s="136">
        <f t="shared" si="140"/>
        <v>0</v>
      </c>
      <c r="BP132" s="59">
        <f t="shared" si="141"/>
        <v>0</v>
      </c>
      <c r="BQ132" s="136">
        <f t="shared" ca="1" si="124"/>
        <v>1317</v>
      </c>
      <c r="BR132" s="136">
        <f t="shared" ca="1" si="125"/>
        <v>1000.3887043189369</v>
      </c>
      <c r="BS132" s="136">
        <f t="shared" ca="1" si="126"/>
        <v>1468800.388704319</v>
      </c>
      <c r="BT132" s="136">
        <f t="shared" ca="1" si="127"/>
        <v>313875.31143007817</v>
      </c>
      <c r="BU132" s="136">
        <f t="shared" ca="1" si="128"/>
        <v>1000.3887043189369</v>
      </c>
    </row>
    <row r="133" spans="1:73" x14ac:dyDescent="0.2">
      <c r="A133" s="87" t="str">
        <f>'Etape 2'!A130</f>
        <v/>
      </c>
      <c r="B133" s="87">
        <f>'Etape 2'!B130</f>
        <v>118</v>
      </c>
      <c r="C133" s="87">
        <f ca="1">'Etape 2'!C130</f>
        <v>183</v>
      </c>
      <c r="D133" s="87"/>
      <c r="E133" s="61">
        <f ca="1">RANK(BU133,BU$16:BU$315,0)+COUNTIF(BU$16:BU133,BU133)-1</f>
        <v>183</v>
      </c>
      <c r="F133" s="87" t="str">
        <f>'Etape 2'!D130</f>
        <v/>
      </c>
      <c r="G133" s="87" t="str">
        <f>'Etape 2'!E130</f>
        <v/>
      </c>
      <c r="H133" s="87" t="str">
        <f>'Etape 2'!F130</f>
        <v/>
      </c>
      <c r="I133" s="87" t="str">
        <f>'Etape 2'!G130</f>
        <v/>
      </c>
      <c r="J133" s="87" t="str">
        <f>'Etape 2'!H130</f>
        <v/>
      </c>
      <c r="K133" s="87" t="str">
        <f>'Etape 2'!I130</f>
        <v/>
      </c>
      <c r="L133" s="87">
        <f ca="1">'Etape 2'!J130</f>
        <v>999999</v>
      </c>
      <c r="M133" s="87">
        <f>'Etape 2'!K130</f>
        <v>999</v>
      </c>
      <c r="N133" s="87">
        <f ca="1">'Etape 2'!L130</f>
        <v>118</v>
      </c>
      <c r="O133" s="259">
        <f t="shared" si="102"/>
        <v>0.3</v>
      </c>
      <c r="P133" s="259">
        <f t="shared" si="103"/>
        <v>1.1000000000000001</v>
      </c>
      <c r="Q133" s="260">
        <f t="shared" si="104"/>
        <v>0</v>
      </c>
      <c r="R133" s="261">
        <f t="shared" si="143"/>
        <v>0</v>
      </c>
      <c r="S133" s="87">
        <f>IF(ISBLANK('Etape 2'!N130),0,VLOOKUP('Etape 2'!N130,Matrix_Uebersetzung,2,FALSE))</f>
        <v>0</v>
      </c>
      <c r="T133" s="87">
        <f>IF(ISBLANK('Etape 2'!O130),0,VLOOKUP('Etape 2'!O130,Matrix_Uebersetzung,2,FALSE))</f>
        <v>0</v>
      </c>
      <c r="U133" s="87">
        <f>IF(ISBLANK('Etape 2'!P130),0,VLOOKUP('Etape 2'!P130,Matrix_Uebersetzung,2,FALSE))</f>
        <v>0</v>
      </c>
      <c r="V133" s="87" t="str">
        <f>'Etape 2'!Q130</f>
        <v/>
      </c>
      <c r="W133" s="87">
        <f>'Etape 2'!R130</f>
        <v>0</v>
      </c>
      <c r="X133" s="87" t="str">
        <f>'Etape 2'!S130</f>
        <v/>
      </c>
      <c r="Y133" s="89" t="str">
        <f>'Etape 2'!T130</f>
        <v/>
      </c>
      <c r="Z133" s="87">
        <f>'Etape 2'!U130</f>
        <v>0</v>
      </c>
      <c r="AA133" s="87" t="str">
        <f>'Etape 2'!V130</f>
        <v/>
      </c>
      <c r="AB133" s="87">
        <f>IF(ISNUMBER('Etape 2'!W130),'Etape 2'!W130,0)</f>
        <v>0</v>
      </c>
      <c r="AC133" s="87">
        <f>IF(ISNUMBER('Etape 2'!X130),'Etape 2'!X130,0)</f>
        <v>0</v>
      </c>
      <c r="AD133" s="87">
        <f>IF(ISNUMBER('Etape 2'!Y130),'Etape 2'!Y130,0)</f>
        <v>0</v>
      </c>
      <c r="AE133" s="87">
        <f>IF(ISNUMBER('Etape 2'!Z130),'Etape 2'!Z130,0)</f>
        <v>0</v>
      </c>
      <c r="AF133" s="86">
        <f t="shared" si="129"/>
        <v>999</v>
      </c>
      <c r="AG133" s="288">
        <f t="shared" si="130"/>
        <v>0.25</v>
      </c>
      <c r="AH133" s="181" t="e">
        <f t="shared" si="105"/>
        <v>#VALUE!</v>
      </c>
      <c r="AI133" s="181" t="e">
        <f t="shared" si="146"/>
        <v>#VALUE!</v>
      </c>
      <c r="AJ133" s="86">
        <f t="shared" si="106"/>
        <v>200</v>
      </c>
      <c r="AK133" s="91" t="e">
        <f t="shared" si="107"/>
        <v>#N/A</v>
      </c>
      <c r="AL133" s="91" t="e">
        <f t="shared" si="147"/>
        <v>#N/A</v>
      </c>
      <c r="AM133" s="91">
        <f t="shared" si="109"/>
        <v>6</v>
      </c>
      <c r="AN133" s="91" t="e">
        <f t="shared" si="148"/>
        <v>#N/A</v>
      </c>
      <c r="AO133" s="91" t="e">
        <f t="shared" si="149"/>
        <v>#N/A</v>
      </c>
      <c r="AP133" s="21" t="e">
        <f t="shared" si="150"/>
        <v>#N/A</v>
      </c>
      <c r="AQ133" s="21" t="e">
        <f t="shared" si="151"/>
        <v>#N/A</v>
      </c>
      <c r="AR133" s="92" t="str">
        <f t="shared" si="134"/>
        <v/>
      </c>
      <c r="AS133" s="21" t="str">
        <f t="shared" si="135"/>
        <v/>
      </c>
      <c r="AT133" s="59" t="str">
        <f t="shared" si="112"/>
        <v/>
      </c>
      <c r="AU133" s="105">
        <f t="shared" si="113"/>
        <v>1</v>
      </c>
      <c r="AV133" s="105">
        <f t="shared" si="152"/>
        <v>1</v>
      </c>
      <c r="AW133" s="58">
        <f t="shared" si="153"/>
        <v>2</v>
      </c>
      <c r="AX133" s="58">
        <f t="shared" si="154"/>
        <v>3</v>
      </c>
      <c r="AY133" s="58" t="str">
        <f t="shared" si="155"/>
        <v>avec vannes</v>
      </c>
      <c r="AZ133" s="58" t="str">
        <f t="shared" si="156"/>
        <v>fermé</v>
      </c>
      <c r="BA133" s="60">
        <f t="shared" si="157"/>
        <v>0</v>
      </c>
      <c r="BB133" s="60">
        <f t="shared" si="157"/>
        <v>0</v>
      </c>
      <c r="BC133" s="60">
        <f t="shared" si="157"/>
        <v>0</v>
      </c>
      <c r="BD133" s="60">
        <f t="shared" si="157"/>
        <v>0</v>
      </c>
      <c r="BE133" s="286" t="str">
        <f t="shared" si="118"/>
        <v/>
      </c>
      <c r="BF133" s="58" t="str">
        <f t="shared" si="136"/>
        <v/>
      </c>
      <c r="BG133" s="59" t="str">
        <f t="shared" si="119"/>
        <v/>
      </c>
      <c r="BH133" s="158">
        <f t="shared" ca="1" si="120"/>
        <v>1</v>
      </c>
      <c r="BI133" s="60">
        <f t="shared" ca="1" si="121"/>
        <v>0.15</v>
      </c>
      <c r="BJ133" s="60">
        <f t="shared" si="122"/>
        <v>0.2</v>
      </c>
      <c r="BK133" s="60" t="str">
        <f t="shared" si="137"/>
        <v/>
      </c>
      <c r="BL133" s="21" t="str">
        <f t="shared" si="138"/>
        <v/>
      </c>
      <c r="BM133" s="264" t="str">
        <f t="shared" si="123"/>
        <v/>
      </c>
      <c r="BN133" s="60" t="str">
        <f t="shared" si="139"/>
        <v/>
      </c>
      <c r="BO133" s="136">
        <f t="shared" si="140"/>
        <v>0</v>
      </c>
      <c r="BP133" s="59">
        <f t="shared" si="141"/>
        <v>0</v>
      </c>
      <c r="BQ133" s="136">
        <f t="shared" ca="1" si="124"/>
        <v>1318</v>
      </c>
      <c r="BR133" s="136">
        <f t="shared" ca="1" si="125"/>
        <v>1000.3920265780731</v>
      </c>
      <c r="BS133" s="136">
        <f t="shared" ca="1" si="126"/>
        <v>1468800.3920265781</v>
      </c>
      <c r="BT133" s="136">
        <f t="shared" ca="1" si="127"/>
        <v>313875.31475233729</v>
      </c>
      <c r="BU133" s="136">
        <f t="shared" ca="1" si="128"/>
        <v>1000.3920265780731</v>
      </c>
    </row>
    <row r="134" spans="1:73" x14ac:dyDescent="0.2">
      <c r="A134" s="87" t="str">
        <f>'Etape 2'!A131</f>
        <v/>
      </c>
      <c r="B134" s="87">
        <f>'Etape 2'!B131</f>
        <v>119</v>
      </c>
      <c r="C134" s="87">
        <f ca="1">'Etape 2'!C131</f>
        <v>182</v>
      </c>
      <c r="D134" s="87"/>
      <c r="E134" s="61">
        <f ca="1">RANK(BU134,BU$16:BU$315,0)+COUNTIF(BU$16:BU134,BU134)-1</f>
        <v>182</v>
      </c>
      <c r="F134" s="87" t="str">
        <f>'Etape 2'!D131</f>
        <v/>
      </c>
      <c r="G134" s="87" t="str">
        <f>'Etape 2'!E131</f>
        <v/>
      </c>
      <c r="H134" s="87" t="str">
        <f>'Etape 2'!F131</f>
        <v/>
      </c>
      <c r="I134" s="87" t="str">
        <f>'Etape 2'!G131</f>
        <v/>
      </c>
      <c r="J134" s="87" t="str">
        <f>'Etape 2'!H131</f>
        <v/>
      </c>
      <c r="K134" s="87" t="str">
        <f>'Etape 2'!I131</f>
        <v/>
      </c>
      <c r="L134" s="87">
        <f ca="1">'Etape 2'!J131</f>
        <v>999999</v>
      </c>
      <c r="M134" s="87">
        <f>'Etape 2'!K131</f>
        <v>999</v>
      </c>
      <c r="N134" s="87">
        <f ca="1">'Etape 2'!L131</f>
        <v>119</v>
      </c>
      <c r="O134" s="259">
        <f t="shared" si="102"/>
        <v>0.3</v>
      </c>
      <c r="P134" s="259">
        <f t="shared" si="103"/>
        <v>1.1000000000000001</v>
      </c>
      <c r="Q134" s="260">
        <f t="shared" si="104"/>
        <v>0</v>
      </c>
      <c r="R134" s="261">
        <f t="shared" si="143"/>
        <v>0</v>
      </c>
      <c r="S134" s="87">
        <f>IF(ISBLANK('Etape 2'!N131),0,VLOOKUP('Etape 2'!N131,Matrix_Uebersetzung,2,FALSE))</f>
        <v>0</v>
      </c>
      <c r="T134" s="87">
        <f>IF(ISBLANK('Etape 2'!O131),0,VLOOKUP('Etape 2'!O131,Matrix_Uebersetzung,2,FALSE))</f>
        <v>0</v>
      </c>
      <c r="U134" s="87">
        <f>IF(ISBLANK('Etape 2'!P131),0,VLOOKUP('Etape 2'!P131,Matrix_Uebersetzung,2,FALSE))</f>
        <v>0</v>
      </c>
      <c r="V134" s="87" t="str">
        <f>'Etape 2'!Q131</f>
        <v/>
      </c>
      <c r="W134" s="87">
        <f>'Etape 2'!R131</f>
        <v>0</v>
      </c>
      <c r="X134" s="87" t="str">
        <f>'Etape 2'!S131</f>
        <v/>
      </c>
      <c r="Y134" s="89" t="str">
        <f>'Etape 2'!T131</f>
        <v/>
      </c>
      <c r="Z134" s="87">
        <f>'Etape 2'!U131</f>
        <v>0</v>
      </c>
      <c r="AA134" s="87" t="str">
        <f>'Etape 2'!V131</f>
        <v/>
      </c>
      <c r="AB134" s="87">
        <f>IF(ISNUMBER('Etape 2'!W131),'Etape 2'!W131,0)</f>
        <v>0</v>
      </c>
      <c r="AC134" s="87">
        <f>IF(ISNUMBER('Etape 2'!X131),'Etape 2'!X131,0)</f>
        <v>0</v>
      </c>
      <c r="AD134" s="87">
        <f>IF(ISNUMBER('Etape 2'!Y131),'Etape 2'!Y131,0)</f>
        <v>0</v>
      </c>
      <c r="AE134" s="87">
        <f>IF(ISNUMBER('Etape 2'!Z131),'Etape 2'!Z131,0)</f>
        <v>0</v>
      </c>
      <c r="AF134" s="86">
        <f t="shared" si="129"/>
        <v>999</v>
      </c>
      <c r="AG134" s="288">
        <f t="shared" si="130"/>
        <v>0.25</v>
      </c>
      <c r="AH134" s="181" t="e">
        <f t="shared" si="105"/>
        <v>#VALUE!</v>
      </c>
      <c r="AI134" s="181" t="e">
        <f t="shared" si="146"/>
        <v>#VALUE!</v>
      </c>
      <c r="AJ134" s="86">
        <f t="shared" si="106"/>
        <v>200</v>
      </c>
      <c r="AK134" s="91" t="e">
        <f t="shared" si="107"/>
        <v>#N/A</v>
      </c>
      <c r="AL134" s="91" t="e">
        <f t="shared" si="147"/>
        <v>#N/A</v>
      </c>
      <c r="AM134" s="91">
        <f t="shared" si="109"/>
        <v>6</v>
      </c>
      <c r="AN134" s="91" t="e">
        <f t="shared" si="148"/>
        <v>#N/A</v>
      </c>
      <c r="AO134" s="91" t="e">
        <f t="shared" si="149"/>
        <v>#N/A</v>
      </c>
      <c r="AP134" s="21" t="e">
        <f t="shared" si="150"/>
        <v>#N/A</v>
      </c>
      <c r="AQ134" s="21" t="e">
        <f t="shared" si="151"/>
        <v>#N/A</v>
      </c>
      <c r="AR134" s="92" t="str">
        <f t="shared" si="134"/>
        <v/>
      </c>
      <c r="AS134" s="21" t="str">
        <f t="shared" si="135"/>
        <v/>
      </c>
      <c r="AT134" s="59" t="str">
        <f t="shared" si="112"/>
        <v/>
      </c>
      <c r="AU134" s="105">
        <f t="shared" si="113"/>
        <v>1</v>
      </c>
      <c r="AV134" s="105">
        <f t="shared" si="152"/>
        <v>1</v>
      </c>
      <c r="AW134" s="58">
        <f t="shared" si="153"/>
        <v>2</v>
      </c>
      <c r="AX134" s="58">
        <f t="shared" si="154"/>
        <v>3</v>
      </c>
      <c r="AY134" s="58" t="str">
        <f t="shared" si="155"/>
        <v>avec vannes</v>
      </c>
      <c r="AZ134" s="58" t="str">
        <f t="shared" si="156"/>
        <v>fermé</v>
      </c>
      <c r="BA134" s="60">
        <f t="shared" si="157"/>
        <v>0</v>
      </c>
      <c r="BB134" s="60">
        <f t="shared" si="157"/>
        <v>0</v>
      </c>
      <c r="BC134" s="60">
        <f t="shared" si="157"/>
        <v>0</v>
      </c>
      <c r="BD134" s="60">
        <f t="shared" si="157"/>
        <v>0</v>
      </c>
      <c r="BE134" s="286" t="str">
        <f t="shared" si="118"/>
        <v/>
      </c>
      <c r="BF134" s="58" t="str">
        <f t="shared" si="136"/>
        <v/>
      </c>
      <c r="BG134" s="59" t="str">
        <f t="shared" si="119"/>
        <v/>
      </c>
      <c r="BH134" s="158">
        <f t="shared" ca="1" si="120"/>
        <v>1</v>
      </c>
      <c r="BI134" s="60">
        <f t="shared" ca="1" si="121"/>
        <v>0.15</v>
      </c>
      <c r="BJ134" s="60">
        <f t="shared" si="122"/>
        <v>0.2</v>
      </c>
      <c r="BK134" s="60" t="str">
        <f t="shared" si="137"/>
        <v/>
      </c>
      <c r="BL134" s="21" t="str">
        <f t="shared" si="138"/>
        <v/>
      </c>
      <c r="BM134" s="264" t="str">
        <f t="shared" si="123"/>
        <v/>
      </c>
      <c r="BN134" s="60" t="str">
        <f t="shared" si="139"/>
        <v/>
      </c>
      <c r="BO134" s="136">
        <f t="shared" si="140"/>
        <v>0</v>
      </c>
      <c r="BP134" s="59">
        <f t="shared" si="141"/>
        <v>0</v>
      </c>
      <c r="BQ134" s="136">
        <f t="shared" ca="1" si="124"/>
        <v>1319</v>
      </c>
      <c r="BR134" s="136">
        <f t="shared" ca="1" si="125"/>
        <v>1000.3953488372093</v>
      </c>
      <c r="BS134" s="136">
        <f t="shared" ca="1" si="126"/>
        <v>1468800.3953488371</v>
      </c>
      <c r="BT134" s="136">
        <f t="shared" ca="1" si="127"/>
        <v>313875.31807459641</v>
      </c>
      <c r="BU134" s="136">
        <f t="shared" ca="1" si="128"/>
        <v>1000.3953488372093</v>
      </c>
    </row>
    <row r="135" spans="1:73" x14ac:dyDescent="0.2">
      <c r="A135" s="87" t="str">
        <f>'Etape 2'!A132</f>
        <v/>
      </c>
      <c r="B135" s="87">
        <f>'Etape 2'!B132</f>
        <v>120</v>
      </c>
      <c r="C135" s="87">
        <f ca="1">'Etape 2'!C132</f>
        <v>181</v>
      </c>
      <c r="D135" s="87"/>
      <c r="E135" s="61">
        <f ca="1">RANK(BU135,BU$16:BU$315,0)+COUNTIF(BU$16:BU135,BU135)-1</f>
        <v>181</v>
      </c>
      <c r="F135" s="87" t="str">
        <f>'Etape 2'!D132</f>
        <v/>
      </c>
      <c r="G135" s="87" t="str">
        <f>'Etape 2'!E132</f>
        <v/>
      </c>
      <c r="H135" s="87" t="str">
        <f>'Etape 2'!F132</f>
        <v/>
      </c>
      <c r="I135" s="87" t="str">
        <f>'Etape 2'!G132</f>
        <v/>
      </c>
      <c r="J135" s="87" t="str">
        <f>'Etape 2'!H132</f>
        <v/>
      </c>
      <c r="K135" s="87" t="str">
        <f>'Etape 2'!I132</f>
        <v/>
      </c>
      <c r="L135" s="87">
        <f ca="1">'Etape 2'!J132</f>
        <v>999999</v>
      </c>
      <c r="M135" s="87">
        <f>'Etape 2'!K132</f>
        <v>999</v>
      </c>
      <c r="N135" s="87">
        <f ca="1">'Etape 2'!L132</f>
        <v>120</v>
      </c>
      <c r="O135" s="259">
        <f t="shared" si="102"/>
        <v>0.3</v>
      </c>
      <c r="P135" s="259">
        <f t="shared" si="103"/>
        <v>1.1000000000000001</v>
      </c>
      <c r="Q135" s="260">
        <f t="shared" si="104"/>
        <v>0</v>
      </c>
      <c r="R135" s="261">
        <f t="shared" si="143"/>
        <v>0</v>
      </c>
      <c r="S135" s="87">
        <f>IF(ISBLANK('Etape 2'!N132),0,VLOOKUP('Etape 2'!N132,Matrix_Uebersetzung,2,FALSE))</f>
        <v>0</v>
      </c>
      <c r="T135" s="87">
        <f>IF(ISBLANK('Etape 2'!O132),0,VLOOKUP('Etape 2'!O132,Matrix_Uebersetzung,2,FALSE))</f>
        <v>0</v>
      </c>
      <c r="U135" s="87">
        <f>IF(ISBLANK('Etape 2'!P132),0,VLOOKUP('Etape 2'!P132,Matrix_Uebersetzung,2,FALSE))</f>
        <v>0</v>
      </c>
      <c r="V135" s="87" t="str">
        <f>'Etape 2'!Q132</f>
        <v/>
      </c>
      <c r="W135" s="87">
        <f>'Etape 2'!R132</f>
        <v>0</v>
      </c>
      <c r="X135" s="87" t="str">
        <f>'Etape 2'!S132</f>
        <v/>
      </c>
      <c r="Y135" s="89" t="str">
        <f>'Etape 2'!T132</f>
        <v/>
      </c>
      <c r="Z135" s="87">
        <f>'Etape 2'!U132</f>
        <v>0</v>
      </c>
      <c r="AA135" s="87" t="str">
        <f>'Etape 2'!V132</f>
        <v/>
      </c>
      <c r="AB135" s="87">
        <f>IF(ISNUMBER('Etape 2'!W132),'Etape 2'!W132,0)</f>
        <v>0</v>
      </c>
      <c r="AC135" s="87">
        <f>IF(ISNUMBER('Etape 2'!X132),'Etape 2'!X132,0)</f>
        <v>0</v>
      </c>
      <c r="AD135" s="87">
        <f>IF(ISNUMBER('Etape 2'!Y132),'Etape 2'!Y132,0)</f>
        <v>0</v>
      </c>
      <c r="AE135" s="87">
        <f>IF(ISNUMBER('Etape 2'!Z132),'Etape 2'!Z132,0)</f>
        <v>0</v>
      </c>
      <c r="AF135" s="86">
        <f t="shared" si="129"/>
        <v>999</v>
      </c>
      <c r="AG135" s="288">
        <f t="shared" si="130"/>
        <v>0.25</v>
      </c>
      <c r="AH135" s="181" t="e">
        <f t="shared" si="105"/>
        <v>#VALUE!</v>
      </c>
      <c r="AI135" s="181" t="e">
        <f t="shared" si="146"/>
        <v>#VALUE!</v>
      </c>
      <c r="AJ135" s="86">
        <f t="shared" si="106"/>
        <v>200</v>
      </c>
      <c r="AK135" s="91" t="e">
        <f t="shared" si="107"/>
        <v>#N/A</v>
      </c>
      <c r="AL135" s="91" t="e">
        <f t="shared" si="147"/>
        <v>#N/A</v>
      </c>
      <c r="AM135" s="91">
        <f t="shared" si="109"/>
        <v>6</v>
      </c>
      <c r="AN135" s="91" t="e">
        <f t="shared" si="148"/>
        <v>#N/A</v>
      </c>
      <c r="AO135" s="91" t="e">
        <f t="shared" si="149"/>
        <v>#N/A</v>
      </c>
      <c r="AP135" s="21" t="e">
        <f t="shared" si="150"/>
        <v>#N/A</v>
      </c>
      <c r="AQ135" s="21" t="e">
        <f t="shared" si="151"/>
        <v>#N/A</v>
      </c>
      <c r="AR135" s="92" t="str">
        <f t="shared" si="134"/>
        <v/>
      </c>
      <c r="AS135" s="21" t="str">
        <f t="shared" si="135"/>
        <v/>
      </c>
      <c r="AT135" s="59" t="str">
        <f t="shared" si="112"/>
        <v/>
      </c>
      <c r="AU135" s="105">
        <f t="shared" si="113"/>
        <v>1</v>
      </c>
      <c r="AV135" s="105">
        <f t="shared" si="152"/>
        <v>1</v>
      </c>
      <c r="AW135" s="58">
        <f t="shared" si="153"/>
        <v>2</v>
      </c>
      <c r="AX135" s="58">
        <f t="shared" si="154"/>
        <v>3</v>
      </c>
      <c r="AY135" s="58" t="str">
        <f t="shared" si="155"/>
        <v>avec vannes</v>
      </c>
      <c r="AZ135" s="58" t="str">
        <f t="shared" si="156"/>
        <v>fermé</v>
      </c>
      <c r="BA135" s="60">
        <f t="shared" si="157"/>
        <v>0</v>
      </c>
      <c r="BB135" s="60">
        <f t="shared" si="157"/>
        <v>0</v>
      </c>
      <c r="BC135" s="60">
        <f t="shared" si="157"/>
        <v>0</v>
      </c>
      <c r="BD135" s="60">
        <f t="shared" si="157"/>
        <v>0</v>
      </c>
      <c r="BE135" s="286" t="str">
        <f t="shared" si="118"/>
        <v/>
      </c>
      <c r="BF135" s="58" t="str">
        <f t="shared" si="136"/>
        <v/>
      </c>
      <c r="BG135" s="59" t="str">
        <f t="shared" si="119"/>
        <v/>
      </c>
      <c r="BH135" s="158">
        <f t="shared" ca="1" si="120"/>
        <v>1</v>
      </c>
      <c r="BI135" s="60">
        <f t="shared" ca="1" si="121"/>
        <v>0.15</v>
      </c>
      <c r="BJ135" s="60">
        <f t="shared" si="122"/>
        <v>0.2</v>
      </c>
      <c r="BK135" s="60" t="str">
        <f t="shared" si="137"/>
        <v/>
      </c>
      <c r="BL135" s="21" t="str">
        <f t="shared" si="138"/>
        <v/>
      </c>
      <c r="BM135" s="264" t="str">
        <f t="shared" si="123"/>
        <v/>
      </c>
      <c r="BN135" s="60" t="str">
        <f t="shared" si="139"/>
        <v/>
      </c>
      <c r="BO135" s="136">
        <f t="shared" si="140"/>
        <v>0</v>
      </c>
      <c r="BP135" s="59">
        <f t="shared" si="141"/>
        <v>0</v>
      </c>
      <c r="BQ135" s="136">
        <f t="shared" ca="1" si="124"/>
        <v>1320</v>
      </c>
      <c r="BR135" s="136">
        <f t="shared" ca="1" si="125"/>
        <v>1000.3986710963455</v>
      </c>
      <c r="BS135" s="136">
        <f t="shared" ca="1" si="126"/>
        <v>1468800.3986710964</v>
      </c>
      <c r="BT135" s="136">
        <f t="shared" ca="1" si="127"/>
        <v>313875.32139685558</v>
      </c>
      <c r="BU135" s="136">
        <f t="shared" ca="1" si="128"/>
        <v>1000.3986710963455</v>
      </c>
    </row>
    <row r="136" spans="1:73" x14ac:dyDescent="0.2">
      <c r="A136" s="87" t="str">
        <f>'Etape 2'!A133</f>
        <v/>
      </c>
      <c r="B136" s="87">
        <f>'Etape 2'!B133</f>
        <v>121</v>
      </c>
      <c r="C136" s="87">
        <f ca="1">'Etape 2'!C133</f>
        <v>180</v>
      </c>
      <c r="D136" s="87"/>
      <c r="E136" s="61">
        <f ca="1">RANK(BU136,BU$16:BU$315,0)+COUNTIF(BU$16:BU136,BU136)-1</f>
        <v>180</v>
      </c>
      <c r="F136" s="87" t="str">
        <f>'Etape 2'!D133</f>
        <v/>
      </c>
      <c r="G136" s="87" t="str">
        <f>'Etape 2'!E133</f>
        <v/>
      </c>
      <c r="H136" s="87" t="str">
        <f>'Etape 2'!F133</f>
        <v/>
      </c>
      <c r="I136" s="87" t="str">
        <f>'Etape 2'!G133</f>
        <v/>
      </c>
      <c r="J136" s="87" t="str">
        <f>'Etape 2'!H133</f>
        <v/>
      </c>
      <c r="K136" s="87" t="str">
        <f>'Etape 2'!I133</f>
        <v/>
      </c>
      <c r="L136" s="87">
        <f ca="1">'Etape 2'!J133</f>
        <v>999999</v>
      </c>
      <c r="M136" s="87">
        <f>'Etape 2'!K133</f>
        <v>999</v>
      </c>
      <c r="N136" s="87">
        <f ca="1">'Etape 2'!L133</f>
        <v>121</v>
      </c>
      <c r="O136" s="259">
        <f t="shared" si="102"/>
        <v>0.3</v>
      </c>
      <c r="P136" s="259">
        <f t="shared" si="103"/>
        <v>1.1000000000000001</v>
      </c>
      <c r="Q136" s="260">
        <f t="shared" si="104"/>
        <v>0</v>
      </c>
      <c r="R136" s="261">
        <f t="shared" si="143"/>
        <v>0</v>
      </c>
      <c r="S136" s="87">
        <f>IF(ISBLANK('Etape 2'!N133),0,VLOOKUP('Etape 2'!N133,Matrix_Uebersetzung,2,FALSE))</f>
        <v>0</v>
      </c>
      <c r="T136" s="87">
        <f>IF(ISBLANK('Etape 2'!O133),0,VLOOKUP('Etape 2'!O133,Matrix_Uebersetzung,2,FALSE))</f>
        <v>0</v>
      </c>
      <c r="U136" s="87">
        <f>IF(ISBLANK('Etape 2'!P133),0,VLOOKUP('Etape 2'!P133,Matrix_Uebersetzung,2,FALSE))</f>
        <v>0</v>
      </c>
      <c r="V136" s="87" t="str">
        <f>'Etape 2'!Q133</f>
        <v/>
      </c>
      <c r="W136" s="87">
        <f>'Etape 2'!R133</f>
        <v>0</v>
      </c>
      <c r="X136" s="87" t="str">
        <f>'Etape 2'!S133</f>
        <v/>
      </c>
      <c r="Y136" s="89" t="str">
        <f>'Etape 2'!T133</f>
        <v/>
      </c>
      <c r="Z136" s="87">
        <f>'Etape 2'!U133</f>
        <v>0</v>
      </c>
      <c r="AA136" s="87" t="str">
        <f>'Etape 2'!V133</f>
        <v/>
      </c>
      <c r="AB136" s="87">
        <f>IF(ISNUMBER('Etape 2'!W133),'Etape 2'!W133,0)</f>
        <v>0</v>
      </c>
      <c r="AC136" s="87">
        <f>IF(ISNUMBER('Etape 2'!X133),'Etape 2'!X133,0)</f>
        <v>0</v>
      </c>
      <c r="AD136" s="87">
        <f>IF(ISNUMBER('Etape 2'!Y133),'Etape 2'!Y133,0)</f>
        <v>0</v>
      </c>
      <c r="AE136" s="87">
        <f>IF(ISNUMBER('Etape 2'!Z133),'Etape 2'!Z133,0)</f>
        <v>0</v>
      </c>
      <c r="AF136" s="86">
        <f t="shared" si="129"/>
        <v>999</v>
      </c>
      <c r="AG136" s="288">
        <f t="shared" si="130"/>
        <v>0.25</v>
      </c>
      <c r="AH136" s="181" t="e">
        <f t="shared" si="105"/>
        <v>#VALUE!</v>
      </c>
      <c r="AI136" s="181" t="e">
        <f t="shared" si="146"/>
        <v>#VALUE!</v>
      </c>
      <c r="AJ136" s="86">
        <f t="shared" si="106"/>
        <v>200</v>
      </c>
      <c r="AK136" s="91" t="e">
        <f t="shared" si="107"/>
        <v>#N/A</v>
      </c>
      <c r="AL136" s="91" t="e">
        <f t="shared" si="147"/>
        <v>#N/A</v>
      </c>
      <c r="AM136" s="91">
        <f t="shared" si="109"/>
        <v>6</v>
      </c>
      <c r="AN136" s="91" t="e">
        <f t="shared" si="148"/>
        <v>#N/A</v>
      </c>
      <c r="AO136" s="91" t="e">
        <f t="shared" si="149"/>
        <v>#N/A</v>
      </c>
      <c r="AP136" s="21" t="e">
        <f t="shared" si="150"/>
        <v>#N/A</v>
      </c>
      <c r="AQ136" s="21" t="e">
        <f t="shared" si="151"/>
        <v>#N/A</v>
      </c>
      <c r="AR136" s="92" t="str">
        <f t="shared" si="134"/>
        <v/>
      </c>
      <c r="AS136" s="21" t="str">
        <f t="shared" si="135"/>
        <v/>
      </c>
      <c r="AT136" s="59" t="str">
        <f t="shared" si="112"/>
        <v/>
      </c>
      <c r="AU136" s="105">
        <f t="shared" si="113"/>
        <v>1</v>
      </c>
      <c r="AV136" s="105">
        <f t="shared" si="152"/>
        <v>1</v>
      </c>
      <c r="AW136" s="58">
        <f t="shared" si="153"/>
        <v>2</v>
      </c>
      <c r="AX136" s="58">
        <f t="shared" si="154"/>
        <v>3</v>
      </c>
      <c r="AY136" s="58" t="str">
        <f t="shared" si="155"/>
        <v>avec vannes</v>
      </c>
      <c r="AZ136" s="58" t="str">
        <f t="shared" si="156"/>
        <v>fermé</v>
      </c>
      <c r="BA136" s="60">
        <f t="shared" ref="BA136:BD155" si="158">IF(BA$15/$AG136&gt;1,0,VLOOKUP(BA$15/$AG136,Matrix_Regelung.Teilvolumenstrom.Einsparpotential.ID,$AX136,0))</f>
        <v>0</v>
      </c>
      <c r="BB136" s="60">
        <f t="shared" si="158"/>
        <v>0</v>
      </c>
      <c r="BC136" s="60">
        <f t="shared" si="158"/>
        <v>0</v>
      </c>
      <c r="BD136" s="60">
        <f t="shared" si="158"/>
        <v>0</v>
      </c>
      <c r="BE136" s="286" t="str">
        <f t="shared" si="118"/>
        <v/>
      </c>
      <c r="BF136" s="58" t="str">
        <f t="shared" si="136"/>
        <v/>
      </c>
      <c r="BG136" s="59" t="str">
        <f t="shared" si="119"/>
        <v/>
      </c>
      <c r="BH136" s="158">
        <f t="shared" ca="1" si="120"/>
        <v>1</v>
      </c>
      <c r="BI136" s="60">
        <f t="shared" ca="1" si="121"/>
        <v>0.15</v>
      </c>
      <c r="BJ136" s="60">
        <f t="shared" si="122"/>
        <v>0.2</v>
      </c>
      <c r="BK136" s="60" t="str">
        <f t="shared" si="137"/>
        <v/>
      </c>
      <c r="BL136" s="21" t="str">
        <f t="shared" si="138"/>
        <v/>
      </c>
      <c r="BM136" s="264" t="str">
        <f t="shared" si="123"/>
        <v/>
      </c>
      <c r="BN136" s="60" t="str">
        <f t="shared" si="139"/>
        <v/>
      </c>
      <c r="BO136" s="136">
        <f t="shared" si="140"/>
        <v>0</v>
      </c>
      <c r="BP136" s="59">
        <f t="shared" si="141"/>
        <v>0</v>
      </c>
      <c r="BQ136" s="136">
        <f t="shared" ca="1" si="124"/>
        <v>1321</v>
      </c>
      <c r="BR136" s="136">
        <f t="shared" ca="1" si="125"/>
        <v>1000.4019933554817</v>
      </c>
      <c r="BS136" s="136">
        <f t="shared" ca="1" si="126"/>
        <v>1468800.4019933555</v>
      </c>
      <c r="BT136" s="136">
        <f t="shared" ca="1" si="127"/>
        <v>313875.32471911469</v>
      </c>
      <c r="BU136" s="136">
        <f t="shared" ca="1" si="128"/>
        <v>1000.4019933554817</v>
      </c>
    </row>
    <row r="137" spans="1:73" x14ac:dyDescent="0.2">
      <c r="A137" s="87" t="str">
        <f>'Etape 2'!A134</f>
        <v/>
      </c>
      <c r="B137" s="87">
        <f>'Etape 2'!B134</f>
        <v>122</v>
      </c>
      <c r="C137" s="87">
        <f ca="1">'Etape 2'!C134</f>
        <v>179</v>
      </c>
      <c r="D137" s="87"/>
      <c r="E137" s="61">
        <f ca="1">RANK(BU137,BU$16:BU$315,0)+COUNTIF(BU$16:BU137,BU137)-1</f>
        <v>179</v>
      </c>
      <c r="F137" s="87" t="str">
        <f>'Etape 2'!D134</f>
        <v/>
      </c>
      <c r="G137" s="87" t="str">
        <f>'Etape 2'!E134</f>
        <v/>
      </c>
      <c r="H137" s="87" t="str">
        <f>'Etape 2'!F134</f>
        <v/>
      </c>
      <c r="I137" s="87" t="str">
        <f>'Etape 2'!G134</f>
        <v/>
      </c>
      <c r="J137" s="87" t="str">
        <f>'Etape 2'!H134</f>
        <v/>
      </c>
      <c r="K137" s="87" t="str">
        <f>'Etape 2'!I134</f>
        <v/>
      </c>
      <c r="L137" s="87">
        <f ca="1">'Etape 2'!J134</f>
        <v>999999</v>
      </c>
      <c r="M137" s="87">
        <f>'Etape 2'!K134</f>
        <v>999</v>
      </c>
      <c r="N137" s="87">
        <f ca="1">'Etape 2'!L134</f>
        <v>122</v>
      </c>
      <c r="O137" s="259">
        <f t="shared" si="102"/>
        <v>0.3</v>
      </c>
      <c r="P137" s="259">
        <f t="shared" si="103"/>
        <v>1.1000000000000001</v>
      </c>
      <c r="Q137" s="260">
        <f t="shared" si="104"/>
        <v>0</v>
      </c>
      <c r="R137" s="261">
        <f t="shared" si="143"/>
        <v>0</v>
      </c>
      <c r="S137" s="87">
        <f>IF(ISBLANK('Etape 2'!N134),0,VLOOKUP('Etape 2'!N134,Matrix_Uebersetzung,2,FALSE))</f>
        <v>0</v>
      </c>
      <c r="T137" s="87">
        <f>IF(ISBLANK('Etape 2'!O134),0,VLOOKUP('Etape 2'!O134,Matrix_Uebersetzung,2,FALSE))</f>
        <v>0</v>
      </c>
      <c r="U137" s="87">
        <f>IF(ISBLANK('Etape 2'!P134),0,VLOOKUP('Etape 2'!P134,Matrix_Uebersetzung,2,FALSE))</f>
        <v>0</v>
      </c>
      <c r="V137" s="87" t="str">
        <f>'Etape 2'!Q134</f>
        <v/>
      </c>
      <c r="W137" s="87">
        <f>'Etape 2'!R134</f>
        <v>0</v>
      </c>
      <c r="X137" s="87" t="str">
        <f>'Etape 2'!S134</f>
        <v/>
      </c>
      <c r="Y137" s="89" t="str">
        <f>'Etape 2'!T134</f>
        <v/>
      </c>
      <c r="Z137" s="87">
        <f>'Etape 2'!U134</f>
        <v>0</v>
      </c>
      <c r="AA137" s="87" t="str">
        <f>'Etape 2'!V134</f>
        <v/>
      </c>
      <c r="AB137" s="87">
        <f>IF(ISNUMBER('Etape 2'!W134),'Etape 2'!W134,0)</f>
        <v>0</v>
      </c>
      <c r="AC137" s="87">
        <f>IF(ISNUMBER('Etape 2'!X134),'Etape 2'!X134,0)</f>
        <v>0</v>
      </c>
      <c r="AD137" s="87">
        <f>IF(ISNUMBER('Etape 2'!Y134),'Etape 2'!Y134,0)</f>
        <v>0</v>
      </c>
      <c r="AE137" s="87">
        <f>IF(ISNUMBER('Etape 2'!Z134),'Etape 2'!Z134,0)</f>
        <v>0</v>
      </c>
      <c r="AF137" s="86">
        <f t="shared" si="129"/>
        <v>999</v>
      </c>
      <c r="AG137" s="288">
        <f t="shared" si="130"/>
        <v>0.25</v>
      </c>
      <c r="AH137" s="181" t="e">
        <f t="shared" si="105"/>
        <v>#VALUE!</v>
      </c>
      <c r="AI137" s="181" t="e">
        <f t="shared" si="146"/>
        <v>#VALUE!</v>
      </c>
      <c r="AJ137" s="86">
        <f t="shared" si="106"/>
        <v>200</v>
      </c>
      <c r="AK137" s="91" t="e">
        <f t="shared" si="107"/>
        <v>#N/A</v>
      </c>
      <c r="AL137" s="91" t="e">
        <f t="shared" si="147"/>
        <v>#N/A</v>
      </c>
      <c r="AM137" s="91">
        <f t="shared" si="109"/>
        <v>6</v>
      </c>
      <c r="AN137" s="91" t="e">
        <f t="shared" si="148"/>
        <v>#N/A</v>
      </c>
      <c r="AO137" s="91" t="e">
        <f t="shared" si="149"/>
        <v>#N/A</v>
      </c>
      <c r="AP137" s="21" t="e">
        <f t="shared" si="150"/>
        <v>#N/A</v>
      </c>
      <c r="AQ137" s="21" t="e">
        <f t="shared" si="151"/>
        <v>#N/A</v>
      </c>
      <c r="AR137" s="92" t="str">
        <f t="shared" si="134"/>
        <v/>
      </c>
      <c r="AS137" s="21" t="str">
        <f t="shared" si="135"/>
        <v/>
      </c>
      <c r="AT137" s="59" t="str">
        <f t="shared" si="112"/>
        <v/>
      </c>
      <c r="AU137" s="105">
        <f t="shared" si="113"/>
        <v>1</v>
      </c>
      <c r="AV137" s="105">
        <f t="shared" si="152"/>
        <v>1</v>
      </c>
      <c r="AW137" s="58">
        <f t="shared" si="153"/>
        <v>2</v>
      </c>
      <c r="AX137" s="58">
        <f t="shared" si="154"/>
        <v>3</v>
      </c>
      <c r="AY137" s="58" t="str">
        <f t="shared" si="155"/>
        <v>avec vannes</v>
      </c>
      <c r="AZ137" s="58" t="str">
        <f t="shared" si="156"/>
        <v>fermé</v>
      </c>
      <c r="BA137" s="60">
        <f t="shared" si="158"/>
        <v>0</v>
      </c>
      <c r="BB137" s="60">
        <f t="shared" si="158"/>
        <v>0</v>
      </c>
      <c r="BC137" s="60">
        <f t="shared" si="158"/>
        <v>0</v>
      </c>
      <c r="BD137" s="60">
        <f t="shared" si="158"/>
        <v>0</v>
      </c>
      <c r="BE137" s="286" t="str">
        <f t="shared" si="118"/>
        <v/>
      </c>
      <c r="BF137" s="58" t="str">
        <f t="shared" si="136"/>
        <v/>
      </c>
      <c r="BG137" s="59" t="str">
        <f t="shared" si="119"/>
        <v/>
      </c>
      <c r="BH137" s="158">
        <f t="shared" ca="1" si="120"/>
        <v>1</v>
      </c>
      <c r="BI137" s="60">
        <f t="shared" ca="1" si="121"/>
        <v>0.15</v>
      </c>
      <c r="BJ137" s="60">
        <f t="shared" si="122"/>
        <v>0.2</v>
      </c>
      <c r="BK137" s="60" t="str">
        <f t="shared" si="137"/>
        <v/>
      </c>
      <c r="BL137" s="21" t="str">
        <f t="shared" si="138"/>
        <v/>
      </c>
      <c r="BM137" s="264" t="str">
        <f t="shared" si="123"/>
        <v/>
      </c>
      <c r="BN137" s="60" t="str">
        <f t="shared" si="139"/>
        <v/>
      </c>
      <c r="BO137" s="136">
        <f t="shared" si="140"/>
        <v>0</v>
      </c>
      <c r="BP137" s="59">
        <f t="shared" si="141"/>
        <v>0</v>
      </c>
      <c r="BQ137" s="136">
        <f t="shared" ca="1" si="124"/>
        <v>1322</v>
      </c>
      <c r="BR137" s="136">
        <f t="shared" ca="1" si="125"/>
        <v>1000.405315614618</v>
      </c>
      <c r="BS137" s="136">
        <f t="shared" ca="1" si="126"/>
        <v>1468800.4053156145</v>
      </c>
      <c r="BT137" s="136">
        <f t="shared" ca="1" si="127"/>
        <v>313875.32804137381</v>
      </c>
      <c r="BU137" s="136">
        <f t="shared" ca="1" si="128"/>
        <v>1000.405315614618</v>
      </c>
    </row>
    <row r="138" spans="1:73" x14ac:dyDescent="0.2">
      <c r="A138" s="87" t="str">
        <f>'Etape 2'!A135</f>
        <v/>
      </c>
      <c r="B138" s="87">
        <f>'Etape 2'!B135</f>
        <v>123</v>
      </c>
      <c r="C138" s="87">
        <f ca="1">'Etape 2'!C135</f>
        <v>178</v>
      </c>
      <c r="D138" s="87"/>
      <c r="E138" s="61">
        <f ca="1">RANK(BU138,BU$16:BU$315,0)+COUNTIF(BU$16:BU138,BU138)-1</f>
        <v>178</v>
      </c>
      <c r="F138" s="87" t="str">
        <f>'Etape 2'!D135</f>
        <v/>
      </c>
      <c r="G138" s="87" t="str">
        <f>'Etape 2'!E135</f>
        <v/>
      </c>
      <c r="H138" s="87" t="str">
        <f>'Etape 2'!F135</f>
        <v/>
      </c>
      <c r="I138" s="87" t="str">
        <f>'Etape 2'!G135</f>
        <v/>
      </c>
      <c r="J138" s="87" t="str">
        <f>'Etape 2'!H135</f>
        <v/>
      </c>
      <c r="K138" s="87" t="str">
        <f>'Etape 2'!I135</f>
        <v/>
      </c>
      <c r="L138" s="87">
        <f ca="1">'Etape 2'!J135</f>
        <v>999999</v>
      </c>
      <c r="M138" s="87">
        <f>'Etape 2'!K135</f>
        <v>999</v>
      </c>
      <c r="N138" s="87">
        <f ca="1">'Etape 2'!L135</f>
        <v>123</v>
      </c>
      <c r="O138" s="259">
        <f t="shared" si="102"/>
        <v>0.3</v>
      </c>
      <c r="P138" s="259">
        <f t="shared" si="103"/>
        <v>1.1000000000000001</v>
      </c>
      <c r="Q138" s="260">
        <f t="shared" si="104"/>
        <v>0</v>
      </c>
      <c r="R138" s="261">
        <f t="shared" si="143"/>
        <v>0</v>
      </c>
      <c r="S138" s="87">
        <f>IF(ISBLANK('Etape 2'!N135),0,VLOOKUP('Etape 2'!N135,Matrix_Uebersetzung,2,FALSE))</f>
        <v>0</v>
      </c>
      <c r="T138" s="87">
        <f>IF(ISBLANK('Etape 2'!O135),0,VLOOKUP('Etape 2'!O135,Matrix_Uebersetzung,2,FALSE))</f>
        <v>0</v>
      </c>
      <c r="U138" s="87">
        <f>IF(ISBLANK('Etape 2'!P135),0,VLOOKUP('Etape 2'!P135,Matrix_Uebersetzung,2,FALSE))</f>
        <v>0</v>
      </c>
      <c r="V138" s="87" t="str">
        <f>'Etape 2'!Q135</f>
        <v/>
      </c>
      <c r="W138" s="87">
        <f>'Etape 2'!R135</f>
        <v>0</v>
      </c>
      <c r="X138" s="87" t="str">
        <f>'Etape 2'!S135</f>
        <v/>
      </c>
      <c r="Y138" s="89" t="str">
        <f>'Etape 2'!T135</f>
        <v/>
      </c>
      <c r="Z138" s="87">
        <f>'Etape 2'!U135</f>
        <v>0</v>
      </c>
      <c r="AA138" s="87" t="str">
        <f>'Etape 2'!V135</f>
        <v/>
      </c>
      <c r="AB138" s="87">
        <f>IF(ISNUMBER('Etape 2'!W135),'Etape 2'!W135,0)</f>
        <v>0</v>
      </c>
      <c r="AC138" s="87">
        <f>IF(ISNUMBER('Etape 2'!X135),'Etape 2'!X135,0)</f>
        <v>0</v>
      </c>
      <c r="AD138" s="87">
        <f>IF(ISNUMBER('Etape 2'!Y135),'Etape 2'!Y135,0)</f>
        <v>0</v>
      </c>
      <c r="AE138" s="87">
        <f>IF(ISNUMBER('Etape 2'!Z135),'Etape 2'!Z135,0)</f>
        <v>0</v>
      </c>
      <c r="AF138" s="86">
        <f t="shared" si="129"/>
        <v>999</v>
      </c>
      <c r="AG138" s="288">
        <f t="shared" si="130"/>
        <v>0.25</v>
      </c>
      <c r="AH138" s="181" t="e">
        <f t="shared" si="105"/>
        <v>#VALUE!</v>
      </c>
      <c r="AI138" s="181" t="e">
        <f t="shared" si="146"/>
        <v>#VALUE!</v>
      </c>
      <c r="AJ138" s="86">
        <f t="shared" si="106"/>
        <v>200</v>
      </c>
      <c r="AK138" s="91" t="e">
        <f t="shared" si="107"/>
        <v>#N/A</v>
      </c>
      <c r="AL138" s="91" t="e">
        <f t="shared" si="147"/>
        <v>#N/A</v>
      </c>
      <c r="AM138" s="91">
        <f t="shared" si="109"/>
        <v>6</v>
      </c>
      <c r="AN138" s="91" t="e">
        <f t="shared" si="148"/>
        <v>#N/A</v>
      </c>
      <c r="AO138" s="91" t="e">
        <f t="shared" si="149"/>
        <v>#N/A</v>
      </c>
      <c r="AP138" s="21" t="e">
        <f t="shared" si="150"/>
        <v>#N/A</v>
      </c>
      <c r="AQ138" s="21" t="e">
        <f t="shared" si="151"/>
        <v>#N/A</v>
      </c>
      <c r="AR138" s="92" t="str">
        <f t="shared" si="134"/>
        <v/>
      </c>
      <c r="AS138" s="21" t="str">
        <f t="shared" si="135"/>
        <v/>
      </c>
      <c r="AT138" s="59" t="str">
        <f t="shared" si="112"/>
        <v/>
      </c>
      <c r="AU138" s="105">
        <f t="shared" si="113"/>
        <v>1</v>
      </c>
      <c r="AV138" s="105">
        <f t="shared" si="152"/>
        <v>1</v>
      </c>
      <c r="AW138" s="58">
        <f t="shared" si="153"/>
        <v>2</v>
      </c>
      <c r="AX138" s="58">
        <f t="shared" si="154"/>
        <v>3</v>
      </c>
      <c r="AY138" s="58" t="str">
        <f t="shared" si="155"/>
        <v>avec vannes</v>
      </c>
      <c r="AZ138" s="58" t="str">
        <f t="shared" si="156"/>
        <v>fermé</v>
      </c>
      <c r="BA138" s="60">
        <f t="shared" si="158"/>
        <v>0</v>
      </c>
      <c r="BB138" s="60">
        <f t="shared" si="158"/>
        <v>0</v>
      </c>
      <c r="BC138" s="60">
        <f t="shared" si="158"/>
        <v>0</v>
      </c>
      <c r="BD138" s="60">
        <f t="shared" si="158"/>
        <v>0</v>
      </c>
      <c r="BE138" s="286" t="str">
        <f t="shared" si="118"/>
        <v/>
      </c>
      <c r="BF138" s="58" t="str">
        <f t="shared" si="136"/>
        <v/>
      </c>
      <c r="BG138" s="59" t="str">
        <f t="shared" si="119"/>
        <v/>
      </c>
      <c r="BH138" s="158">
        <f t="shared" ca="1" si="120"/>
        <v>1</v>
      </c>
      <c r="BI138" s="60">
        <f t="shared" ca="1" si="121"/>
        <v>0.15</v>
      </c>
      <c r="BJ138" s="60">
        <f t="shared" si="122"/>
        <v>0.2</v>
      </c>
      <c r="BK138" s="60" t="str">
        <f t="shared" si="137"/>
        <v/>
      </c>
      <c r="BL138" s="21" t="str">
        <f t="shared" si="138"/>
        <v/>
      </c>
      <c r="BM138" s="264" t="str">
        <f t="shared" si="123"/>
        <v/>
      </c>
      <c r="BN138" s="60" t="str">
        <f t="shared" si="139"/>
        <v/>
      </c>
      <c r="BO138" s="136">
        <f t="shared" si="140"/>
        <v>0</v>
      </c>
      <c r="BP138" s="59">
        <f t="shared" si="141"/>
        <v>0</v>
      </c>
      <c r="BQ138" s="136">
        <f t="shared" ca="1" si="124"/>
        <v>1323</v>
      </c>
      <c r="BR138" s="136">
        <f t="shared" ca="1" si="125"/>
        <v>1000.4086378737542</v>
      </c>
      <c r="BS138" s="136">
        <f t="shared" ca="1" si="126"/>
        <v>1468800.4086378738</v>
      </c>
      <c r="BT138" s="136">
        <f t="shared" ca="1" si="127"/>
        <v>313875.33136363298</v>
      </c>
      <c r="BU138" s="136">
        <f t="shared" ca="1" si="128"/>
        <v>1000.4086378737542</v>
      </c>
    </row>
    <row r="139" spans="1:73" x14ac:dyDescent="0.2">
      <c r="A139" s="87" t="str">
        <f>'Etape 2'!A136</f>
        <v/>
      </c>
      <c r="B139" s="87">
        <f>'Etape 2'!B136</f>
        <v>124</v>
      </c>
      <c r="C139" s="87">
        <f ca="1">'Etape 2'!C136</f>
        <v>177</v>
      </c>
      <c r="D139" s="87"/>
      <c r="E139" s="61">
        <f ca="1">RANK(BU139,BU$16:BU$315,0)+COUNTIF(BU$16:BU139,BU139)-1</f>
        <v>177</v>
      </c>
      <c r="F139" s="87" t="str">
        <f>'Etape 2'!D136</f>
        <v/>
      </c>
      <c r="G139" s="87" t="str">
        <f>'Etape 2'!E136</f>
        <v/>
      </c>
      <c r="H139" s="87" t="str">
        <f>'Etape 2'!F136</f>
        <v/>
      </c>
      <c r="I139" s="87" t="str">
        <f>'Etape 2'!G136</f>
        <v/>
      </c>
      <c r="J139" s="87" t="str">
        <f>'Etape 2'!H136</f>
        <v/>
      </c>
      <c r="K139" s="87" t="str">
        <f>'Etape 2'!I136</f>
        <v/>
      </c>
      <c r="L139" s="87">
        <f ca="1">'Etape 2'!J136</f>
        <v>999999</v>
      </c>
      <c r="M139" s="87">
        <f>'Etape 2'!K136</f>
        <v>999</v>
      </c>
      <c r="N139" s="87">
        <f ca="1">'Etape 2'!L136</f>
        <v>124</v>
      </c>
      <c r="O139" s="259">
        <f t="shared" si="102"/>
        <v>0.3</v>
      </c>
      <c r="P139" s="259">
        <f t="shared" si="103"/>
        <v>1.1000000000000001</v>
      </c>
      <c r="Q139" s="260">
        <f t="shared" si="104"/>
        <v>0</v>
      </c>
      <c r="R139" s="261">
        <f t="shared" si="143"/>
        <v>0</v>
      </c>
      <c r="S139" s="87">
        <f>IF(ISBLANK('Etape 2'!N136),0,VLOOKUP('Etape 2'!N136,Matrix_Uebersetzung,2,FALSE))</f>
        <v>0</v>
      </c>
      <c r="T139" s="87">
        <f>IF(ISBLANK('Etape 2'!O136),0,VLOOKUP('Etape 2'!O136,Matrix_Uebersetzung,2,FALSE))</f>
        <v>0</v>
      </c>
      <c r="U139" s="87">
        <f>IF(ISBLANK('Etape 2'!P136),0,VLOOKUP('Etape 2'!P136,Matrix_Uebersetzung,2,FALSE))</f>
        <v>0</v>
      </c>
      <c r="V139" s="87" t="str">
        <f>'Etape 2'!Q136</f>
        <v/>
      </c>
      <c r="W139" s="87">
        <f>'Etape 2'!R136</f>
        <v>0</v>
      </c>
      <c r="X139" s="87" t="str">
        <f>'Etape 2'!S136</f>
        <v/>
      </c>
      <c r="Y139" s="89" t="str">
        <f>'Etape 2'!T136</f>
        <v/>
      </c>
      <c r="Z139" s="87">
        <f>'Etape 2'!U136</f>
        <v>0</v>
      </c>
      <c r="AA139" s="87" t="str">
        <f>'Etape 2'!V136</f>
        <v/>
      </c>
      <c r="AB139" s="87">
        <f>IF(ISNUMBER('Etape 2'!W136),'Etape 2'!W136,0)</f>
        <v>0</v>
      </c>
      <c r="AC139" s="87">
        <f>IF(ISNUMBER('Etape 2'!X136),'Etape 2'!X136,0)</f>
        <v>0</v>
      </c>
      <c r="AD139" s="87">
        <f>IF(ISNUMBER('Etape 2'!Y136),'Etape 2'!Y136,0)</f>
        <v>0</v>
      </c>
      <c r="AE139" s="87">
        <f>IF(ISNUMBER('Etape 2'!Z136),'Etape 2'!Z136,0)</f>
        <v>0</v>
      </c>
      <c r="AF139" s="86">
        <f t="shared" si="129"/>
        <v>999</v>
      </c>
      <c r="AG139" s="288">
        <f t="shared" si="130"/>
        <v>0.25</v>
      </c>
      <c r="AH139" s="181" t="e">
        <f t="shared" si="105"/>
        <v>#VALUE!</v>
      </c>
      <c r="AI139" s="181" t="e">
        <f t="shared" si="146"/>
        <v>#VALUE!</v>
      </c>
      <c r="AJ139" s="86">
        <f t="shared" si="106"/>
        <v>200</v>
      </c>
      <c r="AK139" s="91" t="e">
        <f t="shared" si="107"/>
        <v>#N/A</v>
      </c>
      <c r="AL139" s="91" t="e">
        <f t="shared" si="147"/>
        <v>#N/A</v>
      </c>
      <c r="AM139" s="91">
        <f t="shared" si="109"/>
        <v>6</v>
      </c>
      <c r="AN139" s="91" t="e">
        <f t="shared" si="148"/>
        <v>#N/A</v>
      </c>
      <c r="AO139" s="91" t="e">
        <f t="shared" si="149"/>
        <v>#N/A</v>
      </c>
      <c r="AP139" s="21" t="e">
        <f t="shared" si="150"/>
        <v>#N/A</v>
      </c>
      <c r="AQ139" s="21" t="e">
        <f t="shared" si="151"/>
        <v>#N/A</v>
      </c>
      <c r="AR139" s="92" t="str">
        <f t="shared" si="134"/>
        <v/>
      </c>
      <c r="AS139" s="21" t="str">
        <f t="shared" si="135"/>
        <v/>
      </c>
      <c r="AT139" s="59" t="str">
        <f t="shared" si="112"/>
        <v/>
      </c>
      <c r="AU139" s="105">
        <f t="shared" si="113"/>
        <v>1</v>
      </c>
      <c r="AV139" s="105">
        <f t="shared" si="152"/>
        <v>1</v>
      </c>
      <c r="AW139" s="58">
        <f t="shared" si="153"/>
        <v>2</v>
      </c>
      <c r="AX139" s="58">
        <f t="shared" si="154"/>
        <v>3</v>
      </c>
      <c r="AY139" s="58" t="str">
        <f t="shared" si="155"/>
        <v>avec vannes</v>
      </c>
      <c r="AZ139" s="58" t="str">
        <f t="shared" si="156"/>
        <v>fermé</v>
      </c>
      <c r="BA139" s="60">
        <f t="shared" si="158"/>
        <v>0</v>
      </c>
      <c r="BB139" s="60">
        <f t="shared" si="158"/>
        <v>0</v>
      </c>
      <c r="BC139" s="60">
        <f t="shared" si="158"/>
        <v>0</v>
      </c>
      <c r="BD139" s="60">
        <f t="shared" si="158"/>
        <v>0</v>
      </c>
      <c r="BE139" s="286" t="str">
        <f t="shared" si="118"/>
        <v/>
      </c>
      <c r="BF139" s="58" t="str">
        <f t="shared" si="136"/>
        <v/>
      </c>
      <c r="BG139" s="59" t="str">
        <f t="shared" si="119"/>
        <v/>
      </c>
      <c r="BH139" s="158">
        <f t="shared" ca="1" si="120"/>
        <v>1</v>
      </c>
      <c r="BI139" s="60">
        <f t="shared" ca="1" si="121"/>
        <v>0.15</v>
      </c>
      <c r="BJ139" s="60">
        <f t="shared" si="122"/>
        <v>0.2</v>
      </c>
      <c r="BK139" s="60" t="str">
        <f t="shared" si="137"/>
        <v/>
      </c>
      <c r="BL139" s="21" t="str">
        <f t="shared" si="138"/>
        <v/>
      </c>
      <c r="BM139" s="264" t="str">
        <f t="shared" si="123"/>
        <v/>
      </c>
      <c r="BN139" s="60" t="str">
        <f t="shared" si="139"/>
        <v/>
      </c>
      <c r="BO139" s="136">
        <f t="shared" si="140"/>
        <v>0</v>
      </c>
      <c r="BP139" s="59">
        <f t="shared" si="141"/>
        <v>0</v>
      </c>
      <c r="BQ139" s="136">
        <f t="shared" ca="1" si="124"/>
        <v>1324</v>
      </c>
      <c r="BR139" s="136">
        <f t="shared" ca="1" si="125"/>
        <v>1000.4119601328904</v>
      </c>
      <c r="BS139" s="136">
        <f t="shared" ca="1" si="126"/>
        <v>1468800.4119601329</v>
      </c>
      <c r="BT139" s="136">
        <f t="shared" ca="1" si="127"/>
        <v>313875.3346858921</v>
      </c>
      <c r="BU139" s="136">
        <f t="shared" ca="1" si="128"/>
        <v>1000.4119601328904</v>
      </c>
    </row>
    <row r="140" spans="1:73" x14ac:dyDescent="0.2">
      <c r="A140" s="87" t="str">
        <f>'Etape 2'!A137</f>
        <v/>
      </c>
      <c r="B140" s="87">
        <f>'Etape 2'!B137</f>
        <v>125</v>
      </c>
      <c r="C140" s="87">
        <f ca="1">'Etape 2'!C137</f>
        <v>176</v>
      </c>
      <c r="D140" s="87"/>
      <c r="E140" s="61">
        <f ca="1">RANK(BU140,BU$16:BU$315,0)+COUNTIF(BU$16:BU140,BU140)-1</f>
        <v>176</v>
      </c>
      <c r="F140" s="87" t="str">
        <f>'Etape 2'!D137</f>
        <v/>
      </c>
      <c r="G140" s="87" t="str">
        <f>'Etape 2'!E137</f>
        <v/>
      </c>
      <c r="H140" s="87" t="str">
        <f>'Etape 2'!F137</f>
        <v/>
      </c>
      <c r="I140" s="87" t="str">
        <f>'Etape 2'!G137</f>
        <v/>
      </c>
      <c r="J140" s="87" t="str">
        <f>'Etape 2'!H137</f>
        <v/>
      </c>
      <c r="K140" s="87" t="str">
        <f>'Etape 2'!I137</f>
        <v/>
      </c>
      <c r="L140" s="87">
        <f ca="1">'Etape 2'!J137</f>
        <v>999999</v>
      </c>
      <c r="M140" s="87">
        <f>'Etape 2'!K137</f>
        <v>999</v>
      </c>
      <c r="N140" s="87">
        <f ca="1">'Etape 2'!L137</f>
        <v>125</v>
      </c>
      <c r="O140" s="259">
        <f t="shared" si="102"/>
        <v>0.3</v>
      </c>
      <c r="P140" s="259">
        <f t="shared" si="103"/>
        <v>1.1000000000000001</v>
      </c>
      <c r="Q140" s="260">
        <f t="shared" si="104"/>
        <v>0</v>
      </c>
      <c r="R140" s="261">
        <f t="shared" si="143"/>
        <v>0</v>
      </c>
      <c r="S140" s="87">
        <f>IF(ISBLANK('Etape 2'!N137),0,VLOOKUP('Etape 2'!N137,Matrix_Uebersetzung,2,FALSE))</f>
        <v>0</v>
      </c>
      <c r="T140" s="87">
        <f>IF(ISBLANK('Etape 2'!O137),0,VLOOKUP('Etape 2'!O137,Matrix_Uebersetzung,2,FALSE))</f>
        <v>0</v>
      </c>
      <c r="U140" s="87">
        <f>IF(ISBLANK('Etape 2'!P137),0,VLOOKUP('Etape 2'!P137,Matrix_Uebersetzung,2,FALSE))</f>
        <v>0</v>
      </c>
      <c r="V140" s="87" t="str">
        <f>'Etape 2'!Q137</f>
        <v/>
      </c>
      <c r="W140" s="87">
        <f>'Etape 2'!R137</f>
        <v>0</v>
      </c>
      <c r="X140" s="87" t="str">
        <f>'Etape 2'!S137</f>
        <v/>
      </c>
      <c r="Y140" s="89" t="str">
        <f>'Etape 2'!T137</f>
        <v/>
      </c>
      <c r="Z140" s="87">
        <f>'Etape 2'!U137</f>
        <v>0</v>
      </c>
      <c r="AA140" s="87" t="str">
        <f>'Etape 2'!V137</f>
        <v/>
      </c>
      <c r="AB140" s="87">
        <f>IF(ISNUMBER('Etape 2'!W137),'Etape 2'!W137,0)</f>
        <v>0</v>
      </c>
      <c r="AC140" s="87">
        <f>IF(ISNUMBER('Etape 2'!X137),'Etape 2'!X137,0)</f>
        <v>0</v>
      </c>
      <c r="AD140" s="87">
        <f>IF(ISNUMBER('Etape 2'!Y137),'Etape 2'!Y137,0)</f>
        <v>0</v>
      </c>
      <c r="AE140" s="87">
        <f>IF(ISNUMBER('Etape 2'!Z137),'Etape 2'!Z137,0)</f>
        <v>0</v>
      </c>
      <c r="AF140" s="86">
        <f t="shared" si="129"/>
        <v>999</v>
      </c>
      <c r="AG140" s="288">
        <f t="shared" si="130"/>
        <v>0.25</v>
      </c>
      <c r="AH140" s="181" t="e">
        <f t="shared" si="105"/>
        <v>#VALUE!</v>
      </c>
      <c r="AI140" s="181" t="e">
        <f t="shared" si="146"/>
        <v>#VALUE!</v>
      </c>
      <c r="AJ140" s="86">
        <f t="shared" si="106"/>
        <v>200</v>
      </c>
      <c r="AK140" s="91" t="e">
        <f t="shared" si="107"/>
        <v>#N/A</v>
      </c>
      <c r="AL140" s="91" t="e">
        <f t="shared" si="147"/>
        <v>#N/A</v>
      </c>
      <c r="AM140" s="91">
        <f t="shared" si="109"/>
        <v>6</v>
      </c>
      <c r="AN140" s="91" t="e">
        <f t="shared" si="148"/>
        <v>#N/A</v>
      </c>
      <c r="AO140" s="91" t="e">
        <f t="shared" si="149"/>
        <v>#N/A</v>
      </c>
      <c r="AP140" s="21" t="e">
        <f t="shared" si="150"/>
        <v>#N/A</v>
      </c>
      <c r="AQ140" s="21" t="e">
        <f t="shared" si="151"/>
        <v>#N/A</v>
      </c>
      <c r="AR140" s="92" t="str">
        <f t="shared" si="134"/>
        <v/>
      </c>
      <c r="AS140" s="21" t="str">
        <f t="shared" si="135"/>
        <v/>
      </c>
      <c r="AT140" s="59" t="str">
        <f t="shared" si="112"/>
        <v/>
      </c>
      <c r="AU140" s="105">
        <f t="shared" si="113"/>
        <v>1</v>
      </c>
      <c r="AV140" s="105">
        <f t="shared" si="152"/>
        <v>1</v>
      </c>
      <c r="AW140" s="58">
        <f t="shared" si="153"/>
        <v>2</v>
      </c>
      <c r="AX140" s="58">
        <f t="shared" si="154"/>
        <v>3</v>
      </c>
      <c r="AY140" s="58" t="str">
        <f t="shared" si="155"/>
        <v>avec vannes</v>
      </c>
      <c r="AZ140" s="58" t="str">
        <f t="shared" si="156"/>
        <v>fermé</v>
      </c>
      <c r="BA140" s="60">
        <f t="shared" si="158"/>
        <v>0</v>
      </c>
      <c r="BB140" s="60">
        <f t="shared" si="158"/>
        <v>0</v>
      </c>
      <c r="BC140" s="60">
        <f t="shared" si="158"/>
        <v>0</v>
      </c>
      <c r="BD140" s="60">
        <f t="shared" si="158"/>
        <v>0</v>
      </c>
      <c r="BE140" s="286" t="str">
        <f t="shared" si="118"/>
        <v/>
      </c>
      <c r="BF140" s="58" t="str">
        <f t="shared" si="136"/>
        <v/>
      </c>
      <c r="BG140" s="59" t="str">
        <f t="shared" si="119"/>
        <v/>
      </c>
      <c r="BH140" s="158">
        <f t="shared" ca="1" si="120"/>
        <v>1</v>
      </c>
      <c r="BI140" s="60">
        <f t="shared" ca="1" si="121"/>
        <v>0.15</v>
      </c>
      <c r="BJ140" s="60">
        <f t="shared" si="122"/>
        <v>0.2</v>
      </c>
      <c r="BK140" s="60" t="str">
        <f t="shared" si="137"/>
        <v/>
      </c>
      <c r="BL140" s="21" t="str">
        <f t="shared" si="138"/>
        <v/>
      </c>
      <c r="BM140" s="264" t="str">
        <f t="shared" si="123"/>
        <v/>
      </c>
      <c r="BN140" s="60" t="str">
        <f t="shared" si="139"/>
        <v/>
      </c>
      <c r="BO140" s="136">
        <f t="shared" si="140"/>
        <v>0</v>
      </c>
      <c r="BP140" s="59">
        <f t="shared" si="141"/>
        <v>0</v>
      </c>
      <c r="BQ140" s="136">
        <f t="shared" ca="1" si="124"/>
        <v>1325</v>
      </c>
      <c r="BR140" s="136">
        <f t="shared" ca="1" si="125"/>
        <v>1000.4152823920266</v>
      </c>
      <c r="BS140" s="136">
        <f t="shared" ca="1" si="126"/>
        <v>1468800.4152823919</v>
      </c>
      <c r="BT140" s="136">
        <f t="shared" ca="1" si="127"/>
        <v>313875.33800815122</v>
      </c>
      <c r="BU140" s="136">
        <f t="shared" ca="1" si="128"/>
        <v>1000.4152823920266</v>
      </c>
    </row>
    <row r="141" spans="1:73" x14ac:dyDescent="0.2">
      <c r="A141" s="87" t="str">
        <f>'Etape 2'!A138</f>
        <v/>
      </c>
      <c r="B141" s="87">
        <f>'Etape 2'!B138</f>
        <v>126</v>
      </c>
      <c r="C141" s="87">
        <f ca="1">'Etape 2'!C138</f>
        <v>175</v>
      </c>
      <c r="D141" s="87"/>
      <c r="E141" s="61">
        <f ca="1">RANK(BU141,BU$16:BU$315,0)+COUNTIF(BU$16:BU141,BU141)-1</f>
        <v>175</v>
      </c>
      <c r="F141" s="87" t="str">
        <f>'Etape 2'!D138</f>
        <v/>
      </c>
      <c r="G141" s="87" t="str">
        <f>'Etape 2'!E138</f>
        <v/>
      </c>
      <c r="H141" s="87" t="str">
        <f>'Etape 2'!F138</f>
        <v/>
      </c>
      <c r="I141" s="87" t="str">
        <f>'Etape 2'!G138</f>
        <v/>
      </c>
      <c r="J141" s="87" t="str">
        <f>'Etape 2'!H138</f>
        <v/>
      </c>
      <c r="K141" s="87" t="str">
        <f>'Etape 2'!I138</f>
        <v/>
      </c>
      <c r="L141" s="87">
        <f ca="1">'Etape 2'!J138</f>
        <v>999999</v>
      </c>
      <c r="M141" s="87">
        <f>'Etape 2'!K138</f>
        <v>999</v>
      </c>
      <c r="N141" s="87">
        <f ca="1">'Etape 2'!L138</f>
        <v>126</v>
      </c>
      <c r="O141" s="259">
        <f t="shared" si="102"/>
        <v>0.3</v>
      </c>
      <c r="P141" s="259">
        <f t="shared" si="103"/>
        <v>1.1000000000000001</v>
      </c>
      <c r="Q141" s="260">
        <f t="shared" si="104"/>
        <v>0</v>
      </c>
      <c r="R141" s="261">
        <f t="shared" si="143"/>
        <v>0</v>
      </c>
      <c r="S141" s="87">
        <f>IF(ISBLANK('Etape 2'!N138),0,VLOOKUP('Etape 2'!N138,Matrix_Uebersetzung,2,FALSE))</f>
        <v>0</v>
      </c>
      <c r="T141" s="87">
        <f>IF(ISBLANK('Etape 2'!O138),0,VLOOKUP('Etape 2'!O138,Matrix_Uebersetzung,2,FALSE))</f>
        <v>0</v>
      </c>
      <c r="U141" s="87">
        <f>IF(ISBLANK('Etape 2'!P138),0,VLOOKUP('Etape 2'!P138,Matrix_Uebersetzung,2,FALSE))</f>
        <v>0</v>
      </c>
      <c r="V141" s="87" t="str">
        <f>'Etape 2'!Q138</f>
        <v/>
      </c>
      <c r="W141" s="87">
        <f>'Etape 2'!R138</f>
        <v>0</v>
      </c>
      <c r="X141" s="87" t="str">
        <f>'Etape 2'!S138</f>
        <v/>
      </c>
      <c r="Y141" s="89" t="str">
        <f>'Etape 2'!T138</f>
        <v/>
      </c>
      <c r="Z141" s="87">
        <f>'Etape 2'!U138</f>
        <v>0</v>
      </c>
      <c r="AA141" s="87" t="str">
        <f>'Etape 2'!V138</f>
        <v/>
      </c>
      <c r="AB141" s="87">
        <f>IF(ISNUMBER('Etape 2'!W138),'Etape 2'!W138,0)</f>
        <v>0</v>
      </c>
      <c r="AC141" s="87">
        <f>IF(ISNUMBER('Etape 2'!X138),'Etape 2'!X138,0)</f>
        <v>0</v>
      </c>
      <c r="AD141" s="87">
        <f>IF(ISNUMBER('Etape 2'!Y138),'Etape 2'!Y138,0)</f>
        <v>0</v>
      </c>
      <c r="AE141" s="87">
        <f>IF(ISNUMBER('Etape 2'!Z138),'Etape 2'!Z138,0)</f>
        <v>0</v>
      </c>
      <c r="AF141" s="86">
        <f t="shared" si="129"/>
        <v>999</v>
      </c>
      <c r="AG141" s="288">
        <f t="shared" si="130"/>
        <v>0.25</v>
      </c>
      <c r="AH141" s="181" t="e">
        <f t="shared" si="105"/>
        <v>#VALUE!</v>
      </c>
      <c r="AI141" s="181" t="e">
        <f t="shared" si="146"/>
        <v>#VALUE!</v>
      </c>
      <c r="AJ141" s="86">
        <f t="shared" si="106"/>
        <v>200</v>
      </c>
      <c r="AK141" s="91" t="e">
        <f t="shared" si="107"/>
        <v>#N/A</v>
      </c>
      <c r="AL141" s="91" t="e">
        <f t="shared" si="147"/>
        <v>#N/A</v>
      </c>
      <c r="AM141" s="91">
        <f t="shared" si="109"/>
        <v>6</v>
      </c>
      <c r="AN141" s="91" t="e">
        <f t="shared" si="148"/>
        <v>#N/A</v>
      </c>
      <c r="AO141" s="91" t="e">
        <f t="shared" si="149"/>
        <v>#N/A</v>
      </c>
      <c r="AP141" s="21" t="e">
        <f t="shared" si="150"/>
        <v>#N/A</v>
      </c>
      <c r="AQ141" s="21" t="e">
        <f t="shared" si="151"/>
        <v>#N/A</v>
      </c>
      <c r="AR141" s="92" t="str">
        <f t="shared" si="134"/>
        <v/>
      </c>
      <c r="AS141" s="21" t="str">
        <f t="shared" si="135"/>
        <v/>
      </c>
      <c r="AT141" s="59" t="str">
        <f t="shared" si="112"/>
        <v/>
      </c>
      <c r="AU141" s="105">
        <f t="shared" si="113"/>
        <v>1</v>
      </c>
      <c r="AV141" s="105">
        <f t="shared" si="152"/>
        <v>1</v>
      </c>
      <c r="AW141" s="58">
        <f t="shared" si="153"/>
        <v>2</v>
      </c>
      <c r="AX141" s="58">
        <f t="shared" si="154"/>
        <v>3</v>
      </c>
      <c r="AY141" s="58" t="str">
        <f t="shared" si="155"/>
        <v>avec vannes</v>
      </c>
      <c r="AZ141" s="58" t="str">
        <f t="shared" si="156"/>
        <v>fermé</v>
      </c>
      <c r="BA141" s="60">
        <f t="shared" si="158"/>
        <v>0</v>
      </c>
      <c r="BB141" s="60">
        <f t="shared" si="158"/>
        <v>0</v>
      </c>
      <c r="BC141" s="60">
        <f t="shared" si="158"/>
        <v>0</v>
      </c>
      <c r="BD141" s="60">
        <f t="shared" si="158"/>
        <v>0</v>
      </c>
      <c r="BE141" s="286" t="str">
        <f t="shared" si="118"/>
        <v/>
      </c>
      <c r="BF141" s="58" t="str">
        <f t="shared" si="136"/>
        <v/>
      </c>
      <c r="BG141" s="59" t="str">
        <f t="shared" si="119"/>
        <v/>
      </c>
      <c r="BH141" s="158">
        <f t="shared" ca="1" si="120"/>
        <v>1</v>
      </c>
      <c r="BI141" s="60">
        <f t="shared" ca="1" si="121"/>
        <v>0.15</v>
      </c>
      <c r="BJ141" s="60">
        <f t="shared" si="122"/>
        <v>0.2</v>
      </c>
      <c r="BK141" s="60" t="str">
        <f t="shared" si="137"/>
        <v/>
      </c>
      <c r="BL141" s="21" t="str">
        <f t="shared" si="138"/>
        <v/>
      </c>
      <c r="BM141" s="264" t="str">
        <f t="shared" si="123"/>
        <v/>
      </c>
      <c r="BN141" s="60" t="str">
        <f t="shared" si="139"/>
        <v/>
      </c>
      <c r="BO141" s="136">
        <f t="shared" si="140"/>
        <v>0</v>
      </c>
      <c r="BP141" s="59">
        <f t="shared" si="141"/>
        <v>0</v>
      </c>
      <c r="BQ141" s="136">
        <f t="shared" ca="1" si="124"/>
        <v>1326</v>
      </c>
      <c r="BR141" s="136">
        <f t="shared" ca="1" si="125"/>
        <v>1000.4186046511628</v>
      </c>
      <c r="BS141" s="136">
        <f t="shared" ca="1" si="126"/>
        <v>1468800.4186046512</v>
      </c>
      <c r="BT141" s="136">
        <f t="shared" ca="1" si="127"/>
        <v>313875.34133041039</v>
      </c>
      <c r="BU141" s="136">
        <f t="shared" ca="1" si="128"/>
        <v>1000.4186046511628</v>
      </c>
    </row>
    <row r="142" spans="1:73" x14ac:dyDescent="0.2">
      <c r="A142" s="87" t="str">
        <f>'Etape 2'!A139</f>
        <v/>
      </c>
      <c r="B142" s="87">
        <f>'Etape 2'!B139</f>
        <v>127</v>
      </c>
      <c r="C142" s="87">
        <f ca="1">'Etape 2'!C139</f>
        <v>174</v>
      </c>
      <c r="D142" s="87"/>
      <c r="E142" s="61">
        <f ca="1">RANK(BU142,BU$16:BU$315,0)+COUNTIF(BU$16:BU142,BU142)-1</f>
        <v>174</v>
      </c>
      <c r="F142" s="87" t="str">
        <f>'Etape 2'!D139</f>
        <v/>
      </c>
      <c r="G142" s="87" t="str">
        <f>'Etape 2'!E139</f>
        <v/>
      </c>
      <c r="H142" s="87" t="str">
        <f>'Etape 2'!F139</f>
        <v/>
      </c>
      <c r="I142" s="87" t="str">
        <f>'Etape 2'!G139</f>
        <v/>
      </c>
      <c r="J142" s="87" t="str">
        <f>'Etape 2'!H139</f>
        <v/>
      </c>
      <c r="K142" s="87" t="str">
        <f>'Etape 2'!I139</f>
        <v/>
      </c>
      <c r="L142" s="87">
        <f ca="1">'Etape 2'!J139</f>
        <v>999999</v>
      </c>
      <c r="M142" s="87">
        <f>'Etape 2'!K139</f>
        <v>999</v>
      </c>
      <c r="N142" s="87">
        <f ca="1">'Etape 2'!L139</f>
        <v>127</v>
      </c>
      <c r="O142" s="259">
        <f t="shared" si="102"/>
        <v>0.3</v>
      </c>
      <c r="P142" s="259">
        <f t="shared" si="103"/>
        <v>1.1000000000000001</v>
      </c>
      <c r="Q142" s="260">
        <f t="shared" si="104"/>
        <v>0</v>
      </c>
      <c r="R142" s="261">
        <f t="shared" si="143"/>
        <v>0</v>
      </c>
      <c r="S142" s="87">
        <f>IF(ISBLANK('Etape 2'!N139),0,VLOOKUP('Etape 2'!N139,Matrix_Uebersetzung,2,FALSE))</f>
        <v>0</v>
      </c>
      <c r="T142" s="87">
        <f>IF(ISBLANK('Etape 2'!O139),0,VLOOKUP('Etape 2'!O139,Matrix_Uebersetzung,2,FALSE))</f>
        <v>0</v>
      </c>
      <c r="U142" s="87">
        <f>IF(ISBLANK('Etape 2'!P139),0,VLOOKUP('Etape 2'!P139,Matrix_Uebersetzung,2,FALSE))</f>
        <v>0</v>
      </c>
      <c r="V142" s="87" t="str">
        <f>'Etape 2'!Q139</f>
        <v/>
      </c>
      <c r="W142" s="87">
        <f>'Etape 2'!R139</f>
        <v>0</v>
      </c>
      <c r="X142" s="87" t="str">
        <f>'Etape 2'!S139</f>
        <v/>
      </c>
      <c r="Y142" s="89" t="str">
        <f>'Etape 2'!T139</f>
        <v/>
      </c>
      <c r="Z142" s="87">
        <f>'Etape 2'!U139</f>
        <v>0</v>
      </c>
      <c r="AA142" s="87" t="str">
        <f>'Etape 2'!V139</f>
        <v/>
      </c>
      <c r="AB142" s="87">
        <f>IF(ISNUMBER('Etape 2'!W139),'Etape 2'!W139,0)</f>
        <v>0</v>
      </c>
      <c r="AC142" s="87">
        <f>IF(ISNUMBER('Etape 2'!X139),'Etape 2'!X139,0)</f>
        <v>0</v>
      </c>
      <c r="AD142" s="87">
        <f>IF(ISNUMBER('Etape 2'!Y139),'Etape 2'!Y139,0)</f>
        <v>0</v>
      </c>
      <c r="AE142" s="87">
        <f>IF(ISNUMBER('Etape 2'!Z139),'Etape 2'!Z139,0)</f>
        <v>0</v>
      </c>
      <c r="AF142" s="86">
        <f t="shared" si="129"/>
        <v>999</v>
      </c>
      <c r="AG142" s="288">
        <f t="shared" si="130"/>
        <v>0.25</v>
      </c>
      <c r="AH142" s="181" t="e">
        <f t="shared" si="105"/>
        <v>#VALUE!</v>
      </c>
      <c r="AI142" s="181" t="e">
        <f t="shared" si="146"/>
        <v>#VALUE!</v>
      </c>
      <c r="AJ142" s="86">
        <f t="shared" si="106"/>
        <v>200</v>
      </c>
      <c r="AK142" s="91" t="e">
        <f t="shared" si="107"/>
        <v>#N/A</v>
      </c>
      <c r="AL142" s="91" t="e">
        <f t="shared" si="147"/>
        <v>#N/A</v>
      </c>
      <c r="AM142" s="91">
        <f t="shared" si="109"/>
        <v>6</v>
      </c>
      <c r="AN142" s="91" t="e">
        <f t="shared" si="148"/>
        <v>#N/A</v>
      </c>
      <c r="AO142" s="91" t="e">
        <f t="shared" si="149"/>
        <v>#N/A</v>
      </c>
      <c r="AP142" s="21" t="e">
        <f t="shared" si="150"/>
        <v>#N/A</v>
      </c>
      <c r="AQ142" s="21" t="e">
        <f t="shared" si="151"/>
        <v>#N/A</v>
      </c>
      <c r="AR142" s="92" t="str">
        <f t="shared" si="134"/>
        <v/>
      </c>
      <c r="AS142" s="21" t="str">
        <f t="shared" si="135"/>
        <v/>
      </c>
      <c r="AT142" s="59" t="str">
        <f t="shared" si="112"/>
        <v/>
      </c>
      <c r="AU142" s="105">
        <f t="shared" si="113"/>
        <v>1</v>
      </c>
      <c r="AV142" s="105">
        <f t="shared" si="152"/>
        <v>1</v>
      </c>
      <c r="AW142" s="58">
        <f t="shared" si="153"/>
        <v>2</v>
      </c>
      <c r="AX142" s="58">
        <f t="shared" si="154"/>
        <v>3</v>
      </c>
      <c r="AY142" s="58" t="str">
        <f t="shared" si="155"/>
        <v>avec vannes</v>
      </c>
      <c r="AZ142" s="58" t="str">
        <f t="shared" si="156"/>
        <v>fermé</v>
      </c>
      <c r="BA142" s="60">
        <f t="shared" si="158"/>
        <v>0</v>
      </c>
      <c r="BB142" s="60">
        <f t="shared" si="158"/>
        <v>0</v>
      </c>
      <c r="BC142" s="60">
        <f t="shared" si="158"/>
        <v>0</v>
      </c>
      <c r="BD142" s="60">
        <f t="shared" si="158"/>
        <v>0</v>
      </c>
      <c r="BE142" s="286" t="str">
        <f t="shared" si="118"/>
        <v/>
      </c>
      <c r="BF142" s="58" t="str">
        <f t="shared" si="136"/>
        <v/>
      </c>
      <c r="BG142" s="59" t="str">
        <f t="shared" si="119"/>
        <v/>
      </c>
      <c r="BH142" s="158">
        <f t="shared" ca="1" si="120"/>
        <v>1</v>
      </c>
      <c r="BI142" s="60">
        <f t="shared" ca="1" si="121"/>
        <v>0.15</v>
      </c>
      <c r="BJ142" s="60">
        <f t="shared" si="122"/>
        <v>0.2</v>
      </c>
      <c r="BK142" s="60" t="str">
        <f t="shared" si="137"/>
        <v/>
      </c>
      <c r="BL142" s="21" t="str">
        <f t="shared" si="138"/>
        <v/>
      </c>
      <c r="BM142" s="264" t="str">
        <f t="shared" si="123"/>
        <v/>
      </c>
      <c r="BN142" s="60" t="str">
        <f t="shared" si="139"/>
        <v/>
      </c>
      <c r="BO142" s="136">
        <f t="shared" si="140"/>
        <v>0</v>
      </c>
      <c r="BP142" s="59">
        <f t="shared" si="141"/>
        <v>0</v>
      </c>
      <c r="BQ142" s="136">
        <f t="shared" ca="1" si="124"/>
        <v>1327</v>
      </c>
      <c r="BR142" s="136">
        <f t="shared" ca="1" si="125"/>
        <v>1000.421926910299</v>
      </c>
      <c r="BS142" s="136">
        <f t="shared" ca="1" si="126"/>
        <v>1468800.4219269103</v>
      </c>
      <c r="BT142" s="136">
        <f t="shared" ca="1" si="127"/>
        <v>313875.3446526695</v>
      </c>
      <c r="BU142" s="136">
        <f t="shared" ca="1" si="128"/>
        <v>1000.421926910299</v>
      </c>
    </row>
    <row r="143" spans="1:73" x14ac:dyDescent="0.2">
      <c r="A143" s="87" t="str">
        <f>'Etape 2'!A140</f>
        <v/>
      </c>
      <c r="B143" s="87">
        <f>'Etape 2'!B140</f>
        <v>128</v>
      </c>
      <c r="C143" s="87">
        <f ca="1">'Etape 2'!C140</f>
        <v>173</v>
      </c>
      <c r="D143" s="87"/>
      <c r="E143" s="61">
        <f ca="1">RANK(BU143,BU$16:BU$315,0)+COUNTIF(BU$16:BU143,BU143)-1</f>
        <v>173</v>
      </c>
      <c r="F143" s="87" t="str">
        <f>'Etape 2'!D140</f>
        <v/>
      </c>
      <c r="G143" s="87" t="str">
        <f>'Etape 2'!E140</f>
        <v/>
      </c>
      <c r="H143" s="87" t="str">
        <f>'Etape 2'!F140</f>
        <v/>
      </c>
      <c r="I143" s="87" t="str">
        <f>'Etape 2'!G140</f>
        <v/>
      </c>
      <c r="J143" s="87" t="str">
        <f>'Etape 2'!H140</f>
        <v/>
      </c>
      <c r="K143" s="87" t="str">
        <f>'Etape 2'!I140</f>
        <v/>
      </c>
      <c r="L143" s="87">
        <f ca="1">'Etape 2'!J140</f>
        <v>999999</v>
      </c>
      <c r="M143" s="87">
        <f>'Etape 2'!K140</f>
        <v>999</v>
      </c>
      <c r="N143" s="87">
        <f ca="1">'Etape 2'!L140</f>
        <v>128</v>
      </c>
      <c r="O143" s="259">
        <f t="shared" si="102"/>
        <v>0.3</v>
      </c>
      <c r="P143" s="259">
        <f t="shared" si="103"/>
        <v>1.1000000000000001</v>
      </c>
      <c r="Q143" s="260">
        <f t="shared" si="104"/>
        <v>0</v>
      </c>
      <c r="R143" s="261">
        <f t="shared" si="143"/>
        <v>0</v>
      </c>
      <c r="S143" s="87">
        <f>IF(ISBLANK('Etape 2'!N140),0,VLOOKUP('Etape 2'!N140,Matrix_Uebersetzung,2,FALSE))</f>
        <v>0</v>
      </c>
      <c r="T143" s="87">
        <f>IF(ISBLANK('Etape 2'!O140),0,VLOOKUP('Etape 2'!O140,Matrix_Uebersetzung,2,FALSE))</f>
        <v>0</v>
      </c>
      <c r="U143" s="87">
        <f>IF(ISBLANK('Etape 2'!P140),0,VLOOKUP('Etape 2'!P140,Matrix_Uebersetzung,2,FALSE))</f>
        <v>0</v>
      </c>
      <c r="V143" s="87" t="str">
        <f>'Etape 2'!Q140</f>
        <v/>
      </c>
      <c r="W143" s="87">
        <f>'Etape 2'!R140</f>
        <v>0</v>
      </c>
      <c r="X143" s="87" t="str">
        <f>'Etape 2'!S140</f>
        <v/>
      </c>
      <c r="Y143" s="89" t="str">
        <f>'Etape 2'!T140</f>
        <v/>
      </c>
      <c r="Z143" s="87">
        <f>'Etape 2'!U140</f>
        <v>0</v>
      </c>
      <c r="AA143" s="87" t="str">
        <f>'Etape 2'!V140</f>
        <v/>
      </c>
      <c r="AB143" s="87">
        <f>IF(ISNUMBER('Etape 2'!W140),'Etape 2'!W140,0)</f>
        <v>0</v>
      </c>
      <c r="AC143" s="87">
        <f>IF(ISNUMBER('Etape 2'!X140),'Etape 2'!X140,0)</f>
        <v>0</v>
      </c>
      <c r="AD143" s="87">
        <f>IF(ISNUMBER('Etape 2'!Y140),'Etape 2'!Y140,0)</f>
        <v>0</v>
      </c>
      <c r="AE143" s="87">
        <f>IF(ISNUMBER('Etape 2'!Z140),'Etape 2'!Z140,0)</f>
        <v>0</v>
      </c>
      <c r="AF143" s="86">
        <f t="shared" si="129"/>
        <v>999</v>
      </c>
      <c r="AG143" s="288">
        <f t="shared" si="130"/>
        <v>0.25</v>
      </c>
      <c r="AH143" s="181" t="e">
        <f t="shared" si="105"/>
        <v>#VALUE!</v>
      </c>
      <c r="AI143" s="181" t="e">
        <f t="shared" si="146"/>
        <v>#VALUE!</v>
      </c>
      <c r="AJ143" s="86">
        <f t="shared" si="106"/>
        <v>200</v>
      </c>
      <c r="AK143" s="91" t="e">
        <f t="shared" si="107"/>
        <v>#N/A</v>
      </c>
      <c r="AL143" s="91" t="e">
        <f t="shared" si="147"/>
        <v>#N/A</v>
      </c>
      <c r="AM143" s="91">
        <f t="shared" si="109"/>
        <v>6</v>
      </c>
      <c r="AN143" s="91" t="e">
        <f t="shared" si="148"/>
        <v>#N/A</v>
      </c>
      <c r="AO143" s="91" t="e">
        <f t="shared" si="149"/>
        <v>#N/A</v>
      </c>
      <c r="AP143" s="21" t="e">
        <f t="shared" si="150"/>
        <v>#N/A</v>
      </c>
      <c r="AQ143" s="21" t="e">
        <f t="shared" si="151"/>
        <v>#N/A</v>
      </c>
      <c r="AR143" s="92" t="str">
        <f t="shared" si="134"/>
        <v/>
      </c>
      <c r="AS143" s="21" t="str">
        <f t="shared" si="135"/>
        <v/>
      </c>
      <c r="AT143" s="59" t="str">
        <f t="shared" si="112"/>
        <v/>
      </c>
      <c r="AU143" s="105">
        <f t="shared" si="113"/>
        <v>1</v>
      </c>
      <c r="AV143" s="105">
        <f t="shared" si="152"/>
        <v>1</v>
      </c>
      <c r="AW143" s="58">
        <f t="shared" si="153"/>
        <v>2</v>
      </c>
      <c r="AX143" s="58">
        <f t="shared" si="154"/>
        <v>3</v>
      </c>
      <c r="AY143" s="58" t="str">
        <f t="shared" si="155"/>
        <v>avec vannes</v>
      </c>
      <c r="AZ143" s="58" t="str">
        <f t="shared" si="156"/>
        <v>fermé</v>
      </c>
      <c r="BA143" s="60">
        <f t="shared" si="158"/>
        <v>0</v>
      </c>
      <c r="BB143" s="60">
        <f t="shared" si="158"/>
        <v>0</v>
      </c>
      <c r="BC143" s="60">
        <f t="shared" si="158"/>
        <v>0</v>
      </c>
      <c r="BD143" s="60">
        <f t="shared" si="158"/>
        <v>0</v>
      </c>
      <c r="BE143" s="286" t="str">
        <f t="shared" si="118"/>
        <v/>
      </c>
      <c r="BF143" s="58" t="str">
        <f t="shared" si="136"/>
        <v/>
      </c>
      <c r="BG143" s="59" t="str">
        <f t="shared" si="119"/>
        <v/>
      </c>
      <c r="BH143" s="158">
        <f t="shared" ca="1" si="120"/>
        <v>1</v>
      </c>
      <c r="BI143" s="60">
        <f t="shared" ca="1" si="121"/>
        <v>0.15</v>
      </c>
      <c r="BJ143" s="60">
        <f t="shared" si="122"/>
        <v>0.2</v>
      </c>
      <c r="BK143" s="60" t="str">
        <f t="shared" si="137"/>
        <v/>
      </c>
      <c r="BL143" s="21" t="str">
        <f t="shared" si="138"/>
        <v/>
      </c>
      <c r="BM143" s="264" t="str">
        <f t="shared" si="123"/>
        <v/>
      </c>
      <c r="BN143" s="60" t="str">
        <f t="shared" si="139"/>
        <v/>
      </c>
      <c r="BO143" s="136">
        <f t="shared" si="140"/>
        <v>0</v>
      </c>
      <c r="BP143" s="59">
        <f t="shared" si="141"/>
        <v>0</v>
      </c>
      <c r="BQ143" s="136">
        <f t="shared" ca="1" si="124"/>
        <v>1328</v>
      </c>
      <c r="BR143" s="136">
        <f t="shared" ca="1" si="125"/>
        <v>1000.4252491694352</v>
      </c>
      <c r="BS143" s="136">
        <f t="shared" ca="1" si="126"/>
        <v>1468800.4252491693</v>
      </c>
      <c r="BT143" s="136">
        <f t="shared" ca="1" si="127"/>
        <v>313875.34797492868</v>
      </c>
      <c r="BU143" s="136">
        <f t="shared" ca="1" si="128"/>
        <v>1000.4252491694352</v>
      </c>
    </row>
    <row r="144" spans="1:73" x14ac:dyDescent="0.2">
      <c r="A144" s="87" t="str">
        <f>'Etape 2'!A141</f>
        <v/>
      </c>
      <c r="B144" s="87">
        <f>'Etape 2'!B141</f>
        <v>129</v>
      </c>
      <c r="C144" s="87">
        <f ca="1">'Etape 2'!C141</f>
        <v>172</v>
      </c>
      <c r="D144" s="87"/>
      <c r="E144" s="61">
        <f ca="1">RANK(BU144,BU$16:BU$315,0)+COUNTIF(BU$16:BU144,BU144)-1</f>
        <v>172</v>
      </c>
      <c r="F144" s="87" t="str">
        <f>'Etape 2'!D141</f>
        <v/>
      </c>
      <c r="G144" s="87" t="str">
        <f>'Etape 2'!E141</f>
        <v/>
      </c>
      <c r="H144" s="87" t="str">
        <f>'Etape 2'!F141</f>
        <v/>
      </c>
      <c r="I144" s="87" t="str">
        <f>'Etape 2'!G141</f>
        <v/>
      </c>
      <c r="J144" s="87" t="str">
        <f>'Etape 2'!H141</f>
        <v/>
      </c>
      <c r="K144" s="87" t="str">
        <f>'Etape 2'!I141</f>
        <v/>
      </c>
      <c r="L144" s="87">
        <f ca="1">'Etape 2'!J141</f>
        <v>999999</v>
      </c>
      <c r="M144" s="87">
        <f>'Etape 2'!K141</f>
        <v>999</v>
      </c>
      <c r="N144" s="87">
        <f ca="1">'Etape 2'!L141</f>
        <v>129</v>
      </c>
      <c r="O144" s="259">
        <f t="shared" ref="O144:O207" si="159">VLOOKUP(IF(U144=0,St.Wert_Regulierungsart,U144),Matrix_Regulierungsart.Einsparfaktor,3,FALSE)</f>
        <v>0.3</v>
      </c>
      <c r="P144" s="259">
        <f t="shared" ref="P144:P207" si="160">VLOOKUP(IF(U144=0,St.Wert_Regulierungsart,U144),Matrix_Regulierungsart.Einsparfaktor,4,FALSE)</f>
        <v>1.1000000000000001</v>
      </c>
      <c r="Q144" s="260">
        <f t="shared" ref="Q144:Q207" si="161">IF(AE144&lt;0,St.Wert_Lastfaktor,IF(SUM(AB144:AE144)=0,0,O144+(P144-O144)*SUMPRODUCT(AB$14:AE$14,AB144:AE144)/SUM(AB144:AE144)))</f>
        <v>0</v>
      </c>
      <c r="R144" s="261">
        <f t="shared" si="143"/>
        <v>0</v>
      </c>
      <c r="S144" s="87">
        <f>IF(ISBLANK('Etape 2'!N141),0,VLOOKUP('Etape 2'!N141,Matrix_Uebersetzung,2,FALSE))</f>
        <v>0</v>
      </c>
      <c r="T144" s="87">
        <f>IF(ISBLANK('Etape 2'!O141),0,VLOOKUP('Etape 2'!O141,Matrix_Uebersetzung,2,FALSE))</f>
        <v>0</v>
      </c>
      <c r="U144" s="87">
        <f>IF(ISBLANK('Etape 2'!P141),0,VLOOKUP('Etape 2'!P141,Matrix_Uebersetzung,2,FALSE))</f>
        <v>0</v>
      </c>
      <c r="V144" s="87" t="str">
        <f>'Etape 2'!Q141</f>
        <v/>
      </c>
      <c r="W144" s="87">
        <f>'Etape 2'!R141</f>
        <v>0</v>
      </c>
      <c r="X144" s="87" t="str">
        <f>'Etape 2'!S141</f>
        <v/>
      </c>
      <c r="Y144" s="89" t="str">
        <f>'Etape 2'!T141</f>
        <v/>
      </c>
      <c r="Z144" s="87">
        <f>'Etape 2'!U141</f>
        <v>0</v>
      </c>
      <c r="AA144" s="87" t="str">
        <f>'Etape 2'!V141</f>
        <v/>
      </c>
      <c r="AB144" s="87">
        <f>IF(ISNUMBER('Etape 2'!W141),'Etape 2'!W141,0)</f>
        <v>0</v>
      </c>
      <c r="AC144" s="87">
        <f>IF(ISNUMBER('Etape 2'!X141),'Etape 2'!X141,0)</f>
        <v>0</v>
      </c>
      <c r="AD144" s="87">
        <f>IF(ISNUMBER('Etape 2'!Y141),'Etape 2'!Y141,0)</f>
        <v>0</v>
      </c>
      <c r="AE144" s="87">
        <f>IF(ISNUMBER('Etape 2'!Z141),'Etape 2'!Z141,0)</f>
        <v>0</v>
      </c>
      <c r="AF144" s="86">
        <f t="shared" si="129"/>
        <v>999</v>
      </c>
      <c r="AG144" s="288">
        <f t="shared" si="130"/>
        <v>0.25</v>
      </c>
      <c r="AH144" s="181" t="e">
        <f t="shared" ref="AH144:AH207" si="162">I144*J144</f>
        <v>#VALUE!</v>
      </c>
      <c r="AI144" s="181" t="e">
        <f t="shared" si="146"/>
        <v>#VALUE!</v>
      </c>
      <c r="AJ144" s="86">
        <f t="shared" ref="AJ144:AJ207" si="163">IF(I144&lt;Wert_Motor.max.Leistung.fuer.Berechnung.Wirkungsgrad,I144,Wert_Motor.max.Leistung.fuer.Berechnung.Wirkungsgrad)</f>
        <v>200</v>
      </c>
      <c r="AK144" s="91" t="e">
        <f t="shared" ref="AK144:AK207" si="164">VLOOKUP(I144,Matrix_Motor.LeistungsKl.ID,2,1)</f>
        <v>#N/A</v>
      </c>
      <c r="AL144" s="91" t="e">
        <f t="shared" si="147"/>
        <v>#N/A</v>
      </c>
      <c r="AM144" s="91">
        <f t="shared" si="109"/>
        <v>6</v>
      </c>
      <c r="AN144" s="91" t="e">
        <f t="shared" si="148"/>
        <v>#N/A</v>
      </c>
      <c r="AO144" s="91" t="e">
        <f t="shared" si="149"/>
        <v>#N/A</v>
      </c>
      <c r="AP144" s="21" t="e">
        <f t="shared" si="150"/>
        <v>#N/A</v>
      </c>
      <c r="AQ144" s="21" t="e">
        <f t="shared" si="151"/>
        <v>#N/A</v>
      </c>
      <c r="AR144" s="92" t="str">
        <f t="shared" si="134"/>
        <v/>
      </c>
      <c r="AS144" s="21" t="str">
        <f t="shared" si="135"/>
        <v/>
      </c>
      <c r="AT144" s="59" t="str">
        <f t="shared" ref="AT144:AT207" si="165">IF(AND(ISNUMBER(AR144),AE144&gt;=0),AS144*Preis_Strom.Schritt2/100,"")</f>
        <v/>
      </c>
      <c r="AU144" s="105">
        <f t="shared" si="113"/>
        <v>1</v>
      </c>
      <c r="AV144" s="105">
        <f t="shared" si="152"/>
        <v>1</v>
      </c>
      <c r="AW144" s="58">
        <f t="shared" si="153"/>
        <v>2</v>
      </c>
      <c r="AX144" s="58">
        <f t="shared" si="154"/>
        <v>3</v>
      </c>
      <c r="AY144" s="58" t="str">
        <f t="shared" si="155"/>
        <v>avec vannes</v>
      </c>
      <c r="AZ144" s="58" t="str">
        <f t="shared" si="156"/>
        <v>fermé</v>
      </c>
      <c r="BA144" s="60">
        <f t="shared" si="158"/>
        <v>0</v>
      </c>
      <c r="BB144" s="60">
        <f t="shared" si="158"/>
        <v>0</v>
      </c>
      <c r="BC144" s="60">
        <f t="shared" si="158"/>
        <v>0</v>
      </c>
      <c r="BD144" s="60">
        <f t="shared" si="158"/>
        <v>0</v>
      </c>
      <c r="BE144" s="286" t="str">
        <f t="shared" ref="BE144:BE207" si="166">IF(AND(ISNUMBER(A144),AE144&gt;=0),IF(SUM(AB144:AE144)&gt;0,SUMPRODUCT(AB144:AE144,BA144:BD144)/SUM(AB144:AE144),0)*VLOOKUP(IF(U144=0,St.Wert_Regulierungsart,U144),Matrix_Regulierungsart.Einsparfaktor,2,FALSE),"")</f>
        <v/>
      </c>
      <c r="BF144" s="58" t="str">
        <f t="shared" si="136"/>
        <v/>
      </c>
      <c r="BG144" s="59" t="str">
        <f t="shared" ref="BG144:BG207" si="167">IF(AND(ISNUMBER(A144),AE144&gt;=0),BF144*Preis_Strom.Schritt2/100,"")</f>
        <v/>
      </c>
      <c r="BH144" s="158">
        <f t="shared" ref="BH144:BH207" ca="1" si="168">VLOOKUP(C144,Matrix_Berechnungen1.Rang.Pumpendaten.Zwischenresultate,BH$12,0)</f>
        <v>1</v>
      </c>
      <c r="BI144" s="60">
        <f t="shared" ref="BI144:BI207" ca="1" si="169">VLOOKUP(BH144,Matrix_Anlage.AlterID.Einsparpotential.und.EnergieAnteil,5,0)</f>
        <v>0.15</v>
      </c>
      <c r="BJ144" s="60">
        <f t="shared" ref="BJ144:BJ207" si="170">VLOOKUP(AG144,Matrix_Redim.Teilvolumenstrom.Einsparpotential.ID,2,0)</f>
        <v>0.2</v>
      </c>
      <c r="BK144" s="60" t="str">
        <f t="shared" si="137"/>
        <v/>
      </c>
      <c r="BL144" s="21" t="str">
        <f t="shared" si="138"/>
        <v/>
      </c>
      <c r="BM144" s="264" t="str">
        <f t="shared" ref="BM144:BM207" si="171">IF(AND(ISNUMBER(A144),AE144&gt;=0),BL144*Preis_Strom.Schritt2/100,"")</f>
        <v/>
      </c>
      <c r="BN144" s="60" t="str">
        <f t="shared" si="139"/>
        <v/>
      </c>
      <c r="BO144" s="136">
        <f t="shared" si="140"/>
        <v>0</v>
      </c>
      <c r="BP144" s="59">
        <f t="shared" si="141"/>
        <v>0</v>
      </c>
      <c r="BQ144" s="136">
        <f t="shared" ref="BQ144:BQ207" ca="1" si="172">VLOOKUP(M144,Matrix_Sortierung.Schritt2.Multiplikator.ID.BewertungSchritt1,2,FALSE)*MAX($N$16:$N$315)+$N144</f>
        <v>1329</v>
      </c>
      <c r="BR144" s="136">
        <f t="shared" ref="BR144:BR207" ca="1" si="173">VLOOKUP(M144,Matrix_Sortierung.Schritt2.Multiplikator.ID.BewertungSchritt1,2,FALSE)*MAX($I$16:$I$315)-IF(ISNUMBER(I144),I144,0)+$N144/(MAX($N$16:$N$315)+1)</f>
        <v>1000.4285714285714</v>
      </c>
      <c r="BS144" s="136">
        <f t="shared" ref="BS144:BS207" ca="1" si="174">VLOOKUP(M144,Matrix_Sortierung.Schritt2.Multiplikator.ID.BewertungSchritt1,2,FALSE)*MAX($R$16:$R$315)-R144+$N144/(MAX($N$16:$N$315)+1)</f>
        <v>1468800.4285714286</v>
      </c>
      <c r="BT144" s="136">
        <f t="shared" ref="BT144:BT207" ca="1" si="175">VLOOKUP(M144,Matrix_Sortierung.Schritt2.Multiplikator.ID.BewertungSchritt1,2,FALSE)*MAX($BO$16:$BO$315)-BO144+$N144/(MAX($N$16:$N$315)+1)</f>
        <v>313875.35129718779</v>
      </c>
      <c r="BU144" s="136">
        <f t="shared" ref="BU144:BU207" ca="1" si="176">INDIRECT(ADDRESS(ROW(BU144),Wert_Sortiervariante.Resultate.SpaltenNr))</f>
        <v>1000.4285714285714</v>
      </c>
    </row>
    <row r="145" spans="1:73" x14ac:dyDescent="0.2">
      <c r="A145" s="87" t="str">
        <f>'Etape 2'!A142</f>
        <v/>
      </c>
      <c r="B145" s="87">
        <f>'Etape 2'!B142</f>
        <v>130</v>
      </c>
      <c r="C145" s="87">
        <f ca="1">'Etape 2'!C142</f>
        <v>171</v>
      </c>
      <c r="D145" s="87"/>
      <c r="E145" s="61">
        <f ca="1">RANK(BU145,BU$16:BU$315,0)+COUNTIF(BU$16:BU145,BU145)-1</f>
        <v>171</v>
      </c>
      <c r="F145" s="87" t="str">
        <f>'Etape 2'!D142</f>
        <v/>
      </c>
      <c r="G145" s="87" t="str">
        <f>'Etape 2'!E142</f>
        <v/>
      </c>
      <c r="H145" s="87" t="str">
        <f>'Etape 2'!F142</f>
        <v/>
      </c>
      <c r="I145" s="87" t="str">
        <f>'Etape 2'!G142</f>
        <v/>
      </c>
      <c r="J145" s="87" t="str">
        <f>'Etape 2'!H142</f>
        <v/>
      </c>
      <c r="K145" s="87" t="str">
        <f>'Etape 2'!I142</f>
        <v/>
      </c>
      <c r="L145" s="87">
        <f ca="1">'Etape 2'!J142</f>
        <v>999999</v>
      </c>
      <c r="M145" s="87">
        <f>'Etape 2'!K142</f>
        <v>999</v>
      </c>
      <c r="N145" s="87">
        <f ca="1">'Etape 2'!L142</f>
        <v>130</v>
      </c>
      <c r="O145" s="259">
        <f t="shared" si="159"/>
        <v>0.3</v>
      </c>
      <c r="P145" s="259">
        <f t="shared" si="160"/>
        <v>1.1000000000000001</v>
      </c>
      <c r="Q145" s="260">
        <f t="shared" si="161"/>
        <v>0</v>
      </c>
      <c r="R145" s="261">
        <f t="shared" si="143"/>
        <v>0</v>
      </c>
      <c r="S145" s="87">
        <f>IF(ISBLANK('Etape 2'!N142),0,VLOOKUP('Etape 2'!N142,Matrix_Uebersetzung,2,FALSE))</f>
        <v>0</v>
      </c>
      <c r="T145" s="87">
        <f>IF(ISBLANK('Etape 2'!O142),0,VLOOKUP('Etape 2'!O142,Matrix_Uebersetzung,2,FALSE))</f>
        <v>0</v>
      </c>
      <c r="U145" s="87">
        <f>IF(ISBLANK('Etape 2'!P142),0,VLOOKUP('Etape 2'!P142,Matrix_Uebersetzung,2,FALSE))</f>
        <v>0</v>
      </c>
      <c r="V145" s="87" t="str">
        <f>'Etape 2'!Q142</f>
        <v/>
      </c>
      <c r="W145" s="87">
        <f>'Etape 2'!R142</f>
        <v>0</v>
      </c>
      <c r="X145" s="87" t="str">
        <f>'Etape 2'!S142</f>
        <v/>
      </c>
      <c r="Y145" s="89" t="str">
        <f>'Etape 2'!T142</f>
        <v/>
      </c>
      <c r="Z145" s="87">
        <f>'Etape 2'!U142</f>
        <v>0</v>
      </c>
      <c r="AA145" s="87" t="str">
        <f>'Etape 2'!V142</f>
        <v/>
      </c>
      <c r="AB145" s="87">
        <f>IF(ISNUMBER('Etape 2'!W142),'Etape 2'!W142,0)</f>
        <v>0</v>
      </c>
      <c r="AC145" s="87">
        <f>IF(ISNUMBER('Etape 2'!X142),'Etape 2'!X142,0)</f>
        <v>0</v>
      </c>
      <c r="AD145" s="87">
        <f>IF(ISNUMBER('Etape 2'!Y142),'Etape 2'!Y142,0)</f>
        <v>0</v>
      </c>
      <c r="AE145" s="87">
        <f>IF(ISNUMBER('Etape 2'!Z142),'Etape 2'!Z142,0)</f>
        <v>0</v>
      </c>
      <c r="AF145" s="86">
        <f t="shared" ref="AF145:AF208" si="177">IF(AE145&lt;0,-1,1)*M145</f>
        <v>999</v>
      </c>
      <c r="AG145" s="288">
        <f t="shared" ref="AG145:AG208" si="178">IF(AE145=0,IF(AD145=0,IF(AC145=0,AB$14,AC$14),AD$14),AE$14)</f>
        <v>0.25</v>
      </c>
      <c r="AH145" s="181" t="e">
        <f t="shared" si="162"/>
        <v>#VALUE!</v>
      </c>
      <c r="AI145" s="181" t="e">
        <f t="shared" si="146"/>
        <v>#VALUE!</v>
      </c>
      <c r="AJ145" s="86">
        <f t="shared" si="163"/>
        <v>200</v>
      </c>
      <c r="AK145" s="91" t="e">
        <f t="shared" si="164"/>
        <v>#N/A</v>
      </c>
      <c r="AL145" s="91" t="e">
        <f t="shared" si="147"/>
        <v>#N/A</v>
      </c>
      <c r="AM145" s="91">
        <f t="shared" si="109"/>
        <v>6</v>
      </c>
      <c r="AN145" s="91" t="e">
        <f t="shared" si="148"/>
        <v>#N/A</v>
      </c>
      <c r="AO145" s="91" t="e">
        <f t="shared" si="149"/>
        <v>#N/A</v>
      </c>
      <c r="AP145" s="21" t="e">
        <f t="shared" si="150"/>
        <v>#N/A</v>
      </c>
      <c r="AQ145" s="21" t="e">
        <f t="shared" si="151"/>
        <v>#N/A</v>
      </c>
      <c r="AR145" s="92" t="str">
        <f t="shared" ref="AR145:AR208" si="179">IF(AND(ISNUMBER(A145),ISNUMBER(K145+AP145+AQ145)),IF(ISERROR(1-AP145/AQ145),0,1-AP145/AQ145),"")</f>
        <v/>
      </c>
      <c r="AS145" s="21" t="str">
        <f t="shared" ref="AS145:AS208" si="180">IF(AND(ISNUMBER(AR145),AE145&gt;=0),R145*AR145,"")</f>
        <v/>
      </c>
      <c r="AT145" s="59" t="str">
        <f t="shared" si="165"/>
        <v/>
      </c>
      <c r="AU145" s="105">
        <f t="shared" si="113"/>
        <v>1</v>
      </c>
      <c r="AV145" s="105">
        <f t="shared" si="152"/>
        <v>1</v>
      </c>
      <c r="AW145" s="58">
        <f t="shared" si="153"/>
        <v>2</v>
      </c>
      <c r="AX145" s="58">
        <f t="shared" si="154"/>
        <v>3</v>
      </c>
      <c r="AY145" s="58" t="str">
        <f t="shared" si="155"/>
        <v>avec vannes</v>
      </c>
      <c r="AZ145" s="58" t="str">
        <f t="shared" si="156"/>
        <v>fermé</v>
      </c>
      <c r="BA145" s="60">
        <f t="shared" si="158"/>
        <v>0</v>
      </c>
      <c r="BB145" s="60">
        <f t="shared" si="158"/>
        <v>0</v>
      </c>
      <c r="BC145" s="60">
        <f t="shared" si="158"/>
        <v>0</v>
      </c>
      <c r="BD145" s="60">
        <f t="shared" si="158"/>
        <v>0</v>
      </c>
      <c r="BE145" s="286" t="str">
        <f t="shared" si="166"/>
        <v/>
      </c>
      <c r="BF145" s="58" t="str">
        <f t="shared" ref="BF145:BF208" si="181">IF(AND(ISNUMBER(A145),AE145&gt;=0),R145*BE145,"")</f>
        <v/>
      </c>
      <c r="BG145" s="59" t="str">
        <f t="shared" si="167"/>
        <v/>
      </c>
      <c r="BH145" s="158">
        <f t="shared" ca="1" si="168"/>
        <v>1</v>
      </c>
      <c r="BI145" s="60">
        <f t="shared" ca="1" si="169"/>
        <v>0.15</v>
      </c>
      <c r="BJ145" s="60">
        <f t="shared" si="170"/>
        <v>0.2</v>
      </c>
      <c r="BK145" s="60" t="str">
        <f t="shared" ref="BK145:BK208" si="182">IF(AND(ISNUMBER(A145),AE145&gt;=0),1-((1-BI145)*(1-BJ145)),"")</f>
        <v/>
      </c>
      <c r="BL145" s="21" t="str">
        <f t="shared" ref="BL145:BL208" si="183">IF(AND(ISNUMBER(A145),AE145&gt;=0),R145*BK145,"")</f>
        <v/>
      </c>
      <c r="BM145" s="264" t="str">
        <f t="shared" si="171"/>
        <v/>
      </c>
      <c r="BN145" s="60" t="str">
        <f t="shared" ref="BN145:BN208" si="184">IF(AND(ISNUMBER(A145),AE145&gt;=0),(1-(1-IF(ISNUMBER(AR145),AR145,0))*(1-BE145)*(1-BK145)),"")</f>
        <v/>
      </c>
      <c r="BO145" s="136">
        <f t="shared" ref="BO145:BO208" si="185">IF(AND(ISNUMBER(A145),AE145&gt;=0),R145*BN145,0)</f>
        <v>0</v>
      </c>
      <c r="BP145" s="59">
        <f t="shared" ref="BP145:BP208" si="186">BO145*Preis_Strom.Schritt2/100</f>
        <v>0</v>
      </c>
      <c r="BQ145" s="136">
        <f t="shared" ca="1" si="172"/>
        <v>1330</v>
      </c>
      <c r="BR145" s="136">
        <f t="shared" ca="1" si="173"/>
        <v>1000.4318936877077</v>
      </c>
      <c r="BS145" s="136">
        <f t="shared" ca="1" si="174"/>
        <v>1468800.4318936877</v>
      </c>
      <c r="BT145" s="136">
        <f t="shared" ca="1" si="175"/>
        <v>313875.35461944691</v>
      </c>
      <c r="BU145" s="136">
        <f t="shared" ca="1" si="176"/>
        <v>1000.4318936877077</v>
      </c>
    </row>
    <row r="146" spans="1:73" x14ac:dyDescent="0.2">
      <c r="A146" s="87" t="str">
        <f>'Etape 2'!A143</f>
        <v/>
      </c>
      <c r="B146" s="87">
        <f>'Etape 2'!B143</f>
        <v>131</v>
      </c>
      <c r="C146" s="87">
        <f ca="1">'Etape 2'!C143</f>
        <v>170</v>
      </c>
      <c r="D146" s="87"/>
      <c r="E146" s="61">
        <f ca="1">RANK(BU146,BU$16:BU$315,0)+COUNTIF(BU$16:BU146,BU146)-1</f>
        <v>170</v>
      </c>
      <c r="F146" s="87" t="str">
        <f>'Etape 2'!D143</f>
        <v/>
      </c>
      <c r="G146" s="87" t="str">
        <f>'Etape 2'!E143</f>
        <v/>
      </c>
      <c r="H146" s="87" t="str">
        <f>'Etape 2'!F143</f>
        <v/>
      </c>
      <c r="I146" s="87" t="str">
        <f>'Etape 2'!G143</f>
        <v/>
      </c>
      <c r="J146" s="87" t="str">
        <f>'Etape 2'!H143</f>
        <v/>
      </c>
      <c r="K146" s="87" t="str">
        <f>'Etape 2'!I143</f>
        <v/>
      </c>
      <c r="L146" s="87">
        <f ca="1">'Etape 2'!J143</f>
        <v>999999</v>
      </c>
      <c r="M146" s="87">
        <f>'Etape 2'!K143</f>
        <v>999</v>
      </c>
      <c r="N146" s="87">
        <f ca="1">'Etape 2'!L143</f>
        <v>131</v>
      </c>
      <c r="O146" s="259">
        <f t="shared" si="159"/>
        <v>0.3</v>
      </c>
      <c r="P146" s="259">
        <f t="shared" si="160"/>
        <v>1.1000000000000001</v>
      </c>
      <c r="Q146" s="260">
        <f t="shared" si="161"/>
        <v>0</v>
      </c>
      <c r="R146" s="261">
        <f t="shared" si="143"/>
        <v>0</v>
      </c>
      <c r="S146" s="87">
        <f>IF(ISBLANK('Etape 2'!N143),0,VLOOKUP('Etape 2'!N143,Matrix_Uebersetzung,2,FALSE))</f>
        <v>0</v>
      </c>
      <c r="T146" s="87">
        <f>IF(ISBLANK('Etape 2'!O143),0,VLOOKUP('Etape 2'!O143,Matrix_Uebersetzung,2,FALSE))</f>
        <v>0</v>
      </c>
      <c r="U146" s="87">
        <f>IF(ISBLANK('Etape 2'!P143),0,VLOOKUP('Etape 2'!P143,Matrix_Uebersetzung,2,FALSE))</f>
        <v>0</v>
      </c>
      <c r="V146" s="87" t="str">
        <f>'Etape 2'!Q143</f>
        <v/>
      </c>
      <c r="W146" s="87">
        <f>'Etape 2'!R143</f>
        <v>0</v>
      </c>
      <c r="X146" s="87" t="str">
        <f>'Etape 2'!S143</f>
        <v/>
      </c>
      <c r="Y146" s="89" t="str">
        <f>'Etape 2'!T143</f>
        <v/>
      </c>
      <c r="Z146" s="87">
        <f>'Etape 2'!U143</f>
        <v>0</v>
      </c>
      <c r="AA146" s="87" t="str">
        <f>'Etape 2'!V143</f>
        <v/>
      </c>
      <c r="AB146" s="87">
        <f>IF(ISNUMBER('Etape 2'!W143),'Etape 2'!W143,0)</f>
        <v>0</v>
      </c>
      <c r="AC146" s="87">
        <f>IF(ISNUMBER('Etape 2'!X143),'Etape 2'!X143,0)</f>
        <v>0</v>
      </c>
      <c r="AD146" s="87">
        <f>IF(ISNUMBER('Etape 2'!Y143),'Etape 2'!Y143,0)</f>
        <v>0</v>
      </c>
      <c r="AE146" s="87">
        <f>IF(ISNUMBER('Etape 2'!Z143),'Etape 2'!Z143,0)</f>
        <v>0</v>
      </c>
      <c r="AF146" s="86">
        <f t="shared" si="177"/>
        <v>999</v>
      </c>
      <c r="AG146" s="288">
        <f t="shared" si="178"/>
        <v>0.25</v>
      </c>
      <c r="AH146" s="181" t="e">
        <f t="shared" si="162"/>
        <v>#VALUE!</v>
      </c>
      <c r="AI146" s="181" t="e">
        <f t="shared" si="146"/>
        <v>#VALUE!</v>
      </c>
      <c r="AJ146" s="86">
        <f t="shared" si="163"/>
        <v>200</v>
      </c>
      <c r="AK146" s="91" t="e">
        <f t="shared" si="164"/>
        <v>#N/A</v>
      </c>
      <c r="AL146" s="91" t="e">
        <f t="shared" si="147"/>
        <v>#N/A</v>
      </c>
      <c r="AM146" s="91">
        <f t="shared" si="109"/>
        <v>6</v>
      </c>
      <c r="AN146" s="91" t="e">
        <f t="shared" si="148"/>
        <v>#N/A</v>
      </c>
      <c r="AO146" s="91" t="e">
        <f t="shared" si="149"/>
        <v>#N/A</v>
      </c>
      <c r="AP146" s="21" t="e">
        <f t="shared" si="150"/>
        <v>#N/A</v>
      </c>
      <c r="AQ146" s="21" t="e">
        <f t="shared" si="151"/>
        <v>#N/A</v>
      </c>
      <c r="AR146" s="92" t="str">
        <f t="shared" si="179"/>
        <v/>
      </c>
      <c r="AS146" s="21" t="str">
        <f t="shared" si="180"/>
        <v/>
      </c>
      <c r="AT146" s="59" t="str">
        <f t="shared" si="165"/>
        <v/>
      </c>
      <c r="AU146" s="105">
        <f t="shared" si="113"/>
        <v>1</v>
      </c>
      <c r="AV146" s="105">
        <f t="shared" si="152"/>
        <v>1</v>
      </c>
      <c r="AW146" s="58">
        <f t="shared" si="153"/>
        <v>2</v>
      </c>
      <c r="AX146" s="58">
        <f t="shared" si="154"/>
        <v>3</v>
      </c>
      <c r="AY146" s="58" t="str">
        <f t="shared" si="155"/>
        <v>avec vannes</v>
      </c>
      <c r="AZ146" s="58" t="str">
        <f t="shared" si="156"/>
        <v>fermé</v>
      </c>
      <c r="BA146" s="60">
        <f t="shared" si="158"/>
        <v>0</v>
      </c>
      <c r="BB146" s="60">
        <f t="shared" si="158"/>
        <v>0</v>
      </c>
      <c r="BC146" s="60">
        <f t="shared" si="158"/>
        <v>0</v>
      </c>
      <c r="BD146" s="60">
        <f t="shared" si="158"/>
        <v>0</v>
      </c>
      <c r="BE146" s="286" t="str">
        <f t="shared" si="166"/>
        <v/>
      </c>
      <c r="BF146" s="58" t="str">
        <f t="shared" si="181"/>
        <v/>
      </c>
      <c r="BG146" s="59" t="str">
        <f t="shared" si="167"/>
        <v/>
      </c>
      <c r="BH146" s="158">
        <f t="shared" ca="1" si="168"/>
        <v>1</v>
      </c>
      <c r="BI146" s="60">
        <f t="shared" ca="1" si="169"/>
        <v>0.15</v>
      </c>
      <c r="BJ146" s="60">
        <f t="shared" si="170"/>
        <v>0.2</v>
      </c>
      <c r="BK146" s="60" t="str">
        <f t="shared" si="182"/>
        <v/>
      </c>
      <c r="BL146" s="21" t="str">
        <f t="shared" si="183"/>
        <v/>
      </c>
      <c r="BM146" s="264" t="str">
        <f t="shared" si="171"/>
        <v/>
      </c>
      <c r="BN146" s="60" t="str">
        <f t="shared" si="184"/>
        <v/>
      </c>
      <c r="BO146" s="136">
        <f t="shared" si="185"/>
        <v>0</v>
      </c>
      <c r="BP146" s="59">
        <f t="shared" si="186"/>
        <v>0</v>
      </c>
      <c r="BQ146" s="136">
        <f t="shared" ca="1" si="172"/>
        <v>1331</v>
      </c>
      <c r="BR146" s="136">
        <f t="shared" ca="1" si="173"/>
        <v>1000.4352159468439</v>
      </c>
      <c r="BS146" s="136">
        <f t="shared" ca="1" si="174"/>
        <v>1468800.4352159468</v>
      </c>
      <c r="BT146" s="136">
        <f t="shared" ca="1" si="175"/>
        <v>313875.35794170608</v>
      </c>
      <c r="BU146" s="136">
        <f t="shared" ca="1" si="176"/>
        <v>1000.4352159468439</v>
      </c>
    </row>
    <row r="147" spans="1:73" x14ac:dyDescent="0.2">
      <c r="A147" s="87" t="str">
        <f>'Etape 2'!A144</f>
        <v/>
      </c>
      <c r="B147" s="87">
        <f>'Etape 2'!B144</f>
        <v>132</v>
      </c>
      <c r="C147" s="87">
        <f ca="1">'Etape 2'!C144</f>
        <v>169</v>
      </c>
      <c r="D147" s="87"/>
      <c r="E147" s="61">
        <f ca="1">RANK(BU147,BU$16:BU$315,0)+COUNTIF(BU$16:BU147,BU147)-1</f>
        <v>169</v>
      </c>
      <c r="F147" s="87" t="str">
        <f>'Etape 2'!D144</f>
        <v/>
      </c>
      <c r="G147" s="87" t="str">
        <f>'Etape 2'!E144</f>
        <v/>
      </c>
      <c r="H147" s="87" t="str">
        <f>'Etape 2'!F144</f>
        <v/>
      </c>
      <c r="I147" s="87" t="str">
        <f>'Etape 2'!G144</f>
        <v/>
      </c>
      <c r="J147" s="87" t="str">
        <f>'Etape 2'!H144</f>
        <v/>
      </c>
      <c r="K147" s="87" t="str">
        <f>'Etape 2'!I144</f>
        <v/>
      </c>
      <c r="L147" s="87">
        <f ca="1">'Etape 2'!J144</f>
        <v>999999</v>
      </c>
      <c r="M147" s="87">
        <f>'Etape 2'!K144</f>
        <v>999</v>
      </c>
      <c r="N147" s="87">
        <f ca="1">'Etape 2'!L144</f>
        <v>132</v>
      </c>
      <c r="O147" s="259">
        <f t="shared" si="159"/>
        <v>0.3</v>
      </c>
      <c r="P147" s="259">
        <f t="shared" si="160"/>
        <v>1.1000000000000001</v>
      </c>
      <c r="Q147" s="260">
        <f t="shared" si="161"/>
        <v>0</v>
      </c>
      <c r="R147" s="261">
        <f t="shared" si="143"/>
        <v>0</v>
      </c>
      <c r="S147" s="87">
        <f>IF(ISBLANK('Etape 2'!N144),0,VLOOKUP('Etape 2'!N144,Matrix_Uebersetzung,2,FALSE))</f>
        <v>0</v>
      </c>
      <c r="T147" s="87">
        <f>IF(ISBLANK('Etape 2'!O144),0,VLOOKUP('Etape 2'!O144,Matrix_Uebersetzung,2,FALSE))</f>
        <v>0</v>
      </c>
      <c r="U147" s="87">
        <f>IF(ISBLANK('Etape 2'!P144),0,VLOOKUP('Etape 2'!P144,Matrix_Uebersetzung,2,FALSE))</f>
        <v>0</v>
      </c>
      <c r="V147" s="87" t="str">
        <f>'Etape 2'!Q144</f>
        <v/>
      </c>
      <c r="W147" s="87">
        <f>'Etape 2'!R144</f>
        <v>0</v>
      </c>
      <c r="X147" s="87" t="str">
        <f>'Etape 2'!S144</f>
        <v/>
      </c>
      <c r="Y147" s="89" t="str">
        <f>'Etape 2'!T144</f>
        <v/>
      </c>
      <c r="Z147" s="87">
        <f>'Etape 2'!U144</f>
        <v>0</v>
      </c>
      <c r="AA147" s="87" t="str">
        <f>'Etape 2'!V144</f>
        <v/>
      </c>
      <c r="AB147" s="87">
        <f>IF(ISNUMBER('Etape 2'!W144),'Etape 2'!W144,0)</f>
        <v>0</v>
      </c>
      <c r="AC147" s="87">
        <f>IF(ISNUMBER('Etape 2'!X144),'Etape 2'!X144,0)</f>
        <v>0</v>
      </c>
      <c r="AD147" s="87">
        <f>IF(ISNUMBER('Etape 2'!Y144),'Etape 2'!Y144,0)</f>
        <v>0</v>
      </c>
      <c r="AE147" s="87">
        <f>IF(ISNUMBER('Etape 2'!Z144),'Etape 2'!Z144,0)</f>
        <v>0</v>
      </c>
      <c r="AF147" s="86">
        <f t="shared" si="177"/>
        <v>999</v>
      </c>
      <c r="AG147" s="288">
        <f t="shared" si="178"/>
        <v>0.25</v>
      </c>
      <c r="AH147" s="181" t="e">
        <f t="shared" si="162"/>
        <v>#VALUE!</v>
      </c>
      <c r="AI147" s="181" t="e">
        <f t="shared" si="146"/>
        <v>#VALUE!</v>
      </c>
      <c r="AJ147" s="86">
        <f t="shared" si="163"/>
        <v>200</v>
      </c>
      <c r="AK147" s="91" t="e">
        <f t="shared" si="164"/>
        <v>#N/A</v>
      </c>
      <c r="AL147" s="91" t="e">
        <f t="shared" si="147"/>
        <v>#N/A</v>
      </c>
      <c r="AM147" s="91">
        <f t="shared" si="109"/>
        <v>6</v>
      </c>
      <c r="AN147" s="91" t="e">
        <f t="shared" si="148"/>
        <v>#N/A</v>
      </c>
      <c r="AO147" s="91" t="e">
        <f t="shared" si="149"/>
        <v>#N/A</v>
      </c>
      <c r="AP147" s="21" t="e">
        <f t="shared" si="150"/>
        <v>#N/A</v>
      </c>
      <c r="AQ147" s="21" t="e">
        <f t="shared" si="151"/>
        <v>#N/A</v>
      </c>
      <c r="AR147" s="92" t="str">
        <f t="shared" si="179"/>
        <v/>
      </c>
      <c r="AS147" s="21" t="str">
        <f t="shared" si="180"/>
        <v/>
      </c>
      <c r="AT147" s="59" t="str">
        <f t="shared" si="165"/>
        <v/>
      </c>
      <c r="AU147" s="105">
        <f t="shared" si="113"/>
        <v>1</v>
      </c>
      <c r="AV147" s="105">
        <f t="shared" si="152"/>
        <v>1</v>
      </c>
      <c r="AW147" s="58">
        <f t="shared" si="153"/>
        <v>2</v>
      </c>
      <c r="AX147" s="58">
        <f t="shared" si="154"/>
        <v>3</v>
      </c>
      <c r="AY147" s="58" t="str">
        <f t="shared" si="155"/>
        <v>avec vannes</v>
      </c>
      <c r="AZ147" s="58" t="str">
        <f t="shared" si="156"/>
        <v>fermé</v>
      </c>
      <c r="BA147" s="60">
        <f t="shared" si="158"/>
        <v>0</v>
      </c>
      <c r="BB147" s="60">
        <f t="shared" si="158"/>
        <v>0</v>
      </c>
      <c r="BC147" s="60">
        <f t="shared" si="158"/>
        <v>0</v>
      </c>
      <c r="BD147" s="60">
        <f t="shared" si="158"/>
        <v>0</v>
      </c>
      <c r="BE147" s="286" t="str">
        <f t="shared" si="166"/>
        <v/>
      </c>
      <c r="BF147" s="58" t="str">
        <f t="shared" si="181"/>
        <v/>
      </c>
      <c r="BG147" s="59" t="str">
        <f t="shared" si="167"/>
        <v/>
      </c>
      <c r="BH147" s="158">
        <f t="shared" ca="1" si="168"/>
        <v>1</v>
      </c>
      <c r="BI147" s="60">
        <f t="shared" ca="1" si="169"/>
        <v>0.15</v>
      </c>
      <c r="BJ147" s="60">
        <f t="shared" si="170"/>
        <v>0.2</v>
      </c>
      <c r="BK147" s="60" t="str">
        <f t="shared" si="182"/>
        <v/>
      </c>
      <c r="BL147" s="21" t="str">
        <f t="shared" si="183"/>
        <v/>
      </c>
      <c r="BM147" s="264" t="str">
        <f t="shared" si="171"/>
        <v/>
      </c>
      <c r="BN147" s="60" t="str">
        <f t="shared" si="184"/>
        <v/>
      </c>
      <c r="BO147" s="136">
        <f t="shared" si="185"/>
        <v>0</v>
      </c>
      <c r="BP147" s="59">
        <f t="shared" si="186"/>
        <v>0</v>
      </c>
      <c r="BQ147" s="136">
        <f t="shared" ca="1" si="172"/>
        <v>1332</v>
      </c>
      <c r="BR147" s="136">
        <f t="shared" ca="1" si="173"/>
        <v>1000.4385382059801</v>
      </c>
      <c r="BS147" s="136">
        <f t="shared" ca="1" si="174"/>
        <v>1468800.438538206</v>
      </c>
      <c r="BT147" s="136">
        <f t="shared" ca="1" si="175"/>
        <v>313875.3612639652</v>
      </c>
      <c r="BU147" s="136">
        <f t="shared" ca="1" si="176"/>
        <v>1000.4385382059801</v>
      </c>
    </row>
    <row r="148" spans="1:73" x14ac:dyDescent="0.2">
      <c r="A148" s="87" t="str">
        <f>'Etape 2'!A145</f>
        <v/>
      </c>
      <c r="B148" s="87">
        <f>'Etape 2'!B145</f>
        <v>133</v>
      </c>
      <c r="C148" s="87">
        <f ca="1">'Etape 2'!C145</f>
        <v>168</v>
      </c>
      <c r="D148" s="87"/>
      <c r="E148" s="61">
        <f ca="1">RANK(BU148,BU$16:BU$315,0)+COUNTIF(BU$16:BU148,BU148)-1</f>
        <v>168</v>
      </c>
      <c r="F148" s="87" t="str">
        <f>'Etape 2'!D145</f>
        <v/>
      </c>
      <c r="G148" s="87" t="str">
        <f>'Etape 2'!E145</f>
        <v/>
      </c>
      <c r="H148" s="87" t="str">
        <f>'Etape 2'!F145</f>
        <v/>
      </c>
      <c r="I148" s="87" t="str">
        <f>'Etape 2'!G145</f>
        <v/>
      </c>
      <c r="J148" s="87" t="str">
        <f>'Etape 2'!H145</f>
        <v/>
      </c>
      <c r="K148" s="87" t="str">
        <f>'Etape 2'!I145</f>
        <v/>
      </c>
      <c r="L148" s="87">
        <f ca="1">'Etape 2'!J145</f>
        <v>999999</v>
      </c>
      <c r="M148" s="87">
        <f>'Etape 2'!K145</f>
        <v>999</v>
      </c>
      <c r="N148" s="87">
        <f ca="1">'Etape 2'!L145</f>
        <v>133</v>
      </c>
      <c r="O148" s="259">
        <f t="shared" si="159"/>
        <v>0.3</v>
      </c>
      <c r="P148" s="259">
        <f t="shared" si="160"/>
        <v>1.1000000000000001</v>
      </c>
      <c r="Q148" s="260">
        <f t="shared" si="161"/>
        <v>0</v>
      </c>
      <c r="R148" s="261">
        <f t="shared" si="143"/>
        <v>0</v>
      </c>
      <c r="S148" s="87">
        <f>IF(ISBLANK('Etape 2'!N145),0,VLOOKUP('Etape 2'!N145,Matrix_Uebersetzung,2,FALSE))</f>
        <v>0</v>
      </c>
      <c r="T148" s="87">
        <f>IF(ISBLANK('Etape 2'!O145),0,VLOOKUP('Etape 2'!O145,Matrix_Uebersetzung,2,FALSE))</f>
        <v>0</v>
      </c>
      <c r="U148" s="87">
        <f>IF(ISBLANK('Etape 2'!P145),0,VLOOKUP('Etape 2'!P145,Matrix_Uebersetzung,2,FALSE))</f>
        <v>0</v>
      </c>
      <c r="V148" s="87" t="str">
        <f>'Etape 2'!Q145</f>
        <v/>
      </c>
      <c r="W148" s="87">
        <f>'Etape 2'!R145</f>
        <v>0</v>
      </c>
      <c r="X148" s="87" t="str">
        <f>'Etape 2'!S145</f>
        <v/>
      </c>
      <c r="Y148" s="89" t="str">
        <f>'Etape 2'!T145</f>
        <v/>
      </c>
      <c r="Z148" s="87">
        <f>'Etape 2'!U145</f>
        <v>0</v>
      </c>
      <c r="AA148" s="87" t="str">
        <f>'Etape 2'!V145</f>
        <v/>
      </c>
      <c r="AB148" s="87">
        <f>IF(ISNUMBER('Etape 2'!W145),'Etape 2'!W145,0)</f>
        <v>0</v>
      </c>
      <c r="AC148" s="87">
        <f>IF(ISNUMBER('Etape 2'!X145),'Etape 2'!X145,0)</f>
        <v>0</v>
      </c>
      <c r="AD148" s="87">
        <f>IF(ISNUMBER('Etape 2'!Y145),'Etape 2'!Y145,0)</f>
        <v>0</v>
      </c>
      <c r="AE148" s="87">
        <f>IF(ISNUMBER('Etape 2'!Z145),'Etape 2'!Z145,0)</f>
        <v>0</v>
      </c>
      <c r="AF148" s="86">
        <f t="shared" si="177"/>
        <v>999</v>
      </c>
      <c r="AG148" s="288">
        <f t="shared" si="178"/>
        <v>0.25</v>
      </c>
      <c r="AH148" s="181" t="e">
        <f t="shared" si="162"/>
        <v>#VALUE!</v>
      </c>
      <c r="AI148" s="181" t="e">
        <f t="shared" si="146"/>
        <v>#VALUE!</v>
      </c>
      <c r="AJ148" s="86">
        <f t="shared" si="163"/>
        <v>200</v>
      </c>
      <c r="AK148" s="91" t="e">
        <f t="shared" si="164"/>
        <v>#N/A</v>
      </c>
      <c r="AL148" s="91" t="e">
        <f t="shared" si="147"/>
        <v>#N/A</v>
      </c>
      <c r="AM148" s="91">
        <f t="shared" si="109"/>
        <v>6</v>
      </c>
      <c r="AN148" s="91" t="e">
        <f t="shared" si="148"/>
        <v>#N/A</v>
      </c>
      <c r="AO148" s="91" t="e">
        <f t="shared" si="149"/>
        <v>#N/A</v>
      </c>
      <c r="AP148" s="21" t="e">
        <f t="shared" si="150"/>
        <v>#N/A</v>
      </c>
      <c r="AQ148" s="21" t="e">
        <f t="shared" si="151"/>
        <v>#N/A</v>
      </c>
      <c r="AR148" s="92" t="str">
        <f t="shared" si="179"/>
        <v/>
      </c>
      <c r="AS148" s="21" t="str">
        <f t="shared" si="180"/>
        <v/>
      </c>
      <c r="AT148" s="59" t="str">
        <f t="shared" si="165"/>
        <v/>
      </c>
      <c r="AU148" s="105">
        <f t="shared" si="113"/>
        <v>1</v>
      </c>
      <c r="AV148" s="105">
        <f t="shared" si="152"/>
        <v>1</v>
      </c>
      <c r="AW148" s="58">
        <f t="shared" si="153"/>
        <v>2</v>
      </c>
      <c r="AX148" s="58">
        <f t="shared" si="154"/>
        <v>3</v>
      </c>
      <c r="AY148" s="58" t="str">
        <f t="shared" si="155"/>
        <v>avec vannes</v>
      </c>
      <c r="AZ148" s="58" t="str">
        <f t="shared" si="156"/>
        <v>fermé</v>
      </c>
      <c r="BA148" s="60">
        <f t="shared" si="158"/>
        <v>0</v>
      </c>
      <c r="BB148" s="60">
        <f t="shared" si="158"/>
        <v>0</v>
      </c>
      <c r="BC148" s="60">
        <f t="shared" si="158"/>
        <v>0</v>
      </c>
      <c r="BD148" s="60">
        <f t="shared" si="158"/>
        <v>0</v>
      </c>
      <c r="BE148" s="286" t="str">
        <f t="shared" si="166"/>
        <v/>
      </c>
      <c r="BF148" s="58" t="str">
        <f t="shared" si="181"/>
        <v/>
      </c>
      <c r="BG148" s="59" t="str">
        <f t="shared" si="167"/>
        <v/>
      </c>
      <c r="BH148" s="158">
        <f t="shared" ca="1" si="168"/>
        <v>1</v>
      </c>
      <c r="BI148" s="60">
        <f t="shared" ca="1" si="169"/>
        <v>0.15</v>
      </c>
      <c r="BJ148" s="60">
        <f t="shared" si="170"/>
        <v>0.2</v>
      </c>
      <c r="BK148" s="60" t="str">
        <f t="shared" si="182"/>
        <v/>
      </c>
      <c r="BL148" s="21" t="str">
        <f t="shared" si="183"/>
        <v/>
      </c>
      <c r="BM148" s="264" t="str">
        <f t="shared" si="171"/>
        <v/>
      </c>
      <c r="BN148" s="60" t="str">
        <f t="shared" si="184"/>
        <v/>
      </c>
      <c r="BO148" s="136">
        <f t="shared" si="185"/>
        <v>0</v>
      </c>
      <c r="BP148" s="59">
        <f t="shared" si="186"/>
        <v>0</v>
      </c>
      <c r="BQ148" s="136">
        <f t="shared" ca="1" si="172"/>
        <v>1333</v>
      </c>
      <c r="BR148" s="136">
        <f t="shared" ca="1" si="173"/>
        <v>1000.4418604651163</v>
      </c>
      <c r="BS148" s="136">
        <f t="shared" ca="1" si="174"/>
        <v>1468800.4418604651</v>
      </c>
      <c r="BT148" s="136">
        <f t="shared" ca="1" si="175"/>
        <v>313875.36458622431</v>
      </c>
      <c r="BU148" s="136">
        <f t="shared" ca="1" si="176"/>
        <v>1000.4418604651163</v>
      </c>
    </row>
    <row r="149" spans="1:73" x14ac:dyDescent="0.2">
      <c r="A149" s="87" t="str">
        <f>'Etape 2'!A146</f>
        <v/>
      </c>
      <c r="B149" s="87">
        <f>'Etape 2'!B146</f>
        <v>134</v>
      </c>
      <c r="C149" s="87">
        <f ca="1">'Etape 2'!C146</f>
        <v>167</v>
      </c>
      <c r="D149" s="87"/>
      <c r="E149" s="61">
        <f ca="1">RANK(BU149,BU$16:BU$315,0)+COUNTIF(BU$16:BU149,BU149)-1</f>
        <v>167</v>
      </c>
      <c r="F149" s="87" t="str">
        <f>'Etape 2'!D146</f>
        <v/>
      </c>
      <c r="G149" s="87" t="str">
        <f>'Etape 2'!E146</f>
        <v/>
      </c>
      <c r="H149" s="87" t="str">
        <f>'Etape 2'!F146</f>
        <v/>
      </c>
      <c r="I149" s="87" t="str">
        <f>'Etape 2'!G146</f>
        <v/>
      </c>
      <c r="J149" s="87" t="str">
        <f>'Etape 2'!H146</f>
        <v/>
      </c>
      <c r="K149" s="87" t="str">
        <f>'Etape 2'!I146</f>
        <v/>
      </c>
      <c r="L149" s="87">
        <f ca="1">'Etape 2'!J146</f>
        <v>999999</v>
      </c>
      <c r="M149" s="87">
        <f>'Etape 2'!K146</f>
        <v>999</v>
      </c>
      <c r="N149" s="87">
        <f ca="1">'Etape 2'!L146</f>
        <v>134</v>
      </c>
      <c r="O149" s="259">
        <f t="shared" si="159"/>
        <v>0.3</v>
      </c>
      <c r="P149" s="259">
        <f t="shared" si="160"/>
        <v>1.1000000000000001</v>
      </c>
      <c r="Q149" s="260">
        <f t="shared" si="161"/>
        <v>0</v>
      </c>
      <c r="R149" s="261">
        <f t="shared" si="143"/>
        <v>0</v>
      </c>
      <c r="S149" s="87">
        <f>IF(ISBLANK('Etape 2'!N146),0,VLOOKUP('Etape 2'!N146,Matrix_Uebersetzung,2,FALSE))</f>
        <v>0</v>
      </c>
      <c r="T149" s="87">
        <f>IF(ISBLANK('Etape 2'!O146),0,VLOOKUP('Etape 2'!O146,Matrix_Uebersetzung,2,FALSE))</f>
        <v>0</v>
      </c>
      <c r="U149" s="87">
        <f>IF(ISBLANK('Etape 2'!P146),0,VLOOKUP('Etape 2'!P146,Matrix_Uebersetzung,2,FALSE))</f>
        <v>0</v>
      </c>
      <c r="V149" s="87" t="str">
        <f>'Etape 2'!Q146</f>
        <v/>
      </c>
      <c r="W149" s="87">
        <f>'Etape 2'!R146</f>
        <v>0</v>
      </c>
      <c r="X149" s="87" t="str">
        <f>'Etape 2'!S146</f>
        <v/>
      </c>
      <c r="Y149" s="89" t="str">
        <f>'Etape 2'!T146</f>
        <v/>
      </c>
      <c r="Z149" s="87">
        <f>'Etape 2'!U146</f>
        <v>0</v>
      </c>
      <c r="AA149" s="87" t="str">
        <f>'Etape 2'!V146</f>
        <v/>
      </c>
      <c r="AB149" s="87">
        <f>IF(ISNUMBER('Etape 2'!W146),'Etape 2'!W146,0)</f>
        <v>0</v>
      </c>
      <c r="AC149" s="87">
        <f>IF(ISNUMBER('Etape 2'!X146),'Etape 2'!X146,0)</f>
        <v>0</v>
      </c>
      <c r="AD149" s="87">
        <f>IF(ISNUMBER('Etape 2'!Y146),'Etape 2'!Y146,0)</f>
        <v>0</v>
      </c>
      <c r="AE149" s="87">
        <f>IF(ISNUMBER('Etape 2'!Z146),'Etape 2'!Z146,0)</f>
        <v>0</v>
      </c>
      <c r="AF149" s="86">
        <f t="shared" si="177"/>
        <v>999</v>
      </c>
      <c r="AG149" s="288">
        <f t="shared" si="178"/>
        <v>0.25</v>
      </c>
      <c r="AH149" s="181" t="e">
        <f t="shared" si="162"/>
        <v>#VALUE!</v>
      </c>
      <c r="AI149" s="181" t="e">
        <f t="shared" si="146"/>
        <v>#VALUE!</v>
      </c>
      <c r="AJ149" s="86">
        <f t="shared" si="163"/>
        <v>200</v>
      </c>
      <c r="AK149" s="91" t="e">
        <f t="shared" si="164"/>
        <v>#N/A</v>
      </c>
      <c r="AL149" s="91" t="e">
        <f t="shared" si="147"/>
        <v>#N/A</v>
      </c>
      <c r="AM149" s="91">
        <f t="shared" si="109"/>
        <v>6</v>
      </c>
      <c r="AN149" s="91" t="e">
        <f t="shared" si="148"/>
        <v>#N/A</v>
      </c>
      <c r="AO149" s="91" t="e">
        <f t="shared" si="149"/>
        <v>#N/A</v>
      </c>
      <c r="AP149" s="21" t="e">
        <f t="shared" si="150"/>
        <v>#N/A</v>
      </c>
      <c r="AQ149" s="21" t="e">
        <f t="shared" si="151"/>
        <v>#N/A</v>
      </c>
      <c r="AR149" s="92" t="str">
        <f t="shared" si="179"/>
        <v/>
      </c>
      <c r="AS149" s="21" t="str">
        <f t="shared" si="180"/>
        <v/>
      </c>
      <c r="AT149" s="59" t="str">
        <f t="shared" si="165"/>
        <v/>
      </c>
      <c r="AU149" s="105">
        <f t="shared" si="113"/>
        <v>1</v>
      </c>
      <c r="AV149" s="105">
        <f t="shared" si="152"/>
        <v>1</v>
      </c>
      <c r="AW149" s="58">
        <f t="shared" si="153"/>
        <v>2</v>
      </c>
      <c r="AX149" s="58">
        <f t="shared" si="154"/>
        <v>3</v>
      </c>
      <c r="AY149" s="58" t="str">
        <f t="shared" si="155"/>
        <v>avec vannes</v>
      </c>
      <c r="AZ149" s="58" t="str">
        <f t="shared" si="156"/>
        <v>fermé</v>
      </c>
      <c r="BA149" s="60">
        <f t="shared" si="158"/>
        <v>0</v>
      </c>
      <c r="BB149" s="60">
        <f t="shared" si="158"/>
        <v>0</v>
      </c>
      <c r="BC149" s="60">
        <f t="shared" si="158"/>
        <v>0</v>
      </c>
      <c r="BD149" s="60">
        <f t="shared" si="158"/>
        <v>0</v>
      </c>
      <c r="BE149" s="286" t="str">
        <f t="shared" si="166"/>
        <v/>
      </c>
      <c r="BF149" s="58" t="str">
        <f t="shared" si="181"/>
        <v/>
      </c>
      <c r="BG149" s="59" t="str">
        <f t="shared" si="167"/>
        <v/>
      </c>
      <c r="BH149" s="158">
        <f t="shared" ca="1" si="168"/>
        <v>1</v>
      </c>
      <c r="BI149" s="60">
        <f t="shared" ca="1" si="169"/>
        <v>0.15</v>
      </c>
      <c r="BJ149" s="60">
        <f t="shared" si="170"/>
        <v>0.2</v>
      </c>
      <c r="BK149" s="60" t="str">
        <f t="shared" si="182"/>
        <v/>
      </c>
      <c r="BL149" s="21" t="str">
        <f t="shared" si="183"/>
        <v/>
      </c>
      <c r="BM149" s="264" t="str">
        <f t="shared" si="171"/>
        <v/>
      </c>
      <c r="BN149" s="60" t="str">
        <f t="shared" si="184"/>
        <v/>
      </c>
      <c r="BO149" s="136">
        <f t="shared" si="185"/>
        <v>0</v>
      </c>
      <c r="BP149" s="59">
        <f t="shared" si="186"/>
        <v>0</v>
      </c>
      <c r="BQ149" s="136">
        <f t="shared" ca="1" si="172"/>
        <v>1334</v>
      </c>
      <c r="BR149" s="136">
        <f t="shared" ca="1" si="173"/>
        <v>1000.4451827242525</v>
      </c>
      <c r="BS149" s="136">
        <f t="shared" ca="1" si="174"/>
        <v>1468800.4451827242</v>
      </c>
      <c r="BT149" s="136">
        <f t="shared" ca="1" si="175"/>
        <v>313875.36790848349</v>
      </c>
      <c r="BU149" s="136">
        <f t="shared" ca="1" si="176"/>
        <v>1000.4451827242525</v>
      </c>
    </row>
    <row r="150" spans="1:73" x14ac:dyDescent="0.2">
      <c r="A150" s="87" t="str">
        <f>'Etape 2'!A147</f>
        <v/>
      </c>
      <c r="B150" s="87">
        <f>'Etape 2'!B147</f>
        <v>135</v>
      </c>
      <c r="C150" s="87">
        <f ca="1">'Etape 2'!C147</f>
        <v>166</v>
      </c>
      <c r="D150" s="87"/>
      <c r="E150" s="61">
        <f ca="1">RANK(BU150,BU$16:BU$315,0)+COUNTIF(BU$16:BU150,BU150)-1</f>
        <v>166</v>
      </c>
      <c r="F150" s="87" t="str">
        <f>'Etape 2'!D147</f>
        <v/>
      </c>
      <c r="G150" s="87" t="str">
        <f>'Etape 2'!E147</f>
        <v/>
      </c>
      <c r="H150" s="87" t="str">
        <f>'Etape 2'!F147</f>
        <v/>
      </c>
      <c r="I150" s="87" t="str">
        <f>'Etape 2'!G147</f>
        <v/>
      </c>
      <c r="J150" s="87" t="str">
        <f>'Etape 2'!H147</f>
        <v/>
      </c>
      <c r="K150" s="87" t="str">
        <f>'Etape 2'!I147</f>
        <v/>
      </c>
      <c r="L150" s="87">
        <f ca="1">'Etape 2'!J147</f>
        <v>999999</v>
      </c>
      <c r="M150" s="87">
        <f>'Etape 2'!K147</f>
        <v>999</v>
      </c>
      <c r="N150" s="87">
        <f ca="1">'Etape 2'!L147</f>
        <v>135</v>
      </c>
      <c r="O150" s="259">
        <f t="shared" si="159"/>
        <v>0.3</v>
      </c>
      <c r="P150" s="259">
        <f t="shared" si="160"/>
        <v>1.1000000000000001</v>
      </c>
      <c r="Q150" s="260">
        <f t="shared" si="161"/>
        <v>0</v>
      </c>
      <c r="R150" s="261">
        <f t="shared" si="143"/>
        <v>0</v>
      </c>
      <c r="S150" s="87">
        <f>IF(ISBLANK('Etape 2'!N147),0,VLOOKUP('Etape 2'!N147,Matrix_Uebersetzung,2,FALSE))</f>
        <v>0</v>
      </c>
      <c r="T150" s="87">
        <f>IF(ISBLANK('Etape 2'!O147),0,VLOOKUP('Etape 2'!O147,Matrix_Uebersetzung,2,FALSE))</f>
        <v>0</v>
      </c>
      <c r="U150" s="87">
        <f>IF(ISBLANK('Etape 2'!P147),0,VLOOKUP('Etape 2'!P147,Matrix_Uebersetzung,2,FALSE))</f>
        <v>0</v>
      </c>
      <c r="V150" s="87" t="str">
        <f>'Etape 2'!Q147</f>
        <v/>
      </c>
      <c r="W150" s="87">
        <f>'Etape 2'!R147</f>
        <v>0</v>
      </c>
      <c r="X150" s="87" t="str">
        <f>'Etape 2'!S147</f>
        <v/>
      </c>
      <c r="Y150" s="89" t="str">
        <f>'Etape 2'!T147</f>
        <v/>
      </c>
      <c r="Z150" s="87">
        <f>'Etape 2'!U147</f>
        <v>0</v>
      </c>
      <c r="AA150" s="87" t="str">
        <f>'Etape 2'!V147</f>
        <v/>
      </c>
      <c r="AB150" s="87">
        <f>IF(ISNUMBER('Etape 2'!W147),'Etape 2'!W147,0)</f>
        <v>0</v>
      </c>
      <c r="AC150" s="87">
        <f>IF(ISNUMBER('Etape 2'!X147),'Etape 2'!X147,0)</f>
        <v>0</v>
      </c>
      <c r="AD150" s="87">
        <f>IF(ISNUMBER('Etape 2'!Y147),'Etape 2'!Y147,0)</f>
        <v>0</v>
      </c>
      <c r="AE150" s="87">
        <f>IF(ISNUMBER('Etape 2'!Z147),'Etape 2'!Z147,0)</f>
        <v>0</v>
      </c>
      <c r="AF150" s="86">
        <f t="shared" si="177"/>
        <v>999</v>
      </c>
      <c r="AG150" s="288">
        <f t="shared" si="178"/>
        <v>0.25</v>
      </c>
      <c r="AH150" s="181" t="e">
        <f t="shared" si="162"/>
        <v>#VALUE!</v>
      </c>
      <c r="AI150" s="181" t="e">
        <f t="shared" si="146"/>
        <v>#VALUE!</v>
      </c>
      <c r="AJ150" s="86">
        <f t="shared" si="163"/>
        <v>200</v>
      </c>
      <c r="AK150" s="91" t="e">
        <f t="shared" si="164"/>
        <v>#N/A</v>
      </c>
      <c r="AL150" s="91" t="e">
        <f t="shared" si="147"/>
        <v>#N/A</v>
      </c>
      <c r="AM150" s="91">
        <f t="shared" si="109"/>
        <v>6</v>
      </c>
      <c r="AN150" s="91" t="e">
        <f t="shared" si="148"/>
        <v>#N/A</v>
      </c>
      <c r="AO150" s="91" t="e">
        <f t="shared" si="149"/>
        <v>#N/A</v>
      </c>
      <c r="AP150" s="21" t="e">
        <f t="shared" si="150"/>
        <v>#N/A</v>
      </c>
      <c r="AQ150" s="21" t="e">
        <f t="shared" si="151"/>
        <v>#N/A</v>
      </c>
      <c r="AR150" s="92" t="str">
        <f t="shared" si="179"/>
        <v/>
      </c>
      <c r="AS150" s="21" t="str">
        <f t="shared" si="180"/>
        <v/>
      </c>
      <c r="AT150" s="59" t="str">
        <f t="shared" si="165"/>
        <v/>
      </c>
      <c r="AU150" s="105">
        <f t="shared" si="113"/>
        <v>1</v>
      </c>
      <c r="AV150" s="105">
        <f t="shared" si="152"/>
        <v>1</v>
      </c>
      <c r="AW150" s="58">
        <f t="shared" si="153"/>
        <v>2</v>
      </c>
      <c r="AX150" s="58">
        <f t="shared" si="154"/>
        <v>3</v>
      </c>
      <c r="AY150" s="58" t="str">
        <f t="shared" si="155"/>
        <v>avec vannes</v>
      </c>
      <c r="AZ150" s="58" t="str">
        <f t="shared" si="156"/>
        <v>fermé</v>
      </c>
      <c r="BA150" s="60">
        <f t="shared" si="158"/>
        <v>0</v>
      </c>
      <c r="BB150" s="60">
        <f t="shared" si="158"/>
        <v>0</v>
      </c>
      <c r="BC150" s="60">
        <f t="shared" si="158"/>
        <v>0</v>
      </c>
      <c r="BD150" s="60">
        <f t="shared" si="158"/>
        <v>0</v>
      </c>
      <c r="BE150" s="286" t="str">
        <f t="shared" si="166"/>
        <v/>
      </c>
      <c r="BF150" s="58" t="str">
        <f t="shared" si="181"/>
        <v/>
      </c>
      <c r="BG150" s="59" t="str">
        <f t="shared" si="167"/>
        <v/>
      </c>
      <c r="BH150" s="158">
        <f t="shared" ca="1" si="168"/>
        <v>1</v>
      </c>
      <c r="BI150" s="60">
        <f t="shared" ca="1" si="169"/>
        <v>0.15</v>
      </c>
      <c r="BJ150" s="60">
        <f t="shared" si="170"/>
        <v>0.2</v>
      </c>
      <c r="BK150" s="60" t="str">
        <f t="shared" si="182"/>
        <v/>
      </c>
      <c r="BL150" s="21" t="str">
        <f t="shared" si="183"/>
        <v/>
      </c>
      <c r="BM150" s="264" t="str">
        <f t="shared" si="171"/>
        <v/>
      </c>
      <c r="BN150" s="60" t="str">
        <f t="shared" si="184"/>
        <v/>
      </c>
      <c r="BO150" s="136">
        <f t="shared" si="185"/>
        <v>0</v>
      </c>
      <c r="BP150" s="59">
        <f t="shared" si="186"/>
        <v>0</v>
      </c>
      <c r="BQ150" s="136">
        <f t="shared" ca="1" si="172"/>
        <v>1335</v>
      </c>
      <c r="BR150" s="136">
        <f t="shared" ca="1" si="173"/>
        <v>1000.4485049833887</v>
      </c>
      <c r="BS150" s="136">
        <f t="shared" ca="1" si="174"/>
        <v>1468800.4485049834</v>
      </c>
      <c r="BT150" s="136">
        <f t="shared" ca="1" si="175"/>
        <v>313875.3712307426</v>
      </c>
      <c r="BU150" s="136">
        <f t="shared" ca="1" si="176"/>
        <v>1000.4485049833887</v>
      </c>
    </row>
    <row r="151" spans="1:73" x14ac:dyDescent="0.2">
      <c r="A151" s="87" t="str">
        <f>'Etape 2'!A148</f>
        <v/>
      </c>
      <c r="B151" s="87">
        <f>'Etape 2'!B148</f>
        <v>136</v>
      </c>
      <c r="C151" s="87">
        <f ca="1">'Etape 2'!C148</f>
        <v>165</v>
      </c>
      <c r="D151" s="87"/>
      <c r="E151" s="61">
        <f ca="1">RANK(BU151,BU$16:BU$315,0)+COUNTIF(BU$16:BU151,BU151)-1</f>
        <v>165</v>
      </c>
      <c r="F151" s="87" t="str">
        <f>'Etape 2'!D148</f>
        <v/>
      </c>
      <c r="G151" s="87" t="str">
        <f>'Etape 2'!E148</f>
        <v/>
      </c>
      <c r="H151" s="87" t="str">
        <f>'Etape 2'!F148</f>
        <v/>
      </c>
      <c r="I151" s="87" t="str">
        <f>'Etape 2'!G148</f>
        <v/>
      </c>
      <c r="J151" s="87" t="str">
        <f>'Etape 2'!H148</f>
        <v/>
      </c>
      <c r="K151" s="87" t="str">
        <f>'Etape 2'!I148</f>
        <v/>
      </c>
      <c r="L151" s="87">
        <f ca="1">'Etape 2'!J148</f>
        <v>999999</v>
      </c>
      <c r="M151" s="87">
        <f>'Etape 2'!K148</f>
        <v>999</v>
      </c>
      <c r="N151" s="87">
        <f ca="1">'Etape 2'!L148</f>
        <v>136</v>
      </c>
      <c r="O151" s="259">
        <f t="shared" si="159"/>
        <v>0.3</v>
      </c>
      <c r="P151" s="259">
        <f t="shared" si="160"/>
        <v>1.1000000000000001</v>
      </c>
      <c r="Q151" s="260">
        <f t="shared" si="161"/>
        <v>0</v>
      </c>
      <c r="R151" s="261">
        <f t="shared" si="143"/>
        <v>0</v>
      </c>
      <c r="S151" s="87">
        <f>IF(ISBLANK('Etape 2'!N148),0,VLOOKUP('Etape 2'!N148,Matrix_Uebersetzung,2,FALSE))</f>
        <v>0</v>
      </c>
      <c r="T151" s="87">
        <f>IF(ISBLANK('Etape 2'!O148),0,VLOOKUP('Etape 2'!O148,Matrix_Uebersetzung,2,FALSE))</f>
        <v>0</v>
      </c>
      <c r="U151" s="87">
        <f>IF(ISBLANK('Etape 2'!P148),0,VLOOKUP('Etape 2'!P148,Matrix_Uebersetzung,2,FALSE))</f>
        <v>0</v>
      </c>
      <c r="V151" s="87" t="str">
        <f>'Etape 2'!Q148</f>
        <v/>
      </c>
      <c r="W151" s="87">
        <f>'Etape 2'!R148</f>
        <v>0</v>
      </c>
      <c r="X151" s="87" t="str">
        <f>'Etape 2'!S148</f>
        <v/>
      </c>
      <c r="Y151" s="89" t="str">
        <f>'Etape 2'!T148</f>
        <v/>
      </c>
      <c r="Z151" s="87">
        <f>'Etape 2'!U148</f>
        <v>0</v>
      </c>
      <c r="AA151" s="87" t="str">
        <f>'Etape 2'!V148</f>
        <v/>
      </c>
      <c r="AB151" s="87">
        <f>IF(ISNUMBER('Etape 2'!W148),'Etape 2'!W148,0)</f>
        <v>0</v>
      </c>
      <c r="AC151" s="87">
        <f>IF(ISNUMBER('Etape 2'!X148),'Etape 2'!X148,0)</f>
        <v>0</v>
      </c>
      <c r="AD151" s="87">
        <f>IF(ISNUMBER('Etape 2'!Y148),'Etape 2'!Y148,0)</f>
        <v>0</v>
      </c>
      <c r="AE151" s="87">
        <f>IF(ISNUMBER('Etape 2'!Z148),'Etape 2'!Z148,0)</f>
        <v>0</v>
      </c>
      <c r="AF151" s="86">
        <f t="shared" si="177"/>
        <v>999</v>
      </c>
      <c r="AG151" s="288">
        <f t="shared" si="178"/>
        <v>0.25</v>
      </c>
      <c r="AH151" s="181" t="e">
        <f t="shared" si="162"/>
        <v>#VALUE!</v>
      </c>
      <c r="AI151" s="181" t="e">
        <f t="shared" si="146"/>
        <v>#VALUE!</v>
      </c>
      <c r="AJ151" s="86">
        <f t="shared" si="163"/>
        <v>200</v>
      </c>
      <c r="AK151" s="91" t="e">
        <f t="shared" si="164"/>
        <v>#N/A</v>
      </c>
      <c r="AL151" s="91" t="e">
        <f t="shared" si="147"/>
        <v>#N/A</v>
      </c>
      <c r="AM151" s="91">
        <f t="shared" si="109"/>
        <v>6</v>
      </c>
      <c r="AN151" s="91" t="e">
        <f t="shared" si="148"/>
        <v>#N/A</v>
      </c>
      <c r="AO151" s="91" t="e">
        <f t="shared" si="149"/>
        <v>#N/A</v>
      </c>
      <c r="AP151" s="21" t="e">
        <f t="shared" si="150"/>
        <v>#N/A</v>
      </c>
      <c r="AQ151" s="21" t="e">
        <f t="shared" si="151"/>
        <v>#N/A</v>
      </c>
      <c r="AR151" s="92" t="str">
        <f t="shared" si="179"/>
        <v/>
      </c>
      <c r="AS151" s="21" t="str">
        <f t="shared" si="180"/>
        <v/>
      </c>
      <c r="AT151" s="59" t="str">
        <f t="shared" si="165"/>
        <v/>
      </c>
      <c r="AU151" s="105">
        <f t="shared" si="113"/>
        <v>1</v>
      </c>
      <c r="AV151" s="105">
        <f t="shared" si="152"/>
        <v>1</v>
      </c>
      <c r="AW151" s="58">
        <f t="shared" si="153"/>
        <v>2</v>
      </c>
      <c r="AX151" s="58">
        <f t="shared" si="154"/>
        <v>3</v>
      </c>
      <c r="AY151" s="58" t="str">
        <f t="shared" si="155"/>
        <v>avec vannes</v>
      </c>
      <c r="AZ151" s="58" t="str">
        <f t="shared" si="156"/>
        <v>fermé</v>
      </c>
      <c r="BA151" s="60">
        <f t="shared" si="158"/>
        <v>0</v>
      </c>
      <c r="BB151" s="60">
        <f t="shared" si="158"/>
        <v>0</v>
      </c>
      <c r="BC151" s="60">
        <f t="shared" si="158"/>
        <v>0</v>
      </c>
      <c r="BD151" s="60">
        <f t="shared" si="158"/>
        <v>0</v>
      </c>
      <c r="BE151" s="286" t="str">
        <f t="shared" si="166"/>
        <v/>
      </c>
      <c r="BF151" s="58" t="str">
        <f t="shared" si="181"/>
        <v/>
      </c>
      <c r="BG151" s="59" t="str">
        <f t="shared" si="167"/>
        <v/>
      </c>
      <c r="BH151" s="158">
        <f t="shared" ca="1" si="168"/>
        <v>1</v>
      </c>
      <c r="BI151" s="60">
        <f t="shared" ca="1" si="169"/>
        <v>0.15</v>
      </c>
      <c r="BJ151" s="60">
        <f t="shared" si="170"/>
        <v>0.2</v>
      </c>
      <c r="BK151" s="60" t="str">
        <f t="shared" si="182"/>
        <v/>
      </c>
      <c r="BL151" s="21" t="str">
        <f t="shared" si="183"/>
        <v/>
      </c>
      <c r="BM151" s="264" t="str">
        <f t="shared" si="171"/>
        <v/>
      </c>
      <c r="BN151" s="60" t="str">
        <f t="shared" si="184"/>
        <v/>
      </c>
      <c r="BO151" s="136">
        <f t="shared" si="185"/>
        <v>0</v>
      </c>
      <c r="BP151" s="59">
        <f t="shared" si="186"/>
        <v>0</v>
      </c>
      <c r="BQ151" s="136">
        <f t="shared" ca="1" si="172"/>
        <v>1336</v>
      </c>
      <c r="BR151" s="136">
        <f t="shared" ca="1" si="173"/>
        <v>1000.4518272425249</v>
      </c>
      <c r="BS151" s="136">
        <f t="shared" ca="1" si="174"/>
        <v>1468800.4518272425</v>
      </c>
      <c r="BT151" s="136">
        <f t="shared" ca="1" si="175"/>
        <v>313875.37455300172</v>
      </c>
      <c r="BU151" s="136">
        <f t="shared" ca="1" si="176"/>
        <v>1000.4518272425249</v>
      </c>
    </row>
    <row r="152" spans="1:73" x14ac:dyDescent="0.2">
      <c r="A152" s="87" t="str">
        <f>'Etape 2'!A149</f>
        <v/>
      </c>
      <c r="B152" s="87">
        <f>'Etape 2'!B149</f>
        <v>137</v>
      </c>
      <c r="C152" s="87">
        <f ca="1">'Etape 2'!C149</f>
        <v>164</v>
      </c>
      <c r="D152" s="87"/>
      <c r="E152" s="61">
        <f ca="1">RANK(BU152,BU$16:BU$315,0)+COUNTIF(BU$16:BU152,BU152)-1</f>
        <v>164</v>
      </c>
      <c r="F152" s="87" t="str">
        <f>'Etape 2'!D149</f>
        <v/>
      </c>
      <c r="G152" s="87" t="str">
        <f>'Etape 2'!E149</f>
        <v/>
      </c>
      <c r="H152" s="87" t="str">
        <f>'Etape 2'!F149</f>
        <v/>
      </c>
      <c r="I152" s="87" t="str">
        <f>'Etape 2'!G149</f>
        <v/>
      </c>
      <c r="J152" s="87" t="str">
        <f>'Etape 2'!H149</f>
        <v/>
      </c>
      <c r="K152" s="87" t="str">
        <f>'Etape 2'!I149</f>
        <v/>
      </c>
      <c r="L152" s="87">
        <f ca="1">'Etape 2'!J149</f>
        <v>999999</v>
      </c>
      <c r="M152" s="87">
        <f>'Etape 2'!K149</f>
        <v>999</v>
      </c>
      <c r="N152" s="87">
        <f ca="1">'Etape 2'!L149</f>
        <v>137</v>
      </c>
      <c r="O152" s="259">
        <f t="shared" si="159"/>
        <v>0.3</v>
      </c>
      <c r="P152" s="259">
        <f t="shared" si="160"/>
        <v>1.1000000000000001</v>
      </c>
      <c r="Q152" s="260">
        <f t="shared" si="161"/>
        <v>0</v>
      </c>
      <c r="R152" s="261">
        <f t="shared" ref="R152:R215" si="187">IF(ISERROR(Q152*I152*J152),0,Q152*I152*J152)</f>
        <v>0</v>
      </c>
      <c r="S152" s="87">
        <f>IF(ISBLANK('Etape 2'!N149),0,VLOOKUP('Etape 2'!N149,Matrix_Uebersetzung,2,FALSE))</f>
        <v>0</v>
      </c>
      <c r="T152" s="87">
        <f>IF(ISBLANK('Etape 2'!O149),0,VLOOKUP('Etape 2'!O149,Matrix_Uebersetzung,2,FALSE))</f>
        <v>0</v>
      </c>
      <c r="U152" s="87">
        <f>IF(ISBLANK('Etape 2'!P149),0,VLOOKUP('Etape 2'!P149,Matrix_Uebersetzung,2,FALSE))</f>
        <v>0</v>
      </c>
      <c r="V152" s="87" t="str">
        <f>'Etape 2'!Q149</f>
        <v/>
      </c>
      <c r="W152" s="87">
        <f>'Etape 2'!R149</f>
        <v>0</v>
      </c>
      <c r="X152" s="87" t="str">
        <f>'Etape 2'!S149</f>
        <v/>
      </c>
      <c r="Y152" s="89" t="str">
        <f>'Etape 2'!T149</f>
        <v/>
      </c>
      <c r="Z152" s="87">
        <f>'Etape 2'!U149</f>
        <v>0</v>
      </c>
      <c r="AA152" s="87" t="str">
        <f>'Etape 2'!V149</f>
        <v/>
      </c>
      <c r="AB152" s="87">
        <f>IF(ISNUMBER('Etape 2'!W149),'Etape 2'!W149,0)</f>
        <v>0</v>
      </c>
      <c r="AC152" s="87">
        <f>IF(ISNUMBER('Etape 2'!X149),'Etape 2'!X149,0)</f>
        <v>0</v>
      </c>
      <c r="AD152" s="87">
        <f>IF(ISNUMBER('Etape 2'!Y149),'Etape 2'!Y149,0)</f>
        <v>0</v>
      </c>
      <c r="AE152" s="87">
        <f>IF(ISNUMBER('Etape 2'!Z149),'Etape 2'!Z149,0)</f>
        <v>0</v>
      </c>
      <c r="AF152" s="86">
        <f t="shared" si="177"/>
        <v>999</v>
      </c>
      <c r="AG152" s="288">
        <f t="shared" si="178"/>
        <v>0.25</v>
      </c>
      <c r="AH152" s="181" t="e">
        <f t="shared" si="162"/>
        <v>#VALUE!</v>
      </c>
      <c r="AI152" s="181" t="e">
        <f t="shared" si="146"/>
        <v>#VALUE!</v>
      </c>
      <c r="AJ152" s="86">
        <f t="shared" si="163"/>
        <v>200</v>
      </c>
      <c r="AK152" s="91" t="e">
        <f t="shared" si="164"/>
        <v>#N/A</v>
      </c>
      <c r="AL152" s="91" t="e">
        <f t="shared" si="147"/>
        <v>#N/A</v>
      </c>
      <c r="AM152" s="91">
        <f t="shared" si="109"/>
        <v>6</v>
      </c>
      <c r="AN152" s="91" t="e">
        <f t="shared" si="148"/>
        <v>#N/A</v>
      </c>
      <c r="AO152" s="91" t="e">
        <f t="shared" si="149"/>
        <v>#N/A</v>
      </c>
      <c r="AP152" s="21" t="e">
        <f t="shared" si="150"/>
        <v>#N/A</v>
      </c>
      <c r="AQ152" s="21" t="e">
        <f t="shared" si="151"/>
        <v>#N/A</v>
      </c>
      <c r="AR152" s="92" t="str">
        <f t="shared" si="179"/>
        <v/>
      </c>
      <c r="AS152" s="21" t="str">
        <f t="shared" si="180"/>
        <v/>
      </c>
      <c r="AT152" s="59" t="str">
        <f t="shared" si="165"/>
        <v/>
      </c>
      <c r="AU152" s="105">
        <f t="shared" si="113"/>
        <v>1</v>
      </c>
      <c r="AV152" s="105">
        <f t="shared" si="152"/>
        <v>1</v>
      </c>
      <c r="AW152" s="58">
        <f t="shared" si="153"/>
        <v>2</v>
      </c>
      <c r="AX152" s="58">
        <f t="shared" si="154"/>
        <v>3</v>
      </c>
      <c r="AY152" s="58" t="str">
        <f t="shared" si="155"/>
        <v>avec vannes</v>
      </c>
      <c r="AZ152" s="58" t="str">
        <f t="shared" si="156"/>
        <v>fermé</v>
      </c>
      <c r="BA152" s="60">
        <f t="shared" si="158"/>
        <v>0</v>
      </c>
      <c r="BB152" s="60">
        <f t="shared" si="158"/>
        <v>0</v>
      </c>
      <c r="BC152" s="60">
        <f t="shared" si="158"/>
        <v>0</v>
      </c>
      <c r="BD152" s="60">
        <f t="shared" si="158"/>
        <v>0</v>
      </c>
      <c r="BE152" s="286" t="str">
        <f t="shared" si="166"/>
        <v/>
      </c>
      <c r="BF152" s="58" t="str">
        <f t="shared" si="181"/>
        <v/>
      </c>
      <c r="BG152" s="59" t="str">
        <f t="shared" si="167"/>
        <v/>
      </c>
      <c r="BH152" s="158">
        <f t="shared" ca="1" si="168"/>
        <v>1</v>
      </c>
      <c r="BI152" s="60">
        <f t="shared" ca="1" si="169"/>
        <v>0.15</v>
      </c>
      <c r="BJ152" s="60">
        <f t="shared" si="170"/>
        <v>0.2</v>
      </c>
      <c r="BK152" s="60" t="str">
        <f t="shared" si="182"/>
        <v/>
      </c>
      <c r="BL152" s="21" t="str">
        <f t="shared" si="183"/>
        <v/>
      </c>
      <c r="BM152" s="264" t="str">
        <f t="shared" si="171"/>
        <v/>
      </c>
      <c r="BN152" s="60" t="str">
        <f t="shared" si="184"/>
        <v/>
      </c>
      <c r="BO152" s="136">
        <f t="shared" si="185"/>
        <v>0</v>
      </c>
      <c r="BP152" s="59">
        <f t="shared" si="186"/>
        <v>0</v>
      </c>
      <c r="BQ152" s="136">
        <f t="shared" ca="1" si="172"/>
        <v>1337</v>
      </c>
      <c r="BR152" s="136">
        <f t="shared" ca="1" si="173"/>
        <v>1000.4551495016611</v>
      </c>
      <c r="BS152" s="136">
        <f t="shared" ca="1" si="174"/>
        <v>1468800.4551495016</v>
      </c>
      <c r="BT152" s="136">
        <f t="shared" ca="1" si="175"/>
        <v>313875.37787526089</v>
      </c>
      <c r="BU152" s="136">
        <f t="shared" ca="1" si="176"/>
        <v>1000.4551495016611</v>
      </c>
    </row>
    <row r="153" spans="1:73" x14ac:dyDescent="0.2">
      <c r="A153" s="87" t="str">
        <f>'Etape 2'!A150</f>
        <v/>
      </c>
      <c r="B153" s="87">
        <f>'Etape 2'!B150</f>
        <v>138</v>
      </c>
      <c r="C153" s="87">
        <f ca="1">'Etape 2'!C150</f>
        <v>163</v>
      </c>
      <c r="D153" s="87"/>
      <c r="E153" s="61">
        <f ca="1">RANK(BU153,BU$16:BU$315,0)+COUNTIF(BU$16:BU153,BU153)-1</f>
        <v>163</v>
      </c>
      <c r="F153" s="87" t="str">
        <f>'Etape 2'!D150</f>
        <v/>
      </c>
      <c r="G153" s="87" t="str">
        <f>'Etape 2'!E150</f>
        <v/>
      </c>
      <c r="H153" s="87" t="str">
        <f>'Etape 2'!F150</f>
        <v/>
      </c>
      <c r="I153" s="87" t="str">
        <f>'Etape 2'!G150</f>
        <v/>
      </c>
      <c r="J153" s="87" t="str">
        <f>'Etape 2'!H150</f>
        <v/>
      </c>
      <c r="K153" s="87" t="str">
        <f>'Etape 2'!I150</f>
        <v/>
      </c>
      <c r="L153" s="87">
        <f ca="1">'Etape 2'!J150</f>
        <v>999999</v>
      </c>
      <c r="M153" s="87">
        <f>'Etape 2'!K150</f>
        <v>999</v>
      </c>
      <c r="N153" s="87">
        <f ca="1">'Etape 2'!L150</f>
        <v>138</v>
      </c>
      <c r="O153" s="259">
        <f t="shared" si="159"/>
        <v>0.3</v>
      </c>
      <c r="P153" s="259">
        <f t="shared" si="160"/>
        <v>1.1000000000000001</v>
      </c>
      <c r="Q153" s="260">
        <f t="shared" si="161"/>
        <v>0</v>
      </c>
      <c r="R153" s="261">
        <f t="shared" si="187"/>
        <v>0</v>
      </c>
      <c r="S153" s="87">
        <f>IF(ISBLANK('Etape 2'!N150),0,VLOOKUP('Etape 2'!N150,Matrix_Uebersetzung,2,FALSE))</f>
        <v>0</v>
      </c>
      <c r="T153" s="87">
        <f>IF(ISBLANK('Etape 2'!O150),0,VLOOKUP('Etape 2'!O150,Matrix_Uebersetzung,2,FALSE))</f>
        <v>0</v>
      </c>
      <c r="U153" s="87">
        <f>IF(ISBLANK('Etape 2'!P150),0,VLOOKUP('Etape 2'!P150,Matrix_Uebersetzung,2,FALSE))</f>
        <v>0</v>
      </c>
      <c r="V153" s="87" t="str">
        <f>'Etape 2'!Q150</f>
        <v/>
      </c>
      <c r="W153" s="87">
        <f>'Etape 2'!R150</f>
        <v>0</v>
      </c>
      <c r="X153" s="87" t="str">
        <f>'Etape 2'!S150</f>
        <v/>
      </c>
      <c r="Y153" s="89" t="str">
        <f>'Etape 2'!T150</f>
        <v/>
      </c>
      <c r="Z153" s="87">
        <f>'Etape 2'!U150</f>
        <v>0</v>
      </c>
      <c r="AA153" s="87" t="str">
        <f>'Etape 2'!V150</f>
        <v/>
      </c>
      <c r="AB153" s="87">
        <f>IF(ISNUMBER('Etape 2'!W150),'Etape 2'!W150,0)</f>
        <v>0</v>
      </c>
      <c r="AC153" s="87">
        <f>IF(ISNUMBER('Etape 2'!X150),'Etape 2'!X150,0)</f>
        <v>0</v>
      </c>
      <c r="AD153" s="87">
        <f>IF(ISNUMBER('Etape 2'!Y150),'Etape 2'!Y150,0)</f>
        <v>0</v>
      </c>
      <c r="AE153" s="87">
        <f>IF(ISNUMBER('Etape 2'!Z150),'Etape 2'!Z150,0)</f>
        <v>0</v>
      </c>
      <c r="AF153" s="86">
        <f t="shared" si="177"/>
        <v>999</v>
      </c>
      <c r="AG153" s="288">
        <f t="shared" si="178"/>
        <v>0.25</v>
      </c>
      <c r="AH153" s="181" t="e">
        <f t="shared" si="162"/>
        <v>#VALUE!</v>
      </c>
      <c r="AI153" s="181" t="e">
        <f t="shared" si="146"/>
        <v>#VALUE!</v>
      </c>
      <c r="AJ153" s="86">
        <f t="shared" si="163"/>
        <v>200</v>
      </c>
      <c r="AK153" s="91" t="e">
        <f t="shared" si="164"/>
        <v>#N/A</v>
      </c>
      <c r="AL153" s="91" t="e">
        <f t="shared" si="147"/>
        <v>#N/A</v>
      </c>
      <c r="AM153" s="91">
        <f t="shared" si="109"/>
        <v>6</v>
      </c>
      <c r="AN153" s="91" t="e">
        <f t="shared" si="148"/>
        <v>#N/A</v>
      </c>
      <c r="AO153" s="91" t="e">
        <f t="shared" si="149"/>
        <v>#N/A</v>
      </c>
      <c r="AP153" s="21" t="e">
        <f t="shared" si="150"/>
        <v>#N/A</v>
      </c>
      <c r="AQ153" s="21" t="e">
        <f t="shared" si="151"/>
        <v>#N/A</v>
      </c>
      <c r="AR153" s="92" t="str">
        <f t="shared" si="179"/>
        <v/>
      </c>
      <c r="AS153" s="21" t="str">
        <f t="shared" si="180"/>
        <v/>
      </c>
      <c r="AT153" s="59" t="str">
        <f t="shared" si="165"/>
        <v/>
      </c>
      <c r="AU153" s="105">
        <f t="shared" si="113"/>
        <v>1</v>
      </c>
      <c r="AV153" s="105">
        <f t="shared" si="152"/>
        <v>1</v>
      </c>
      <c r="AW153" s="58">
        <f t="shared" si="153"/>
        <v>2</v>
      </c>
      <c r="AX153" s="58">
        <f t="shared" si="154"/>
        <v>3</v>
      </c>
      <c r="AY153" s="58" t="str">
        <f t="shared" si="155"/>
        <v>avec vannes</v>
      </c>
      <c r="AZ153" s="58" t="str">
        <f t="shared" si="156"/>
        <v>fermé</v>
      </c>
      <c r="BA153" s="60">
        <f t="shared" si="158"/>
        <v>0</v>
      </c>
      <c r="BB153" s="60">
        <f t="shared" si="158"/>
        <v>0</v>
      </c>
      <c r="BC153" s="60">
        <f t="shared" si="158"/>
        <v>0</v>
      </c>
      <c r="BD153" s="60">
        <f t="shared" si="158"/>
        <v>0</v>
      </c>
      <c r="BE153" s="286" t="str">
        <f t="shared" si="166"/>
        <v/>
      </c>
      <c r="BF153" s="58" t="str">
        <f t="shared" si="181"/>
        <v/>
      </c>
      <c r="BG153" s="59" t="str">
        <f t="shared" si="167"/>
        <v/>
      </c>
      <c r="BH153" s="158">
        <f t="shared" ca="1" si="168"/>
        <v>1</v>
      </c>
      <c r="BI153" s="60">
        <f t="shared" ca="1" si="169"/>
        <v>0.15</v>
      </c>
      <c r="BJ153" s="60">
        <f t="shared" si="170"/>
        <v>0.2</v>
      </c>
      <c r="BK153" s="60" t="str">
        <f t="shared" si="182"/>
        <v/>
      </c>
      <c r="BL153" s="21" t="str">
        <f t="shared" si="183"/>
        <v/>
      </c>
      <c r="BM153" s="264" t="str">
        <f t="shared" si="171"/>
        <v/>
      </c>
      <c r="BN153" s="60" t="str">
        <f t="shared" si="184"/>
        <v/>
      </c>
      <c r="BO153" s="136">
        <f t="shared" si="185"/>
        <v>0</v>
      </c>
      <c r="BP153" s="59">
        <f t="shared" si="186"/>
        <v>0</v>
      </c>
      <c r="BQ153" s="136">
        <f t="shared" ca="1" si="172"/>
        <v>1338</v>
      </c>
      <c r="BR153" s="136">
        <f t="shared" ca="1" si="173"/>
        <v>1000.4584717607974</v>
      </c>
      <c r="BS153" s="136">
        <f t="shared" ca="1" si="174"/>
        <v>1468800.4584717609</v>
      </c>
      <c r="BT153" s="136">
        <f t="shared" ca="1" si="175"/>
        <v>313875.38119752001</v>
      </c>
      <c r="BU153" s="136">
        <f t="shared" ca="1" si="176"/>
        <v>1000.4584717607974</v>
      </c>
    </row>
    <row r="154" spans="1:73" x14ac:dyDescent="0.2">
      <c r="A154" s="87" t="str">
        <f>'Etape 2'!A151</f>
        <v/>
      </c>
      <c r="B154" s="87">
        <f>'Etape 2'!B151</f>
        <v>139</v>
      </c>
      <c r="C154" s="87">
        <f ca="1">'Etape 2'!C151</f>
        <v>162</v>
      </c>
      <c r="D154" s="87"/>
      <c r="E154" s="61">
        <f ca="1">RANK(BU154,BU$16:BU$315,0)+COUNTIF(BU$16:BU154,BU154)-1</f>
        <v>162</v>
      </c>
      <c r="F154" s="87" t="str">
        <f>'Etape 2'!D151</f>
        <v/>
      </c>
      <c r="G154" s="87" t="str">
        <f>'Etape 2'!E151</f>
        <v/>
      </c>
      <c r="H154" s="87" t="str">
        <f>'Etape 2'!F151</f>
        <v/>
      </c>
      <c r="I154" s="87" t="str">
        <f>'Etape 2'!G151</f>
        <v/>
      </c>
      <c r="J154" s="87" t="str">
        <f>'Etape 2'!H151</f>
        <v/>
      </c>
      <c r="K154" s="87" t="str">
        <f>'Etape 2'!I151</f>
        <v/>
      </c>
      <c r="L154" s="87">
        <f ca="1">'Etape 2'!J151</f>
        <v>999999</v>
      </c>
      <c r="M154" s="87">
        <f>'Etape 2'!K151</f>
        <v>999</v>
      </c>
      <c r="N154" s="87">
        <f ca="1">'Etape 2'!L151</f>
        <v>139</v>
      </c>
      <c r="O154" s="259">
        <f t="shared" si="159"/>
        <v>0.3</v>
      </c>
      <c r="P154" s="259">
        <f t="shared" si="160"/>
        <v>1.1000000000000001</v>
      </c>
      <c r="Q154" s="260">
        <f t="shared" si="161"/>
        <v>0</v>
      </c>
      <c r="R154" s="261">
        <f t="shared" si="187"/>
        <v>0</v>
      </c>
      <c r="S154" s="87">
        <f>IF(ISBLANK('Etape 2'!N151),0,VLOOKUP('Etape 2'!N151,Matrix_Uebersetzung,2,FALSE))</f>
        <v>0</v>
      </c>
      <c r="T154" s="87">
        <f>IF(ISBLANK('Etape 2'!O151),0,VLOOKUP('Etape 2'!O151,Matrix_Uebersetzung,2,FALSE))</f>
        <v>0</v>
      </c>
      <c r="U154" s="87">
        <f>IF(ISBLANK('Etape 2'!P151),0,VLOOKUP('Etape 2'!P151,Matrix_Uebersetzung,2,FALSE))</f>
        <v>0</v>
      </c>
      <c r="V154" s="87" t="str">
        <f>'Etape 2'!Q151</f>
        <v/>
      </c>
      <c r="W154" s="87">
        <f>'Etape 2'!R151</f>
        <v>0</v>
      </c>
      <c r="X154" s="87" t="str">
        <f>'Etape 2'!S151</f>
        <v/>
      </c>
      <c r="Y154" s="89" t="str">
        <f>'Etape 2'!T151</f>
        <v/>
      </c>
      <c r="Z154" s="87">
        <f>'Etape 2'!U151</f>
        <v>0</v>
      </c>
      <c r="AA154" s="87" t="str">
        <f>'Etape 2'!V151</f>
        <v/>
      </c>
      <c r="AB154" s="87">
        <f>IF(ISNUMBER('Etape 2'!W151),'Etape 2'!W151,0)</f>
        <v>0</v>
      </c>
      <c r="AC154" s="87">
        <f>IF(ISNUMBER('Etape 2'!X151),'Etape 2'!X151,0)</f>
        <v>0</v>
      </c>
      <c r="AD154" s="87">
        <f>IF(ISNUMBER('Etape 2'!Y151),'Etape 2'!Y151,0)</f>
        <v>0</v>
      </c>
      <c r="AE154" s="87">
        <f>IF(ISNUMBER('Etape 2'!Z151),'Etape 2'!Z151,0)</f>
        <v>0</v>
      </c>
      <c r="AF154" s="86">
        <f t="shared" si="177"/>
        <v>999</v>
      </c>
      <c r="AG154" s="288">
        <f t="shared" si="178"/>
        <v>0.25</v>
      </c>
      <c r="AH154" s="181" t="e">
        <f t="shared" si="162"/>
        <v>#VALUE!</v>
      </c>
      <c r="AI154" s="181" t="e">
        <f t="shared" si="146"/>
        <v>#VALUE!</v>
      </c>
      <c r="AJ154" s="86">
        <f t="shared" si="163"/>
        <v>200</v>
      </c>
      <c r="AK154" s="91" t="e">
        <f t="shared" si="164"/>
        <v>#N/A</v>
      </c>
      <c r="AL154" s="91" t="e">
        <f t="shared" si="147"/>
        <v>#N/A</v>
      </c>
      <c r="AM154" s="91">
        <f t="shared" si="109"/>
        <v>6</v>
      </c>
      <c r="AN154" s="91" t="e">
        <f t="shared" si="148"/>
        <v>#N/A</v>
      </c>
      <c r="AO154" s="91" t="e">
        <f t="shared" si="149"/>
        <v>#N/A</v>
      </c>
      <c r="AP154" s="21" t="e">
        <f t="shared" si="150"/>
        <v>#N/A</v>
      </c>
      <c r="AQ154" s="21" t="e">
        <f t="shared" si="151"/>
        <v>#N/A</v>
      </c>
      <c r="AR154" s="92" t="str">
        <f t="shared" si="179"/>
        <v/>
      </c>
      <c r="AS154" s="21" t="str">
        <f t="shared" si="180"/>
        <v/>
      </c>
      <c r="AT154" s="59" t="str">
        <f t="shared" si="165"/>
        <v/>
      </c>
      <c r="AU154" s="105">
        <f t="shared" si="113"/>
        <v>1</v>
      </c>
      <c r="AV154" s="105">
        <f t="shared" si="152"/>
        <v>1</v>
      </c>
      <c r="AW154" s="58">
        <f t="shared" si="153"/>
        <v>2</v>
      </c>
      <c r="AX154" s="58">
        <f t="shared" si="154"/>
        <v>3</v>
      </c>
      <c r="AY154" s="58" t="str">
        <f t="shared" si="155"/>
        <v>avec vannes</v>
      </c>
      <c r="AZ154" s="58" t="str">
        <f t="shared" si="156"/>
        <v>fermé</v>
      </c>
      <c r="BA154" s="60">
        <f t="shared" si="158"/>
        <v>0</v>
      </c>
      <c r="BB154" s="60">
        <f t="shared" si="158"/>
        <v>0</v>
      </c>
      <c r="BC154" s="60">
        <f t="shared" si="158"/>
        <v>0</v>
      </c>
      <c r="BD154" s="60">
        <f t="shared" si="158"/>
        <v>0</v>
      </c>
      <c r="BE154" s="286" t="str">
        <f t="shared" si="166"/>
        <v/>
      </c>
      <c r="BF154" s="58" t="str">
        <f t="shared" si="181"/>
        <v/>
      </c>
      <c r="BG154" s="59" t="str">
        <f t="shared" si="167"/>
        <v/>
      </c>
      <c r="BH154" s="158">
        <f t="shared" ca="1" si="168"/>
        <v>1</v>
      </c>
      <c r="BI154" s="60">
        <f t="shared" ca="1" si="169"/>
        <v>0.15</v>
      </c>
      <c r="BJ154" s="60">
        <f t="shared" si="170"/>
        <v>0.2</v>
      </c>
      <c r="BK154" s="60" t="str">
        <f t="shared" si="182"/>
        <v/>
      </c>
      <c r="BL154" s="21" t="str">
        <f t="shared" si="183"/>
        <v/>
      </c>
      <c r="BM154" s="264" t="str">
        <f t="shared" si="171"/>
        <v/>
      </c>
      <c r="BN154" s="60" t="str">
        <f t="shared" si="184"/>
        <v/>
      </c>
      <c r="BO154" s="136">
        <f t="shared" si="185"/>
        <v>0</v>
      </c>
      <c r="BP154" s="59">
        <f t="shared" si="186"/>
        <v>0</v>
      </c>
      <c r="BQ154" s="136">
        <f t="shared" ca="1" si="172"/>
        <v>1339</v>
      </c>
      <c r="BR154" s="136">
        <f t="shared" ca="1" si="173"/>
        <v>1000.4617940199336</v>
      </c>
      <c r="BS154" s="136">
        <f t="shared" ca="1" si="174"/>
        <v>1468800.4617940199</v>
      </c>
      <c r="BT154" s="136">
        <f t="shared" ca="1" si="175"/>
        <v>313875.38451977912</v>
      </c>
      <c r="BU154" s="136">
        <f t="shared" ca="1" si="176"/>
        <v>1000.4617940199336</v>
      </c>
    </row>
    <row r="155" spans="1:73" x14ac:dyDescent="0.2">
      <c r="A155" s="87" t="str">
        <f>'Etape 2'!A152</f>
        <v/>
      </c>
      <c r="B155" s="87">
        <f>'Etape 2'!B152</f>
        <v>140</v>
      </c>
      <c r="C155" s="87">
        <f ca="1">'Etape 2'!C152</f>
        <v>161</v>
      </c>
      <c r="D155" s="87"/>
      <c r="E155" s="61">
        <f ca="1">RANK(BU155,BU$16:BU$315,0)+COUNTIF(BU$16:BU155,BU155)-1</f>
        <v>161</v>
      </c>
      <c r="F155" s="87" t="str">
        <f>'Etape 2'!D152</f>
        <v/>
      </c>
      <c r="G155" s="87" t="str">
        <f>'Etape 2'!E152</f>
        <v/>
      </c>
      <c r="H155" s="87" t="str">
        <f>'Etape 2'!F152</f>
        <v/>
      </c>
      <c r="I155" s="87" t="str">
        <f>'Etape 2'!G152</f>
        <v/>
      </c>
      <c r="J155" s="87" t="str">
        <f>'Etape 2'!H152</f>
        <v/>
      </c>
      <c r="K155" s="87" t="str">
        <f>'Etape 2'!I152</f>
        <v/>
      </c>
      <c r="L155" s="87">
        <f ca="1">'Etape 2'!J152</f>
        <v>999999</v>
      </c>
      <c r="M155" s="87">
        <f>'Etape 2'!K152</f>
        <v>999</v>
      </c>
      <c r="N155" s="87">
        <f ca="1">'Etape 2'!L152</f>
        <v>140</v>
      </c>
      <c r="O155" s="259">
        <f t="shared" si="159"/>
        <v>0.3</v>
      </c>
      <c r="P155" s="259">
        <f t="shared" si="160"/>
        <v>1.1000000000000001</v>
      </c>
      <c r="Q155" s="260">
        <f t="shared" si="161"/>
        <v>0</v>
      </c>
      <c r="R155" s="261">
        <f t="shared" si="187"/>
        <v>0</v>
      </c>
      <c r="S155" s="87">
        <f>IF(ISBLANK('Etape 2'!N152),0,VLOOKUP('Etape 2'!N152,Matrix_Uebersetzung,2,FALSE))</f>
        <v>0</v>
      </c>
      <c r="T155" s="87">
        <f>IF(ISBLANK('Etape 2'!O152),0,VLOOKUP('Etape 2'!O152,Matrix_Uebersetzung,2,FALSE))</f>
        <v>0</v>
      </c>
      <c r="U155" s="87">
        <f>IF(ISBLANK('Etape 2'!P152),0,VLOOKUP('Etape 2'!P152,Matrix_Uebersetzung,2,FALSE))</f>
        <v>0</v>
      </c>
      <c r="V155" s="87" t="str">
        <f>'Etape 2'!Q152</f>
        <v/>
      </c>
      <c r="W155" s="87">
        <f>'Etape 2'!R152</f>
        <v>0</v>
      </c>
      <c r="X155" s="87" t="str">
        <f>'Etape 2'!S152</f>
        <v/>
      </c>
      <c r="Y155" s="89" t="str">
        <f>'Etape 2'!T152</f>
        <v/>
      </c>
      <c r="Z155" s="87">
        <f>'Etape 2'!U152</f>
        <v>0</v>
      </c>
      <c r="AA155" s="87" t="str">
        <f>'Etape 2'!V152</f>
        <v/>
      </c>
      <c r="AB155" s="87">
        <f>IF(ISNUMBER('Etape 2'!W152),'Etape 2'!W152,0)</f>
        <v>0</v>
      </c>
      <c r="AC155" s="87">
        <f>IF(ISNUMBER('Etape 2'!X152),'Etape 2'!X152,0)</f>
        <v>0</v>
      </c>
      <c r="AD155" s="87">
        <f>IF(ISNUMBER('Etape 2'!Y152),'Etape 2'!Y152,0)</f>
        <v>0</v>
      </c>
      <c r="AE155" s="87">
        <f>IF(ISNUMBER('Etape 2'!Z152),'Etape 2'!Z152,0)</f>
        <v>0</v>
      </c>
      <c r="AF155" s="86">
        <f t="shared" si="177"/>
        <v>999</v>
      </c>
      <c r="AG155" s="288">
        <f t="shared" si="178"/>
        <v>0.25</v>
      </c>
      <c r="AH155" s="181" t="e">
        <f t="shared" si="162"/>
        <v>#VALUE!</v>
      </c>
      <c r="AI155" s="181" t="e">
        <f t="shared" si="146"/>
        <v>#VALUE!</v>
      </c>
      <c r="AJ155" s="86">
        <f t="shared" si="163"/>
        <v>200</v>
      </c>
      <c r="AK155" s="91" t="e">
        <f t="shared" si="164"/>
        <v>#N/A</v>
      </c>
      <c r="AL155" s="91" t="e">
        <f t="shared" si="147"/>
        <v>#N/A</v>
      </c>
      <c r="AM155" s="91">
        <f t="shared" si="109"/>
        <v>6</v>
      </c>
      <c r="AN155" s="91" t="e">
        <f t="shared" si="148"/>
        <v>#N/A</v>
      </c>
      <c r="AO155" s="91" t="e">
        <f t="shared" si="149"/>
        <v>#N/A</v>
      </c>
      <c r="AP155" s="21" t="e">
        <f t="shared" si="150"/>
        <v>#N/A</v>
      </c>
      <c r="AQ155" s="21" t="e">
        <f t="shared" si="151"/>
        <v>#N/A</v>
      </c>
      <c r="AR155" s="92" t="str">
        <f t="shared" si="179"/>
        <v/>
      </c>
      <c r="AS155" s="21" t="str">
        <f t="shared" si="180"/>
        <v/>
      </c>
      <c r="AT155" s="59" t="str">
        <f t="shared" si="165"/>
        <v/>
      </c>
      <c r="AU155" s="105">
        <f t="shared" si="113"/>
        <v>1</v>
      </c>
      <c r="AV155" s="105">
        <f t="shared" si="152"/>
        <v>1</v>
      </c>
      <c r="AW155" s="58">
        <f t="shared" si="153"/>
        <v>2</v>
      </c>
      <c r="AX155" s="58">
        <f t="shared" si="154"/>
        <v>3</v>
      </c>
      <c r="AY155" s="58" t="str">
        <f t="shared" si="155"/>
        <v>avec vannes</v>
      </c>
      <c r="AZ155" s="58" t="str">
        <f t="shared" si="156"/>
        <v>fermé</v>
      </c>
      <c r="BA155" s="60">
        <f t="shared" si="158"/>
        <v>0</v>
      </c>
      <c r="BB155" s="60">
        <f t="shared" si="158"/>
        <v>0</v>
      </c>
      <c r="BC155" s="60">
        <f t="shared" si="158"/>
        <v>0</v>
      </c>
      <c r="BD155" s="60">
        <f t="shared" si="158"/>
        <v>0</v>
      </c>
      <c r="BE155" s="286" t="str">
        <f t="shared" si="166"/>
        <v/>
      </c>
      <c r="BF155" s="58" t="str">
        <f t="shared" si="181"/>
        <v/>
      </c>
      <c r="BG155" s="59" t="str">
        <f t="shared" si="167"/>
        <v/>
      </c>
      <c r="BH155" s="158">
        <f t="shared" ca="1" si="168"/>
        <v>1</v>
      </c>
      <c r="BI155" s="60">
        <f t="shared" ca="1" si="169"/>
        <v>0.15</v>
      </c>
      <c r="BJ155" s="60">
        <f t="shared" si="170"/>
        <v>0.2</v>
      </c>
      <c r="BK155" s="60" t="str">
        <f t="shared" si="182"/>
        <v/>
      </c>
      <c r="BL155" s="21" t="str">
        <f t="shared" si="183"/>
        <v/>
      </c>
      <c r="BM155" s="264" t="str">
        <f t="shared" si="171"/>
        <v/>
      </c>
      <c r="BN155" s="60" t="str">
        <f t="shared" si="184"/>
        <v/>
      </c>
      <c r="BO155" s="136">
        <f t="shared" si="185"/>
        <v>0</v>
      </c>
      <c r="BP155" s="59">
        <f t="shared" si="186"/>
        <v>0</v>
      </c>
      <c r="BQ155" s="136">
        <f t="shared" ca="1" si="172"/>
        <v>1340</v>
      </c>
      <c r="BR155" s="136">
        <f t="shared" ca="1" si="173"/>
        <v>1000.4651162790698</v>
      </c>
      <c r="BS155" s="136">
        <f t="shared" ca="1" si="174"/>
        <v>1468800.465116279</v>
      </c>
      <c r="BT155" s="136">
        <f t="shared" ca="1" si="175"/>
        <v>313875.3878420383</v>
      </c>
      <c r="BU155" s="136">
        <f t="shared" ca="1" si="176"/>
        <v>1000.4651162790698</v>
      </c>
    </row>
    <row r="156" spans="1:73" x14ac:dyDescent="0.2">
      <c r="A156" s="87" t="str">
        <f>'Etape 2'!A153</f>
        <v/>
      </c>
      <c r="B156" s="87">
        <f>'Etape 2'!B153</f>
        <v>141</v>
      </c>
      <c r="C156" s="87">
        <f ca="1">'Etape 2'!C153</f>
        <v>160</v>
      </c>
      <c r="D156" s="87"/>
      <c r="E156" s="61">
        <f ca="1">RANK(BU156,BU$16:BU$315,0)+COUNTIF(BU$16:BU156,BU156)-1</f>
        <v>160</v>
      </c>
      <c r="F156" s="87" t="str">
        <f>'Etape 2'!D153</f>
        <v/>
      </c>
      <c r="G156" s="87" t="str">
        <f>'Etape 2'!E153</f>
        <v/>
      </c>
      <c r="H156" s="87" t="str">
        <f>'Etape 2'!F153</f>
        <v/>
      </c>
      <c r="I156" s="87" t="str">
        <f>'Etape 2'!G153</f>
        <v/>
      </c>
      <c r="J156" s="87" t="str">
        <f>'Etape 2'!H153</f>
        <v/>
      </c>
      <c r="K156" s="87" t="str">
        <f>'Etape 2'!I153</f>
        <v/>
      </c>
      <c r="L156" s="87">
        <f ca="1">'Etape 2'!J153</f>
        <v>999999</v>
      </c>
      <c r="M156" s="87">
        <f>'Etape 2'!K153</f>
        <v>999</v>
      </c>
      <c r="N156" s="87">
        <f ca="1">'Etape 2'!L153</f>
        <v>141</v>
      </c>
      <c r="O156" s="259">
        <f t="shared" si="159"/>
        <v>0.3</v>
      </c>
      <c r="P156" s="259">
        <f t="shared" si="160"/>
        <v>1.1000000000000001</v>
      </c>
      <c r="Q156" s="260">
        <f t="shared" si="161"/>
        <v>0</v>
      </c>
      <c r="R156" s="261">
        <f t="shared" si="187"/>
        <v>0</v>
      </c>
      <c r="S156" s="87">
        <f>IF(ISBLANK('Etape 2'!N153),0,VLOOKUP('Etape 2'!N153,Matrix_Uebersetzung,2,FALSE))</f>
        <v>0</v>
      </c>
      <c r="T156" s="87">
        <f>IF(ISBLANK('Etape 2'!O153),0,VLOOKUP('Etape 2'!O153,Matrix_Uebersetzung,2,FALSE))</f>
        <v>0</v>
      </c>
      <c r="U156" s="87">
        <f>IF(ISBLANK('Etape 2'!P153),0,VLOOKUP('Etape 2'!P153,Matrix_Uebersetzung,2,FALSE))</f>
        <v>0</v>
      </c>
      <c r="V156" s="87" t="str">
        <f>'Etape 2'!Q153</f>
        <v/>
      </c>
      <c r="W156" s="87">
        <f>'Etape 2'!R153</f>
        <v>0</v>
      </c>
      <c r="X156" s="87" t="str">
        <f>'Etape 2'!S153</f>
        <v/>
      </c>
      <c r="Y156" s="89" t="str">
        <f>'Etape 2'!T153</f>
        <v/>
      </c>
      <c r="Z156" s="87">
        <f>'Etape 2'!U153</f>
        <v>0</v>
      </c>
      <c r="AA156" s="87" t="str">
        <f>'Etape 2'!V153</f>
        <v/>
      </c>
      <c r="AB156" s="87">
        <f>IF(ISNUMBER('Etape 2'!W153),'Etape 2'!W153,0)</f>
        <v>0</v>
      </c>
      <c r="AC156" s="87">
        <f>IF(ISNUMBER('Etape 2'!X153),'Etape 2'!X153,0)</f>
        <v>0</v>
      </c>
      <c r="AD156" s="87">
        <f>IF(ISNUMBER('Etape 2'!Y153),'Etape 2'!Y153,0)</f>
        <v>0</v>
      </c>
      <c r="AE156" s="87">
        <f>IF(ISNUMBER('Etape 2'!Z153),'Etape 2'!Z153,0)</f>
        <v>0</v>
      </c>
      <c r="AF156" s="86">
        <f t="shared" si="177"/>
        <v>999</v>
      </c>
      <c r="AG156" s="288">
        <f t="shared" si="178"/>
        <v>0.25</v>
      </c>
      <c r="AH156" s="181" t="e">
        <f t="shared" si="162"/>
        <v>#VALUE!</v>
      </c>
      <c r="AI156" s="181" t="e">
        <f t="shared" si="146"/>
        <v>#VALUE!</v>
      </c>
      <c r="AJ156" s="86">
        <f t="shared" si="163"/>
        <v>200</v>
      </c>
      <c r="AK156" s="91" t="e">
        <f t="shared" si="164"/>
        <v>#N/A</v>
      </c>
      <c r="AL156" s="91" t="e">
        <f t="shared" si="147"/>
        <v>#N/A</v>
      </c>
      <c r="AM156" s="91">
        <f t="shared" si="109"/>
        <v>6</v>
      </c>
      <c r="AN156" s="91" t="e">
        <f t="shared" si="148"/>
        <v>#N/A</v>
      </c>
      <c r="AO156" s="91" t="e">
        <f t="shared" si="149"/>
        <v>#N/A</v>
      </c>
      <c r="AP156" s="21" t="e">
        <f t="shared" si="150"/>
        <v>#N/A</v>
      </c>
      <c r="AQ156" s="21" t="e">
        <f t="shared" si="151"/>
        <v>#N/A</v>
      </c>
      <c r="AR156" s="92" t="str">
        <f t="shared" si="179"/>
        <v/>
      </c>
      <c r="AS156" s="21" t="str">
        <f t="shared" si="180"/>
        <v/>
      </c>
      <c r="AT156" s="59" t="str">
        <f t="shared" si="165"/>
        <v/>
      </c>
      <c r="AU156" s="105">
        <f t="shared" si="113"/>
        <v>1</v>
      </c>
      <c r="AV156" s="105">
        <f t="shared" si="152"/>
        <v>1</v>
      </c>
      <c r="AW156" s="58">
        <f t="shared" si="153"/>
        <v>2</v>
      </c>
      <c r="AX156" s="58">
        <f t="shared" si="154"/>
        <v>3</v>
      </c>
      <c r="AY156" s="58" t="str">
        <f t="shared" si="155"/>
        <v>avec vannes</v>
      </c>
      <c r="AZ156" s="58" t="str">
        <f t="shared" si="156"/>
        <v>fermé</v>
      </c>
      <c r="BA156" s="60">
        <f t="shared" ref="BA156:BD175" si="188">IF(BA$15/$AG156&gt;1,0,VLOOKUP(BA$15/$AG156,Matrix_Regelung.Teilvolumenstrom.Einsparpotential.ID,$AX156,0))</f>
        <v>0</v>
      </c>
      <c r="BB156" s="60">
        <f t="shared" si="188"/>
        <v>0</v>
      </c>
      <c r="BC156" s="60">
        <f t="shared" si="188"/>
        <v>0</v>
      </c>
      <c r="BD156" s="60">
        <f t="shared" si="188"/>
        <v>0</v>
      </c>
      <c r="BE156" s="286" t="str">
        <f t="shared" si="166"/>
        <v/>
      </c>
      <c r="BF156" s="58" t="str">
        <f t="shared" si="181"/>
        <v/>
      </c>
      <c r="BG156" s="59" t="str">
        <f t="shared" si="167"/>
        <v/>
      </c>
      <c r="BH156" s="158">
        <f t="shared" ca="1" si="168"/>
        <v>1</v>
      </c>
      <c r="BI156" s="60">
        <f t="shared" ca="1" si="169"/>
        <v>0.15</v>
      </c>
      <c r="BJ156" s="60">
        <f t="shared" si="170"/>
        <v>0.2</v>
      </c>
      <c r="BK156" s="60" t="str">
        <f t="shared" si="182"/>
        <v/>
      </c>
      <c r="BL156" s="21" t="str">
        <f t="shared" si="183"/>
        <v/>
      </c>
      <c r="BM156" s="264" t="str">
        <f t="shared" si="171"/>
        <v/>
      </c>
      <c r="BN156" s="60" t="str">
        <f t="shared" si="184"/>
        <v/>
      </c>
      <c r="BO156" s="136">
        <f t="shared" si="185"/>
        <v>0</v>
      </c>
      <c r="BP156" s="59">
        <f t="shared" si="186"/>
        <v>0</v>
      </c>
      <c r="BQ156" s="136">
        <f t="shared" ca="1" si="172"/>
        <v>1341</v>
      </c>
      <c r="BR156" s="136">
        <f t="shared" ca="1" si="173"/>
        <v>1000.468438538206</v>
      </c>
      <c r="BS156" s="136">
        <f t="shared" ca="1" si="174"/>
        <v>1468800.4684385383</v>
      </c>
      <c r="BT156" s="136">
        <f t="shared" ca="1" si="175"/>
        <v>313875.39116429741</v>
      </c>
      <c r="BU156" s="136">
        <f t="shared" ca="1" si="176"/>
        <v>1000.468438538206</v>
      </c>
    </row>
    <row r="157" spans="1:73" x14ac:dyDescent="0.2">
      <c r="A157" s="87" t="str">
        <f>'Etape 2'!A154</f>
        <v/>
      </c>
      <c r="B157" s="87">
        <f>'Etape 2'!B154</f>
        <v>142</v>
      </c>
      <c r="C157" s="87">
        <f ca="1">'Etape 2'!C154</f>
        <v>159</v>
      </c>
      <c r="D157" s="87"/>
      <c r="E157" s="61">
        <f ca="1">RANK(BU157,BU$16:BU$315,0)+COUNTIF(BU$16:BU157,BU157)-1</f>
        <v>159</v>
      </c>
      <c r="F157" s="87" t="str">
        <f>'Etape 2'!D154</f>
        <v/>
      </c>
      <c r="G157" s="87" t="str">
        <f>'Etape 2'!E154</f>
        <v/>
      </c>
      <c r="H157" s="87" t="str">
        <f>'Etape 2'!F154</f>
        <v/>
      </c>
      <c r="I157" s="87" t="str">
        <f>'Etape 2'!G154</f>
        <v/>
      </c>
      <c r="J157" s="87" t="str">
        <f>'Etape 2'!H154</f>
        <v/>
      </c>
      <c r="K157" s="87" t="str">
        <f>'Etape 2'!I154</f>
        <v/>
      </c>
      <c r="L157" s="87">
        <f ca="1">'Etape 2'!J154</f>
        <v>999999</v>
      </c>
      <c r="M157" s="87">
        <f>'Etape 2'!K154</f>
        <v>999</v>
      </c>
      <c r="N157" s="87">
        <f ca="1">'Etape 2'!L154</f>
        <v>142</v>
      </c>
      <c r="O157" s="259">
        <f t="shared" si="159"/>
        <v>0.3</v>
      </c>
      <c r="P157" s="259">
        <f t="shared" si="160"/>
        <v>1.1000000000000001</v>
      </c>
      <c r="Q157" s="260">
        <f t="shared" si="161"/>
        <v>0</v>
      </c>
      <c r="R157" s="261">
        <f t="shared" si="187"/>
        <v>0</v>
      </c>
      <c r="S157" s="87">
        <f>IF(ISBLANK('Etape 2'!N154),0,VLOOKUP('Etape 2'!N154,Matrix_Uebersetzung,2,FALSE))</f>
        <v>0</v>
      </c>
      <c r="T157" s="87">
        <f>IF(ISBLANK('Etape 2'!O154),0,VLOOKUP('Etape 2'!O154,Matrix_Uebersetzung,2,FALSE))</f>
        <v>0</v>
      </c>
      <c r="U157" s="87">
        <f>IF(ISBLANK('Etape 2'!P154),0,VLOOKUP('Etape 2'!P154,Matrix_Uebersetzung,2,FALSE))</f>
        <v>0</v>
      </c>
      <c r="V157" s="87" t="str">
        <f>'Etape 2'!Q154</f>
        <v/>
      </c>
      <c r="W157" s="87">
        <f>'Etape 2'!R154</f>
        <v>0</v>
      </c>
      <c r="X157" s="87" t="str">
        <f>'Etape 2'!S154</f>
        <v/>
      </c>
      <c r="Y157" s="89" t="str">
        <f>'Etape 2'!T154</f>
        <v/>
      </c>
      <c r="Z157" s="87">
        <f>'Etape 2'!U154</f>
        <v>0</v>
      </c>
      <c r="AA157" s="87" t="str">
        <f>'Etape 2'!V154</f>
        <v/>
      </c>
      <c r="AB157" s="87">
        <f>IF(ISNUMBER('Etape 2'!W154),'Etape 2'!W154,0)</f>
        <v>0</v>
      </c>
      <c r="AC157" s="87">
        <f>IF(ISNUMBER('Etape 2'!X154),'Etape 2'!X154,0)</f>
        <v>0</v>
      </c>
      <c r="AD157" s="87">
        <f>IF(ISNUMBER('Etape 2'!Y154),'Etape 2'!Y154,0)</f>
        <v>0</v>
      </c>
      <c r="AE157" s="87">
        <f>IF(ISNUMBER('Etape 2'!Z154),'Etape 2'!Z154,0)</f>
        <v>0</v>
      </c>
      <c r="AF157" s="86">
        <f t="shared" si="177"/>
        <v>999</v>
      </c>
      <c r="AG157" s="288">
        <f t="shared" si="178"/>
        <v>0.25</v>
      </c>
      <c r="AH157" s="181" t="e">
        <f t="shared" si="162"/>
        <v>#VALUE!</v>
      </c>
      <c r="AI157" s="181" t="e">
        <f t="shared" si="146"/>
        <v>#VALUE!</v>
      </c>
      <c r="AJ157" s="86">
        <f t="shared" si="163"/>
        <v>200</v>
      </c>
      <c r="AK157" s="91" t="e">
        <f t="shared" si="164"/>
        <v>#N/A</v>
      </c>
      <c r="AL157" s="91" t="e">
        <f t="shared" si="147"/>
        <v>#N/A</v>
      </c>
      <c r="AM157" s="91">
        <f t="shared" si="109"/>
        <v>6</v>
      </c>
      <c r="AN157" s="91" t="e">
        <f t="shared" si="148"/>
        <v>#N/A</v>
      </c>
      <c r="AO157" s="91" t="e">
        <f t="shared" si="149"/>
        <v>#N/A</v>
      </c>
      <c r="AP157" s="21" t="e">
        <f t="shared" si="150"/>
        <v>#N/A</v>
      </c>
      <c r="AQ157" s="21" t="e">
        <f t="shared" si="151"/>
        <v>#N/A</v>
      </c>
      <c r="AR157" s="92" t="str">
        <f t="shared" si="179"/>
        <v/>
      </c>
      <c r="AS157" s="21" t="str">
        <f t="shared" si="180"/>
        <v/>
      </c>
      <c r="AT157" s="59" t="str">
        <f t="shared" si="165"/>
        <v/>
      </c>
      <c r="AU157" s="105">
        <f t="shared" si="113"/>
        <v>1</v>
      </c>
      <c r="AV157" s="105">
        <f t="shared" si="152"/>
        <v>1</v>
      </c>
      <c r="AW157" s="58">
        <f t="shared" si="153"/>
        <v>2</v>
      </c>
      <c r="AX157" s="58">
        <f t="shared" si="154"/>
        <v>3</v>
      </c>
      <c r="AY157" s="58" t="str">
        <f t="shared" si="155"/>
        <v>avec vannes</v>
      </c>
      <c r="AZ157" s="58" t="str">
        <f t="shared" si="156"/>
        <v>fermé</v>
      </c>
      <c r="BA157" s="60">
        <f t="shared" si="188"/>
        <v>0</v>
      </c>
      <c r="BB157" s="60">
        <f t="shared" si="188"/>
        <v>0</v>
      </c>
      <c r="BC157" s="60">
        <f t="shared" si="188"/>
        <v>0</v>
      </c>
      <c r="BD157" s="60">
        <f t="shared" si="188"/>
        <v>0</v>
      </c>
      <c r="BE157" s="286" t="str">
        <f t="shared" si="166"/>
        <v/>
      </c>
      <c r="BF157" s="58" t="str">
        <f t="shared" si="181"/>
        <v/>
      </c>
      <c r="BG157" s="59" t="str">
        <f t="shared" si="167"/>
        <v/>
      </c>
      <c r="BH157" s="158">
        <f t="shared" ca="1" si="168"/>
        <v>1</v>
      </c>
      <c r="BI157" s="60">
        <f t="shared" ca="1" si="169"/>
        <v>0.15</v>
      </c>
      <c r="BJ157" s="60">
        <f t="shared" si="170"/>
        <v>0.2</v>
      </c>
      <c r="BK157" s="60" t="str">
        <f t="shared" si="182"/>
        <v/>
      </c>
      <c r="BL157" s="21" t="str">
        <f t="shared" si="183"/>
        <v/>
      </c>
      <c r="BM157" s="264" t="str">
        <f t="shared" si="171"/>
        <v/>
      </c>
      <c r="BN157" s="60" t="str">
        <f t="shared" si="184"/>
        <v/>
      </c>
      <c r="BO157" s="136">
        <f t="shared" si="185"/>
        <v>0</v>
      </c>
      <c r="BP157" s="59">
        <f t="shared" si="186"/>
        <v>0</v>
      </c>
      <c r="BQ157" s="136">
        <f t="shared" ca="1" si="172"/>
        <v>1342</v>
      </c>
      <c r="BR157" s="136">
        <f t="shared" ca="1" si="173"/>
        <v>1000.4717607973422</v>
      </c>
      <c r="BS157" s="136">
        <f t="shared" ca="1" si="174"/>
        <v>1468800.4717607973</v>
      </c>
      <c r="BT157" s="136">
        <f t="shared" ca="1" si="175"/>
        <v>313875.39448655653</v>
      </c>
      <c r="BU157" s="136">
        <f t="shared" ca="1" si="176"/>
        <v>1000.4717607973422</v>
      </c>
    </row>
    <row r="158" spans="1:73" x14ac:dyDescent="0.2">
      <c r="A158" s="87" t="str">
        <f>'Etape 2'!A155</f>
        <v/>
      </c>
      <c r="B158" s="87">
        <f>'Etape 2'!B155</f>
        <v>143</v>
      </c>
      <c r="C158" s="87">
        <f ca="1">'Etape 2'!C155</f>
        <v>158</v>
      </c>
      <c r="D158" s="87"/>
      <c r="E158" s="61">
        <f ca="1">RANK(BU158,BU$16:BU$315,0)+COUNTIF(BU$16:BU158,BU158)-1</f>
        <v>158</v>
      </c>
      <c r="F158" s="87" t="str">
        <f>'Etape 2'!D155</f>
        <v/>
      </c>
      <c r="G158" s="87" t="str">
        <f>'Etape 2'!E155</f>
        <v/>
      </c>
      <c r="H158" s="87" t="str">
        <f>'Etape 2'!F155</f>
        <v/>
      </c>
      <c r="I158" s="87" t="str">
        <f>'Etape 2'!G155</f>
        <v/>
      </c>
      <c r="J158" s="87" t="str">
        <f>'Etape 2'!H155</f>
        <v/>
      </c>
      <c r="K158" s="87" t="str">
        <f>'Etape 2'!I155</f>
        <v/>
      </c>
      <c r="L158" s="87">
        <f ca="1">'Etape 2'!J155</f>
        <v>999999</v>
      </c>
      <c r="M158" s="87">
        <f>'Etape 2'!K155</f>
        <v>999</v>
      </c>
      <c r="N158" s="87">
        <f ca="1">'Etape 2'!L155</f>
        <v>143</v>
      </c>
      <c r="O158" s="259">
        <f t="shared" si="159"/>
        <v>0.3</v>
      </c>
      <c r="P158" s="259">
        <f t="shared" si="160"/>
        <v>1.1000000000000001</v>
      </c>
      <c r="Q158" s="260">
        <f t="shared" si="161"/>
        <v>0</v>
      </c>
      <c r="R158" s="261">
        <f t="shared" si="187"/>
        <v>0</v>
      </c>
      <c r="S158" s="87">
        <f>IF(ISBLANK('Etape 2'!N155),0,VLOOKUP('Etape 2'!N155,Matrix_Uebersetzung,2,FALSE))</f>
        <v>0</v>
      </c>
      <c r="T158" s="87">
        <f>IF(ISBLANK('Etape 2'!O155),0,VLOOKUP('Etape 2'!O155,Matrix_Uebersetzung,2,FALSE))</f>
        <v>0</v>
      </c>
      <c r="U158" s="87">
        <f>IF(ISBLANK('Etape 2'!P155),0,VLOOKUP('Etape 2'!P155,Matrix_Uebersetzung,2,FALSE))</f>
        <v>0</v>
      </c>
      <c r="V158" s="87" t="str">
        <f>'Etape 2'!Q155</f>
        <v/>
      </c>
      <c r="W158" s="87">
        <f>'Etape 2'!R155</f>
        <v>0</v>
      </c>
      <c r="X158" s="87" t="str">
        <f>'Etape 2'!S155</f>
        <v/>
      </c>
      <c r="Y158" s="89" t="str">
        <f>'Etape 2'!T155</f>
        <v/>
      </c>
      <c r="Z158" s="87">
        <f>'Etape 2'!U155</f>
        <v>0</v>
      </c>
      <c r="AA158" s="87" t="str">
        <f>'Etape 2'!V155</f>
        <v/>
      </c>
      <c r="AB158" s="87">
        <f>IF(ISNUMBER('Etape 2'!W155),'Etape 2'!W155,0)</f>
        <v>0</v>
      </c>
      <c r="AC158" s="87">
        <f>IF(ISNUMBER('Etape 2'!X155),'Etape 2'!X155,0)</f>
        <v>0</v>
      </c>
      <c r="AD158" s="87">
        <f>IF(ISNUMBER('Etape 2'!Y155),'Etape 2'!Y155,0)</f>
        <v>0</v>
      </c>
      <c r="AE158" s="87">
        <f>IF(ISNUMBER('Etape 2'!Z155),'Etape 2'!Z155,0)</f>
        <v>0</v>
      </c>
      <c r="AF158" s="86">
        <f t="shared" si="177"/>
        <v>999</v>
      </c>
      <c r="AG158" s="288">
        <f t="shared" si="178"/>
        <v>0.25</v>
      </c>
      <c r="AH158" s="181" t="e">
        <f t="shared" si="162"/>
        <v>#VALUE!</v>
      </c>
      <c r="AI158" s="181" t="e">
        <f t="shared" si="146"/>
        <v>#VALUE!</v>
      </c>
      <c r="AJ158" s="86">
        <f t="shared" si="163"/>
        <v>200</v>
      </c>
      <c r="AK158" s="91" t="e">
        <f t="shared" si="164"/>
        <v>#N/A</v>
      </c>
      <c r="AL158" s="91" t="e">
        <f t="shared" si="147"/>
        <v>#N/A</v>
      </c>
      <c r="AM158" s="91">
        <f t="shared" si="109"/>
        <v>6</v>
      </c>
      <c r="AN158" s="91" t="e">
        <f t="shared" si="148"/>
        <v>#N/A</v>
      </c>
      <c r="AO158" s="91" t="e">
        <f t="shared" si="149"/>
        <v>#N/A</v>
      </c>
      <c r="AP158" s="21" t="e">
        <f t="shared" si="150"/>
        <v>#N/A</v>
      </c>
      <c r="AQ158" s="21" t="e">
        <f t="shared" si="151"/>
        <v>#N/A</v>
      </c>
      <c r="AR158" s="92" t="str">
        <f t="shared" si="179"/>
        <v/>
      </c>
      <c r="AS158" s="21" t="str">
        <f t="shared" si="180"/>
        <v/>
      </c>
      <c r="AT158" s="59" t="str">
        <f t="shared" si="165"/>
        <v/>
      </c>
      <c r="AU158" s="105">
        <f t="shared" si="113"/>
        <v>1</v>
      </c>
      <c r="AV158" s="105">
        <f t="shared" si="152"/>
        <v>1</v>
      </c>
      <c r="AW158" s="58">
        <f t="shared" si="153"/>
        <v>2</v>
      </c>
      <c r="AX158" s="58">
        <f t="shared" si="154"/>
        <v>3</v>
      </c>
      <c r="AY158" s="58" t="str">
        <f t="shared" si="155"/>
        <v>avec vannes</v>
      </c>
      <c r="AZ158" s="58" t="str">
        <f t="shared" si="156"/>
        <v>fermé</v>
      </c>
      <c r="BA158" s="60">
        <f t="shared" si="188"/>
        <v>0</v>
      </c>
      <c r="BB158" s="60">
        <f t="shared" si="188"/>
        <v>0</v>
      </c>
      <c r="BC158" s="60">
        <f t="shared" si="188"/>
        <v>0</v>
      </c>
      <c r="BD158" s="60">
        <f t="shared" si="188"/>
        <v>0</v>
      </c>
      <c r="BE158" s="286" t="str">
        <f t="shared" si="166"/>
        <v/>
      </c>
      <c r="BF158" s="58" t="str">
        <f t="shared" si="181"/>
        <v/>
      </c>
      <c r="BG158" s="59" t="str">
        <f t="shared" si="167"/>
        <v/>
      </c>
      <c r="BH158" s="158">
        <f t="shared" ca="1" si="168"/>
        <v>1</v>
      </c>
      <c r="BI158" s="60">
        <f t="shared" ca="1" si="169"/>
        <v>0.15</v>
      </c>
      <c r="BJ158" s="60">
        <f t="shared" si="170"/>
        <v>0.2</v>
      </c>
      <c r="BK158" s="60" t="str">
        <f t="shared" si="182"/>
        <v/>
      </c>
      <c r="BL158" s="21" t="str">
        <f t="shared" si="183"/>
        <v/>
      </c>
      <c r="BM158" s="264" t="str">
        <f t="shared" si="171"/>
        <v/>
      </c>
      <c r="BN158" s="60" t="str">
        <f t="shared" si="184"/>
        <v/>
      </c>
      <c r="BO158" s="136">
        <f t="shared" si="185"/>
        <v>0</v>
      </c>
      <c r="BP158" s="59">
        <f t="shared" si="186"/>
        <v>0</v>
      </c>
      <c r="BQ158" s="136">
        <f t="shared" ca="1" si="172"/>
        <v>1343</v>
      </c>
      <c r="BR158" s="136">
        <f t="shared" ca="1" si="173"/>
        <v>1000.4750830564784</v>
      </c>
      <c r="BS158" s="136">
        <f t="shared" ca="1" si="174"/>
        <v>1468800.4750830564</v>
      </c>
      <c r="BT158" s="136">
        <f t="shared" ca="1" si="175"/>
        <v>313875.3978088157</v>
      </c>
      <c r="BU158" s="136">
        <f t="shared" ca="1" si="176"/>
        <v>1000.4750830564784</v>
      </c>
    </row>
    <row r="159" spans="1:73" x14ac:dyDescent="0.2">
      <c r="A159" s="87" t="str">
        <f>'Etape 2'!A156</f>
        <v/>
      </c>
      <c r="B159" s="87">
        <f>'Etape 2'!B156</f>
        <v>144</v>
      </c>
      <c r="C159" s="87">
        <f ca="1">'Etape 2'!C156</f>
        <v>157</v>
      </c>
      <c r="D159" s="87"/>
      <c r="E159" s="61">
        <f ca="1">RANK(BU159,BU$16:BU$315,0)+COUNTIF(BU$16:BU159,BU159)-1</f>
        <v>157</v>
      </c>
      <c r="F159" s="87" t="str">
        <f>'Etape 2'!D156</f>
        <v/>
      </c>
      <c r="G159" s="87" t="str">
        <f>'Etape 2'!E156</f>
        <v/>
      </c>
      <c r="H159" s="87" t="str">
        <f>'Etape 2'!F156</f>
        <v/>
      </c>
      <c r="I159" s="87" t="str">
        <f>'Etape 2'!G156</f>
        <v/>
      </c>
      <c r="J159" s="87" t="str">
        <f>'Etape 2'!H156</f>
        <v/>
      </c>
      <c r="K159" s="87" t="str">
        <f>'Etape 2'!I156</f>
        <v/>
      </c>
      <c r="L159" s="87">
        <f ca="1">'Etape 2'!J156</f>
        <v>999999</v>
      </c>
      <c r="M159" s="87">
        <f>'Etape 2'!K156</f>
        <v>999</v>
      </c>
      <c r="N159" s="87">
        <f ca="1">'Etape 2'!L156</f>
        <v>144</v>
      </c>
      <c r="O159" s="259">
        <f t="shared" si="159"/>
        <v>0.3</v>
      </c>
      <c r="P159" s="259">
        <f t="shared" si="160"/>
        <v>1.1000000000000001</v>
      </c>
      <c r="Q159" s="260">
        <f t="shared" si="161"/>
        <v>0</v>
      </c>
      <c r="R159" s="261">
        <f t="shared" si="187"/>
        <v>0</v>
      </c>
      <c r="S159" s="87">
        <f>IF(ISBLANK('Etape 2'!N156),0,VLOOKUP('Etape 2'!N156,Matrix_Uebersetzung,2,FALSE))</f>
        <v>0</v>
      </c>
      <c r="T159" s="87">
        <f>IF(ISBLANK('Etape 2'!O156),0,VLOOKUP('Etape 2'!O156,Matrix_Uebersetzung,2,FALSE))</f>
        <v>0</v>
      </c>
      <c r="U159" s="87">
        <f>IF(ISBLANK('Etape 2'!P156),0,VLOOKUP('Etape 2'!P156,Matrix_Uebersetzung,2,FALSE))</f>
        <v>0</v>
      </c>
      <c r="V159" s="87" t="str">
        <f>'Etape 2'!Q156</f>
        <v/>
      </c>
      <c r="W159" s="87">
        <f>'Etape 2'!R156</f>
        <v>0</v>
      </c>
      <c r="X159" s="87" t="str">
        <f>'Etape 2'!S156</f>
        <v/>
      </c>
      <c r="Y159" s="89" t="str">
        <f>'Etape 2'!T156</f>
        <v/>
      </c>
      <c r="Z159" s="87">
        <f>'Etape 2'!U156</f>
        <v>0</v>
      </c>
      <c r="AA159" s="87" t="str">
        <f>'Etape 2'!V156</f>
        <v/>
      </c>
      <c r="AB159" s="87">
        <f>IF(ISNUMBER('Etape 2'!W156),'Etape 2'!W156,0)</f>
        <v>0</v>
      </c>
      <c r="AC159" s="87">
        <f>IF(ISNUMBER('Etape 2'!X156),'Etape 2'!X156,0)</f>
        <v>0</v>
      </c>
      <c r="AD159" s="87">
        <f>IF(ISNUMBER('Etape 2'!Y156),'Etape 2'!Y156,0)</f>
        <v>0</v>
      </c>
      <c r="AE159" s="87">
        <f>IF(ISNUMBER('Etape 2'!Z156),'Etape 2'!Z156,0)</f>
        <v>0</v>
      </c>
      <c r="AF159" s="86">
        <f t="shared" si="177"/>
        <v>999</v>
      </c>
      <c r="AG159" s="288">
        <f t="shared" si="178"/>
        <v>0.25</v>
      </c>
      <c r="AH159" s="181" t="e">
        <f t="shared" si="162"/>
        <v>#VALUE!</v>
      </c>
      <c r="AI159" s="181" t="e">
        <f t="shared" si="146"/>
        <v>#VALUE!</v>
      </c>
      <c r="AJ159" s="86">
        <f t="shared" si="163"/>
        <v>200</v>
      </c>
      <c r="AK159" s="91" t="e">
        <f t="shared" si="164"/>
        <v>#N/A</v>
      </c>
      <c r="AL159" s="91" t="e">
        <f t="shared" si="147"/>
        <v>#N/A</v>
      </c>
      <c r="AM159" s="91">
        <f t="shared" si="109"/>
        <v>6</v>
      </c>
      <c r="AN159" s="91" t="e">
        <f t="shared" si="148"/>
        <v>#N/A</v>
      </c>
      <c r="AO159" s="91" t="e">
        <f t="shared" si="149"/>
        <v>#N/A</v>
      </c>
      <c r="AP159" s="21" t="e">
        <f t="shared" si="150"/>
        <v>#N/A</v>
      </c>
      <c r="AQ159" s="21" t="e">
        <f t="shared" si="151"/>
        <v>#N/A</v>
      </c>
      <c r="AR159" s="92" t="str">
        <f t="shared" si="179"/>
        <v/>
      </c>
      <c r="AS159" s="21" t="str">
        <f t="shared" si="180"/>
        <v/>
      </c>
      <c r="AT159" s="59" t="str">
        <f t="shared" si="165"/>
        <v/>
      </c>
      <c r="AU159" s="105">
        <f t="shared" si="113"/>
        <v>1</v>
      </c>
      <c r="AV159" s="105">
        <f t="shared" si="152"/>
        <v>1</v>
      </c>
      <c r="AW159" s="58">
        <f t="shared" si="153"/>
        <v>2</v>
      </c>
      <c r="AX159" s="58">
        <f t="shared" si="154"/>
        <v>3</v>
      </c>
      <c r="AY159" s="58" t="str">
        <f t="shared" si="155"/>
        <v>avec vannes</v>
      </c>
      <c r="AZ159" s="58" t="str">
        <f t="shared" si="156"/>
        <v>fermé</v>
      </c>
      <c r="BA159" s="60">
        <f t="shared" si="188"/>
        <v>0</v>
      </c>
      <c r="BB159" s="60">
        <f t="shared" si="188"/>
        <v>0</v>
      </c>
      <c r="BC159" s="60">
        <f t="shared" si="188"/>
        <v>0</v>
      </c>
      <c r="BD159" s="60">
        <f t="shared" si="188"/>
        <v>0</v>
      </c>
      <c r="BE159" s="286" t="str">
        <f t="shared" si="166"/>
        <v/>
      </c>
      <c r="BF159" s="58" t="str">
        <f t="shared" si="181"/>
        <v/>
      </c>
      <c r="BG159" s="59" t="str">
        <f t="shared" si="167"/>
        <v/>
      </c>
      <c r="BH159" s="158">
        <f t="shared" ca="1" si="168"/>
        <v>1</v>
      </c>
      <c r="BI159" s="60">
        <f t="shared" ca="1" si="169"/>
        <v>0.15</v>
      </c>
      <c r="BJ159" s="60">
        <f t="shared" si="170"/>
        <v>0.2</v>
      </c>
      <c r="BK159" s="60" t="str">
        <f t="shared" si="182"/>
        <v/>
      </c>
      <c r="BL159" s="21" t="str">
        <f t="shared" si="183"/>
        <v/>
      </c>
      <c r="BM159" s="264" t="str">
        <f t="shared" si="171"/>
        <v/>
      </c>
      <c r="BN159" s="60" t="str">
        <f t="shared" si="184"/>
        <v/>
      </c>
      <c r="BO159" s="136">
        <f t="shared" si="185"/>
        <v>0</v>
      </c>
      <c r="BP159" s="59">
        <f t="shared" si="186"/>
        <v>0</v>
      </c>
      <c r="BQ159" s="136">
        <f t="shared" ca="1" si="172"/>
        <v>1344</v>
      </c>
      <c r="BR159" s="136">
        <f t="shared" ca="1" si="173"/>
        <v>1000.4784053156146</v>
      </c>
      <c r="BS159" s="136">
        <f t="shared" ca="1" si="174"/>
        <v>1468800.4784053157</v>
      </c>
      <c r="BT159" s="136">
        <f t="shared" ca="1" si="175"/>
        <v>313875.40113107482</v>
      </c>
      <c r="BU159" s="136">
        <f t="shared" ca="1" si="176"/>
        <v>1000.4784053156146</v>
      </c>
    </row>
    <row r="160" spans="1:73" x14ac:dyDescent="0.2">
      <c r="A160" s="87" t="str">
        <f>'Etape 2'!A157</f>
        <v/>
      </c>
      <c r="B160" s="87">
        <f>'Etape 2'!B157</f>
        <v>145</v>
      </c>
      <c r="C160" s="87">
        <f ca="1">'Etape 2'!C157</f>
        <v>156</v>
      </c>
      <c r="D160" s="87"/>
      <c r="E160" s="61">
        <f ca="1">RANK(BU160,BU$16:BU$315,0)+COUNTIF(BU$16:BU160,BU160)-1</f>
        <v>156</v>
      </c>
      <c r="F160" s="87" t="str">
        <f>'Etape 2'!D157</f>
        <v/>
      </c>
      <c r="G160" s="87" t="str">
        <f>'Etape 2'!E157</f>
        <v/>
      </c>
      <c r="H160" s="87" t="str">
        <f>'Etape 2'!F157</f>
        <v/>
      </c>
      <c r="I160" s="87" t="str">
        <f>'Etape 2'!G157</f>
        <v/>
      </c>
      <c r="J160" s="87" t="str">
        <f>'Etape 2'!H157</f>
        <v/>
      </c>
      <c r="K160" s="87" t="str">
        <f>'Etape 2'!I157</f>
        <v/>
      </c>
      <c r="L160" s="87">
        <f ca="1">'Etape 2'!J157</f>
        <v>999999</v>
      </c>
      <c r="M160" s="87">
        <f>'Etape 2'!K157</f>
        <v>999</v>
      </c>
      <c r="N160" s="87">
        <f ca="1">'Etape 2'!L157</f>
        <v>145</v>
      </c>
      <c r="O160" s="259">
        <f t="shared" si="159"/>
        <v>0.3</v>
      </c>
      <c r="P160" s="259">
        <f t="shared" si="160"/>
        <v>1.1000000000000001</v>
      </c>
      <c r="Q160" s="260">
        <f t="shared" si="161"/>
        <v>0</v>
      </c>
      <c r="R160" s="261">
        <f t="shared" si="187"/>
        <v>0</v>
      </c>
      <c r="S160" s="87">
        <f>IF(ISBLANK('Etape 2'!N157),0,VLOOKUP('Etape 2'!N157,Matrix_Uebersetzung,2,FALSE))</f>
        <v>0</v>
      </c>
      <c r="T160" s="87">
        <f>IF(ISBLANK('Etape 2'!O157),0,VLOOKUP('Etape 2'!O157,Matrix_Uebersetzung,2,FALSE))</f>
        <v>0</v>
      </c>
      <c r="U160" s="87">
        <f>IF(ISBLANK('Etape 2'!P157),0,VLOOKUP('Etape 2'!P157,Matrix_Uebersetzung,2,FALSE))</f>
        <v>0</v>
      </c>
      <c r="V160" s="87" t="str">
        <f>'Etape 2'!Q157</f>
        <v/>
      </c>
      <c r="W160" s="87">
        <f>'Etape 2'!R157</f>
        <v>0</v>
      </c>
      <c r="X160" s="87" t="str">
        <f>'Etape 2'!S157</f>
        <v/>
      </c>
      <c r="Y160" s="89" t="str">
        <f>'Etape 2'!T157</f>
        <v/>
      </c>
      <c r="Z160" s="87">
        <f>'Etape 2'!U157</f>
        <v>0</v>
      </c>
      <c r="AA160" s="87" t="str">
        <f>'Etape 2'!V157</f>
        <v/>
      </c>
      <c r="AB160" s="87">
        <f>IF(ISNUMBER('Etape 2'!W157),'Etape 2'!W157,0)</f>
        <v>0</v>
      </c>
      <c r="AC160" s="87">
        <f>IF(ISNUMBER('Etape 2'!X157),'Etape 2'!X157,0)</f>
        <v>0</v>
      </c>
      <c r="AD160" s="87">
        <f>IF(ISNUMBER('Etape 2'!Y157),'Etape 2'!Y157,0)</f>
        <v>0</v>
      </c>
      <c r="AE160" s="87">
        <f>IF(ISNUMBER('Etape 2'!Z157),'Etape 2'!Z157,0)</f>
        <v>0</v>
      </c>
      <c r="AF160" s="86">
        <f t="shared" si="177"/>
        <v>999</v>
      </c>
      <c r="AG160" s="288">
        <f t="shared" si="178"/>
        <v>0.25</v>
      </c>
      <c r="AH160" s="181" t="e">
        <f t="shared" si="162"/>
        <v>#VALUE!</v>
      </c>
      <c r="AI160" s="181" t="e">
        <f t="shared" si="146"/>
        <v>#VALUE!</v>
      </c>
      <c r="AJ160" s="86">
        <f t="shared" si="163"/>
        <v>200</v>
      </c>
      <c r="AK160" s="91" t="e">
        <f t="shared" si="164"/>
        <v>#N/A</v>
      </c>
      <c r="AL160" s="91" t="e">
        <f t="shared" si="147"/>
        <v>#N/A</v>
      </c>
      <c r="AM160" s="91">
        <f t="shared" si="109"/>
        <v>6</v>
      </c>
      <c r="AN160" s="91" t="e">
        <f t="shared" si="148"/>
        <v>#N/A</v>
      </c>
      <c r="AO160" s="91" t="e">
        <f t="shared" si="149"/>
        <v>#N/A</v>
      </c>
      <c r="AP160" s="21" t="e">
        <f t="shared" si="150"/>
        <v>#N/A</v>
      </c>
      <c r="AQ160" s="21" t="e">
        <f t="shared" si="151"/>
        <v>#N/A</v>
      </c>
      <c r="AR160" s="92" t="str">
        <f t="shared" si="179"/>
        <v/>
      </c>
      <c r="AS160" s="21" t="str">
        <f t="shared" si="180"/>
        <v/>
      </c>
      <c r="AT160" s="59" t="str">
        <f t="shared" si="165"/>
        <v/>
      </c>
      <c r="AU160" s="105">
        <f t="shared" si="113"/>
        <v>1</v>
      </c>
      <c r="AV160" s="105">
        <f t="shared" si="152"/>
        <v>1</v>
      </c>
      <c r="AW160" s="58">
        <f t="shared" si="153"/>
        <v>2</v>
      </c>
      <c r="AX160" s="58">
        <f t="shared" si="154"/>
        <v>3</v>
      </c>
      <c r="AY160" s="58" t="str">
        <f t="shared" si="155"/>
        <v>avec vannes</v>
      </c>
      <c r="AZ160" s="58" t="str">
        <f t="shared" si="156"/>
        <v>fermé</v>
      </c>
      <c r="BA160" s="60">
        <f t="shared" si="188"/>
        <v>0</v>
      </c>
      <c r="BB160" s="60">
        <f t="shared" si="188"/>
        <v>0</v>
      </c>
      <c r="BC160" s="60">
        <f t="shared" si="188"/>
        <v>0</v>
      </c>
      <c r="BD160" s="60">
        <f t="shared" si="188"/>
        <v>0</v>
      </c>
      <c r="BE160" s="286" t="str">
        <f t="shared" si="166"/>
        <v/>
      </c>
      <c r="BF160" s="58" t="str">
        <f t="shared" si="181"/>
        <v/>
      </c>
      <c r="BG160" s="59" t="str">
        <f t="shared" si="167"/>
        <v/>
      </c>
      <c r="BH160" s="158">
        <f t="shared" ca="1" si="168"/>
        <v>1</v>
      </c>
      <c r="BI160" s="60">
        <f t="shared" ca="1" si="169"/>
        <v>0.15</v>
      </c>
      <c r="BJ160" s="60">
        <f t="shared" si="170"/>
        <v>0.2</v>
      </c>
      <c r="BK160" s="60" t="str">
        <f t="shared" si="182"/>
        <v/>
      </c>
      <c r="BL160" s="21" t="str">
        <f t="shared" si="183"/>
        <v/>
      </c>
      <c r="BM160" s="264" t="str">
        <f t="shared" si="171"/>
        <v/>
      </c>
      <c r="BN160" s="60" t="str">
        <f t="shared" si="184"/>
        <v/>
      </c>
      <c r="BO160" s="136">
        <f t="shared" si="185"/>
        <v>0</v>
      </c>
      <c r="BP160" s="59">
        <f t="shared" si="186"/>
        <v>0</v>
      </c>
      <c r="BQ160" s="136">
        <f t="shared" ca="1" si="172"/>
        <v>1345</v>
      </c>
      <c r="BR160" s="136">
        <f t="shared" ca="1" si="173"/>
        <v>1000.4817275747508</v>
      </c>
      <c r="BS160" s="136">
        <f t="shared" ca="1" si="174"/>
        <v>1468800.4817275747</v>
      </c>
      <c r="BT160" s="136">
        <f t="shared" ca="1" si="175"/>
        <v>313875.40445333399</v>
      </c>
      <c r="BU160" s="136">
        <f t="shared" ca="1" si="176"/>
        <v>1000.4817275747508</v>
      </c>
    </row>
    <row r="161" spans="1:73" x14ac:dyDescent="0.2">
      <c r="A161" s="87" t="str">
        <f>'Etape 2'!A158</f>
        <v/>
      </c>
      <c r="B161" s="87">
        <f>'Etape 2'!B158</f>
        <v>146</v>
      </c>
      <c r="C161" s="87">
        <f ca="1">'Etape 2'!C158</f>
        <v>155</v>
      </c>
      <c r="D161" s="87"/>
      <c r="E161" s="61">
        <f ca="1">RANK(BU161,BU$16:BU$315,0)+COUNTIF(BU$16:BU161,BU161)-1</f>
        <v>155</v>
      </c>
      <c r="F161" s="87" t="str">
        <f>'Etape 2'!D158</f>
        <v/>
      </c>
      <c r="G161" s="87" t="str">
        <f>'Etape 2'!E158</f>
        <v/>
      </c>
      <c r="H161" s="87" t="str">
        <f>'Etape 2'!F158</f>
        <v/>
      </c>
      <c r="I161" s="87" t="str">
        <f>'Etape 2'!G158</f>
        <v/>
      </c>
      <c r="J161" s="87" t="str">
        <f>'Etape 2'!H158</f>
        <v/>
      </c>
      <c r="K161" s="87" t="str">
        <f>'Etape 2'!I158</f>
        <v/>
      </c>
      <c r="L161" s="87">
        <f ca="1">'Etape 2'!J158</f>
        <v>999999</v>
      </c>
      <c r="M161" s="87">
        <f>'Etape 2'!K158</f>
        <v>999</v>
      </c>
      <c r="N161" s="87">
        <f ca="1">'Etape 2'!L158</f>
        <v>146</v>
      </c>
      <c r="O161" s="259">
        <f t="shared" si="159"/>
        <v>0.3</v>
      </c>
      <c r="P161" s="259">
        <f t="shared" si="160"/>
        <v>1.1000000000000001</v>
      </c>
      <c r="Q161" s="260">
        <f t="shared" si="161"/>
        <v>0</v>
      </c>
      <c r="R161" s="261">
        <f t="shared" si="187"/>
        <v>0</v>
      </c>
      <c r="S161" s="87">
        <f>IF(ISBLANK('Etape 2'!N158),0,VLOOKUP('Etape 2'!N158,Matrix_Uebersetzung,2,FALSE))</f>
        <v>0</v>
      </c>
      <c r="T161" s="87">
        <f>IF(ISBLANK('Etape 2'!O158),0,VLOOKUP('Etape 2'!O158,Matrix_Uebersetzung,2,FALSE))</f>
        <v>0</v>
      </c>
      <c r="U161" s="87">
        <f>IF(ISBLANK('Etape 2'!P158),0,VLOOKUP('Etape 2'!P158,Matrix_Uebersetzung,2,FALSE))</f>
        <v>0</v>
      </c>
      <c r="V161" s="87" t="str">
        <f>'Etape 2'!Q158</f>
        <v/>
      </c>
      <c r="W161" s="87">
        <f>'Etape 2'!R158</f>
        <v>0</v>
      </c>
      <c r="X161" s="87" t="str">
        <f>'Etape 2'!S158</f>
        <v/>
      </c>
      <c r="Y161" s="89" t="str">
        <f>'Etape 2'!T158</f>
        <v/>
      </c>
      <c r="Z161" s="87">
        <f>'Etape 2'!U158</f>
        <v>0</v>
      </c>
      <c r="AA161" s="87" t="str">
        <f>'Etape 2'!V158</f>
        <v/>
      </c>
      <c r="AB161" s="87">
        <f>IF(ISNUMBER('Etape 2'!W158),'Etape 2'!W158,0)</f>
        <v>0</v>
      </c>
      <c r="AC161" s="87">
        <f>IF(ISNUMBER('Etape 2'!X158),'Etape 2'!X158,0)</f>
        <v>0</v>
      </c>
      <c r="AD161" s="87">
        <f>IF(ISNUMBER('Etape 2'!Y158),'Etape 2'!Y158,0)</f>
        <v>0</v>
      </c>
      <c r="AE161" s="87">
        <f>IF(ISNUMBER('Etape 2'!Z158),'Etape 2'!Z158,0)</f>
        <v>0</v>
      </c>
      <c r="AF161" s="86">
        <f t="shared" si="177"/>
        <v>999</v>
      </c>
      <c r="AG161" s="288">
        <f t="shared" si="178"/>
        <v>0.25</v>
      </c>
      <c r="AH161" s="181" t="e">
        <f t="shared" si="162"/>
        <v>#VALUE!</v>
      </c>
      <c r="AI161" s="181" t="e">
        <f t="shared" si="146"/>
        <v>#VALUE!</v>
      </c>
      <c r="AJ161" s="86">
        <f t="shared" si="163"/>
        <v>200</v>
      </c>
      <c r="AK161" s="91" t="e">
        <f t="shared" si="164"/>
        <v>#N/A</v>
      </c>
      <c r="AL161" s="91" t="e">
        <f t="shared" si="147"/>
        <v>#N/A</v>
      </c>
      <c r="AM161" s="91">
        <f t="shared" si="109"/>
        <v>6</v>
      </c>
      <c r="AN161" s="91" t="e">
        <f t="shared" si="148"/>
        <v>#N/A</v>
      </c>
      <c r="AO161" s="91" t="e">
        <f t="shared" si="149"/>
        <v>#N/A</v>
      </c>
      <c r="AP161" s="21" t="e">
        <f t="shared" si="150"/>
        <v>#N/A</v>
      </c>
      <c r="AQ161" s="21" t="e">
        <f t="shared" si="151"/>
        <v>#N/A</v>
      </c>
      <c r="AR161" s="92" t="str">
        <f t="shared" si="179"/>
        <v/>
      </c>
      <c r="AS161" s="21" t="str">
        <f t="shared" si="180"/>
        <v/>
      </c>
      <c r="AT161" s="59" t="str">
        <f t="shared" si="165"/>
        <v/>
      </c>
      <c r="AU161" s="105">
        <f t="shared" si="113"/>
        <v>1</v>
      </c>
      <c r="AV161" s="105">
        <f t="shared" si="152"/>
        <v>1</v>
      </c>
      <c r="AW161" s="58">
        <f t="shared" si="153"/>
        <v>2</v>
      </c>
      <c r="AX161" s="58">
        <f t="shared" si="154"/>
        <v>3</v>
      </c>
      <c r="AY161" s="58" t="str">
        <f t="shared" si="155"/>
        <v>avec vannes</v>
      </c>
      <c r="AZ161" s="58" t="str">
        <f t="shared" si="156"/>
        <v>fermé</v>
      </c>
      <c r="BA161" s="60">
        <f t="shared" si="188"/>
        <v>0</v>
      </c>
      <c r="BB161" s="60">
        <f t="shared" si="188"/>
        <v>0</v>
      </c>
      <c r="BC161" s="60">
        <f t="shared" si="188"/>
        <v>0</v>
      </c>
      <c r="BD161" s="60">
        <f t="shared" si="188"/>
        <v>0</v>
      </c>
      <c r="BE161" s="286" t="str">
        <f t="shared" si="166"/>
        <v/>
      </c>
      <c r="BF161" s="58" t="str">
        <f t="shared" si="181"/>
        <v/>
      </c>
      <c r="BG161" s="59" t="str">
        <f t="shared" si="167"/>
        <v/>
      </c>
      <c r="BH161" s="158">
        <f t="shared" ca="1" si="168"/>
        <v>1</v>
      </c>
      <c r="BI161" s="60">
        <f t="shared" ca="1" si="169"/>
        <v>0.15</v>
      </c>
      <c r="BJ161" s="60">
        <f t="shared" si="170"/>
        <v>0.2</v>
      </c>
      <c r="BK161" s="60" t="str">
        <f t="shared" si="182"/>
        <v/>
      </c>
      <c r="BL161" s="21" t="str">
        <f t="shared" si="183"/>
        <v/>
      </c>
      <c r="BM161" s="264" t="str">
        <f t="shared" si="171"/>
        <v/>
      </c>
      <c r="BN161" s="60" t="str">
        <f t="shared" si="184"/>
        <v/>
      </c>
      <c r="BO161" s="136">
        <f t="shared" si="185"/>
        <v>0</v>
      </c>
      <c r="BP161" s="59">
        <f t="shared" si="186"/>
        <v>0</v>
      </c>
      <c r="BQ161" s="136">
        <f t="shared" ca="1" si="172"/>
        <v>1346</v>
      </c>
      <c r="BR161" s="136">
        <f t="shared" ca="1" si="173"/>
        <v>1000.485049833887</v>
      </c>
      <c r="BS161" s="136">
        <f t="shared" ca="1" si="174"/>
        <v>1468800.4850498338</v>
      </c>
      <c r="BT161" s="136">
        <f t="shared" ca="1" si="175"/>
        <v>313875.40777559311</v>
      </c>
      <c r="BU161" s="136">
        <f t="shared" ca="1" si="176"/>
        <v>1000.485049833887</v>
      </c>
    </row>
    <row r="162" spans="1:73" x14ac:dyDescent="0.2">
      <c r="A162" s="87" t="str">
        <f>'Etape 2'!A159</f>
        <v/>
      </c>
      <c r="B162" s="87">
        <f>'Etape 2'!B159</f>
        <v>147</v>
      </c>
      <c r="C162" s="87">
        <f ca="1">'Etape 2'!C159</f>
        <v>154</v>
      </c>
      <c r="D162" s="87"/>
      <c r="E162" s="61">
        <f ca="1">RANK(BU162,BU$16:BU$315,0)+COUNTIF(BU$16:BU162,BU162)-1</f>
        <v>154</v>
      </c>
      <c r="F162" s="87" t="str">
        <f>'Etape 2'!D159</f>
        <v/>
      </c>
      <c r="G162" s="87" t="str">
        <f>'Etape 2'!E159</f>
        <v/>
      </c>
      <c r="H162" s="87" t="str">
        <f>'Etape 2'!F159</f>
        <v/>
      </c>
      <c r="I162" s="87" t="str">
        <f>'Etape 2'!G159</f>
        <v/>
      </c>
      <c r="J162" s="87" t="str">
        <f>'Etape 2'!H159</f>
        <v/>
      </c>
      <c r="K162" s="87" t="str">
        <f>'Etape 2'!I159</f>
        <v/>
      </c>
      <c r="L162" s="87">
        <f ca="1">'Etape 2'!J159</f>
        <v>999999</v>
      </c>
      <c r="M162" s="87">
        <f>'Etape 2'!K159</f>
        <v>999</v>
      </c>
      <c r="N162" s="87">
        <f ca="1">'Etape 2'!L159</f>
        <v>147</v>
      </c>
      <c r="O162" s="259">
        <f t="shared" si="159"/>
        <v>0.3</v>
      </c>
      <c r="P162" s="259">
        <f t="shared" si="160"/>
        <v>1.1000000000000001</v>
      </c>
      <c r="Q162" s="260">
        <f t="shared" si="161"/>
        <v>0</v>
      </c>
      <c r="R162" s="261">
        <f t="shared" si="187"/>
        <v>0</v>
      </c>
      <c r="S162" s="87">
        <f>IF(ISBLANK('Etape 2'!N159),0,VLOOKUP('Etape 2'!N159,Matrix_Uebersetzung,2,FALSE))</f>
        <v>0</v>
      </c>
      <c r="T162" s="87">
        <f>IF(ISBLANK('Etape 2'!O159),0,VLOOKUP('Etape 2'!O159,Matrix_Uebersetzung,2,FALSE))</f>
        <v>0</v>
      </c>
      <c r="U162" s="87">
        <f>IF(ISBLANK('Etape 2'!P159),0,VLOOKUP('Etape 2'!P159,Matrix_Uebersetzung,2,FALSE))</f>
        <v>0</v>
      </c>
      <c r="V162" s="87" t="str">
        <f>'Etape 2'!Q159</f>
        <v/>
      </c>
      <c r="W162" s="87">
        <f>'Etape 2'!R159</f>
        <v>0</v>
      </c>
      <c r="X162" s="87" t="str">
        <f>'Etape 2'!S159</f>
        <v/>
      </c>
      <c r="Y162" s="89" t="str">
        <f>'Etape 2'!T159</f>
        <v/>
      </c>
      <c r="Z162" s="87">
        <f>'Etape 2'!U159</f>
        <v>0</v>
      </c>
      <c r="AA162" s="87" t="str">
        <f>'Etape 2'!V159</f>
        <v/>
      </c>
      <c r="AB162" s="87">
        <f>IF(ISNUMBER('Etape 2'!W159),'Etape 2'!W159,0)</f>
        <v>0</v>
      </c>
      <c r="AC162" s="87">
        <f>IF(ISNUMBER('Etape 2'!X159),'Etape 2'!X159,0)</f>
        <v>0</v>
      </c>
      <c r="AD162" s="87">
        <f>IF(ISNUMBER('Etape 2'!Y159),'Etape 2'!Y159,0)</f>
        <v>0</v>
      </c>
      <c r="AE162" s="87">
        <f>IF(ISNUMBER('Etape 2'!Z159),'Etape 2'!Z159,0)</f>
        <v>0</v>
      </c>
      <c r="AF162" s="86">
        <f t="shared" si="177"/>
        <v>999</v>
      </c>
      <c r="AG162" s="288">
        <f t="shared" si="178"/>
        <v>0.25</v>
      </c>
      <c r="AH162" s="181" t="e">
        <f t="shared" si="162"/>
        <v>#VALUE!</v>
      </c>
      <c r="AI162" s="181" t="e">
        <f t="shared" si="146"/>
        <v>#VALUE!</v>
      </c>
      <c r="AJ162" s="86">
        <f t="shared" si="163"/>
        <v>200</v>
      </c>
      <c r="AK162" s="91" t="e">
        <f t="shared" si="164"/>
        <v>#N/A</v>
      </c>
      <c r="AL162" s="91" t="e">
        <f t="shared" si="147"/>
        <v>#N/A</v>
      </c>
      <c r="AM162" s="91">
        <f t="shared" si="109"/>
        <v>6</v>
      </c>
      <c r="AN162" s="91" t="e">
        <f t="shared" si="148"/>
        <v>#N/A</v>
      </c>
      <c r="AO162" s="91" t="e">
        <f t="shared" si="149"/>
        <v>#N/A</v>
      </c>
      <c r="AP162" s="21" t="e">
        <f t="shared" si="150"/>
        <v>#N/A</v>
      </c>
      <c r="AQ162" s="21" t="e">
        <f t="shared" si="151"/>
        <v>#N/A</v>
      </c>
      <c r="AR162" s="92" t="str">
        <f t="shared" si="179"/>
        <v/>
      </c>
      <c r="AS162" s="21" t="str">
        <f t="shared" si="180"/>
        <v/>
      </c>
      <c r="AT162" s="59" t="str">
        <f t="shared" si="165"/>
        <v/>
      </c>
      <c r="AU162" s="105">
        <f t="shared" si="113"/>
        <v>1</v>
      </c>
      <c r="AV162" s="105">
        <f t="shared" si="152"/>
        <v>1</v>
      </c>
      <c r="AW162" s="58">
        <f t="shared" si="153"/>
        <v>2</v>
      </c>
      <c r="AX162" s="58">
        <f t="shared" si="154"/>
        <v>3</v>
      </c>
      <c r="AY162" s="58" t="str">
        <f t="shared" si="155"/>
        <v>avec vannes</v>
      </c>
      <c r="AZ162" s="58" t="str">
        <f t="shared" si="156"/>
        <v>fermé</v>
      </c>
      <c r="BA162" s="60">
        <f t="shared" si="188"/>
        <v>0</v>
      </c>
      <c r="BB162" s="60">
        <f t="shared" si="188"/>
        <v>0</v>
      </c>
      <c r="BC162" s="60">
        <f t="shared" si="188"/>
        <v>0</v>
      </c>
      <c r="BD162" s="60">
        <f t="shared" si="188"/>
        <v>0</v>
      </c>
      <c r="BE162" s="286" t="str">
        <f t="shared" si="166"/>
        <v/>
      </c>
      <c r="BF162" s="58" t="str">
        <f t="shared" si="181"/>
        <v/>
      </c>
      <c r="BG162" s="59" t="str">
        <f t="shared" si="167"/>
        <v/>
      </c>
      <c r="BH162" s="158">
        <f t="shared" ca="1" si="168"/>
        <v>1</v>
      </c>
      <c r="BI162" s="60">
        <f t="shared" ca="1" si="169"/>
        <v>0.15</v>
      </c>
      <c r="BJ162" s="60">
        <f t="shared" si="170"/>
        <v>0.2</v>
      </c>
      <c r="BK162" s="60" t="str">
        <f t="shared" si="182"/>
        <v/>
      </c>
      <c r="BL162" s="21" t="str">
        <f t="shared" si="183"/>
        <v/>
      </c>
      <c r="BM162" s="264" t="str">
        <f t="shared" si="171"/>
        <v/>
      </c>
      <c r="BN162" s="60" t="str">
        <f t="shared" si="184"/>
        <v/>
      </c>
      <c r="BO162" s="136">
        <f t="shared" si="185"/>
        <v>0</v>
      </c>
      <c r="BP162" s="59">
        <f t="shared" si="186"/>
        <v>0</v>
      </c>
      <c r="BQ162" s="136">
        <f t="shared" ca="1" si="172"/>
        <v>1347</v>
      </c>
      <c r="BR162" s="136">
        <f t="shared" ca="1" si="173"/>
        <v>1000.4883720930233</v>
      </c>
      <c r="BS162" s="136">
        <f t="shared" ca="1" si="174"/>
        <v>1468800.4883720931</v>
      </c>
      <c r="BT162" s="136">
        <f t="shared" ca="1" si="175"/>
        <v>313875.41109785222</v>
      </c>
      <c r="BU162" s="136">
        <f t="shared" ca="1" si="176"/>
        <v>1000.4883720930233</v>
      </c>
    </row>
    <row r="163" spans="1:73" x14ac:dyDescent="0.2">
      <c r="A163" s="87" t="str">
        <f>'Etape 2'!A160</f>
        <v/>
      </c>
      <c r="B163" s="87">
        <f>'Etape 2'!B160</f>
        <v>148</v>
      </c>
      <c r="C163" s="87">
        <f ca="1">'Etape 2'!C160</f>
        <v>153</v>
      </c>
      <c r="D163" s="87"/>
      <c r="E163" s="61">
        <f ca="1">RANK(BU163,BU$16:BU$315,0)+COUNTIF(BU$16:BU163,BU163)-1</f>
        <v>153</v>
      </c>
      <c r="F163" s="87" t="str">
        <f>'Etape 2'!D160</f>
        <v/>
      </c>
      <c r="G163" s="87" t="str">
        <f>'Etape 2'!E160</f>
        <v/>
      </c>
      <c r="H163" s="87" t="str">
        <f>'Etape 2'!F160</f>
        <v/>
      </c>
      <c r="I163" s="87" t="str">
        <f>'Etape 2'!G160</f>
        <v/>
      </c>
      <c r="J163" s="87" t="str">
        <f>'Etape 2'!H160</f>
        <v/>
      </c>
      <c r="K163" s="87" t="str">
        <f>'Etape 2'!I160</f>
        <v/>
      </c>
      <c r="L163" s="87">
        <f ca="1">'Etape 2'!J160</f>
        <v>999999</v>
      </c>
      <c r="M163" s="87">
        <f>'Etape 2'!K160</f>
        <v>999</v>
      </c>
      <c r="N163" s="87">
        <f ca="1">'Etape 2'!L160</f>
        <v>148</v>
      </c>
      <c r="O163" s="259">
        <f t="shared" si="159"/>
        <v>0.3</v>
      </c>
      <c r="P163" s="259">
        <f t="shared" si="160"/>
        <v>1.1000000000000001</v>
      </c>
      <c r="Q163" s="260">
        <f t="shared" si="161"/>
        <v>0</v>
      </c>
      <c r="R163" s="261">
        <f t="shared" si="187"/>
        <v>0</v>
      </c>
      <c r="S163" s="87">
        <f>IF(ISBLANK('Etape 2'!N160),0,VLOOKUP('Etape 2'!N160,Matrix_Uebersetzung,2,FALSE))</f>
        <v>0</v>
      </c>
      <c r="T163" s="87">
        <f>IF(ISBLANK('Etape 2'!O160),0,VLOOKUP('Etape 2'!O160,Matrix_Uebersetzung,2,FALSE))</f>
        <v>0</v>
      </c>
      <c r="U163" s="87">
        <f>IF(ISBLANK('Etape 2'!P160),0,VLOOKUP('Etape 2'!P160,Matrix_Uebersetzung,2,FALSE))</f>
        <v>0</v>
      </c>
      <c r="V163" s="87" t="str">
        <f>'Etape 2'!Q160</f>
        <v/>
      </c>
      <c r="W163" s="87">
        <f>'Etape 2'!R160</f>
        <v>0</v>
      </c>
      <c r="X163" s="87" t="str">
        <f>'Etape 2'!S160</f>
        <v/>
      </c>
      <c r="Y163" s="89" t="str">
        <f>'Etape 2'!T160</f>
        <v/>
      </c>
      <c r="Z163" s="87">
        <f>'Etape 2'!U160</f>
        <v>0</v>
      </c>
      <c r="AA163" s="87" t="str">
        <f>'Etape 2'!V160</f>
        <v/>
      </c>
      <c r="AB163" s="87">
        <f>IF(ISNUMBER('Etape 2'!W160),'Etape 2'!W160,0)</f>
        <v>0</v>
      </c>
      <c r="AC163" s="87">
        <f>IF(ISNUMBER('Etape 2'!X160),'Etape 2'!X160,0)</f>
        <v>0</v>
      </c>
      <c r="AD163" s="87">
        <f>IF(ISNUMBER('Etape 2'!Y160),'Etape 2'!Y160,0)</f>
        <v>0</v>
      </c>
      <c r="AE163" s="87">
        <f>IF(ISNUMBER('Etape 2'!Z160),'Etape 2'!Z160,0)</f>
        <v>0</v>
      </c>
      <c r="AF163" s="86">
        <f t="shared" si="177"/>
        <v>999</v>
      </c>
      <c r="AG163" s="288">
        <f t="shared" si="178"/>
        <v>0.25</v>
      </c>
      <c r="AH163" s="181" t="e">
        <f t="shared" si="162"/>
        <v>#VALUE!</v>
      </c>
      <c r="AI163" s="181" t="e">
        <f t="shared" si="146"/>
        <v>#VALUE!</v>
      </c>
      <c r="AJ163" s="86">
        <f t="shared" si="163"/>
        <v>200</v>
      </c>
      <c r="AK163" s="91" t="e">
        <f t="shared" si="164"/>
        <v>#N/A</v>
      </c>
      <c r="AL163" s="91" t="e">
        <f t="shared" si="147"/>
        <v>#N/A</v>
      </c>
      <c r="AM163" s="91">
        <f t="shared" si="109"/>
        <v>6</v>
      </c>
      <c r="AN163" s="91" t="e">
        <f t="shared" si="148"/>
        <v>#N/A</v>
      </c>
      <c r="AO163" s="91" t="e">
        <f t="shared" si="149"/>
        <v>#N/A</v>
      </c>
      <c r="AP163" s="21" t="e">
        <f t="shared" si="150"/>
        <v>#N/A</v>
      </c>
      <c r="AQ163" s="21" t="e">
        <f t="shared" si="151"/>
        <v>#N/A</v>
      </c>
      <c r="AR163" s="92" t="str">
        <f t="shared" si="179"/>
        <v/>
      </c>
      <c r="AS163" s="21" t="str">
        <f t="shared" si="180"/>
        <v/>
      </c>
      <c r="AT163" s="59" t="str">
        <f t="shared" si="165"/>
        <v/>
      </c>
      <c r="AU163" s="105">
        <f t="shared" si="113"/>
        <v>1</v>
      </c>
      <c r="AV163" s="105">
        <f t="shared" si="152"/>
        <v>1</v>
      </c>
      <c r="AW163" s="58">
        <f t="shared" si="153"/>
        <v>2</v>
      </c>
      <c r="AX163" s="58">
        <f t="shared" si="154"/>
        <v>3</v>
      </c>
      <c r="AY163" s="58" t="str">
        <f t="shared" si="155"/>
        <v>avec vannes</v>
      </c>
      <c r="AZ163" s="58" t="str">
        <f t="shared" si="156"/>
        <v>fermé</v>
      </c>
      <c r="BA163" s="60">
        <f t="shared" si="188"/>
        <v>0</v>
      </c>
      <c r="BB163" s="60">
        <f t="shared" si="188"/>
        <v>0</v>
      </c>
      <c r="BC163" s="60">
        <f t="shared" si="188"/>
        <v>0</v>
      </c>
      <c r="BD163" s="60">
        <f t="shared" si="188"/>
        <v>0</v>
      </c>
      <c r="BE163" s="286" t="str">
        <f t="shared" si="166"/>
        <v/>
      </c>
      <c r="BF163" s="58" t="str">
        <f t="shared" si="181"/>
        <v/>
      </c>
      <c r="BG163" s="59" t="str">
        <f t="shared" si="167"/>
        <v/>
      </c>
      <c r="BH163" s="158">
        <f t="shared" ca="1" si="168"/>
        <v>1</v>
      </c>
      <c r="BI163" s="60">
        <f t="shared" ca="1" si="169"/>
        <v>0.15</v>
      </c>
      <c r="BJ163" s="60">
        <f t="shared" si="170"/>
        <v>0.2</v>
      </c>
      <c r="BK163" s="60" t="str">
        <f t="shared" si="182"/>
        <v/>
      </c>
      <c r="BL163" s="21" t="str">
        <f t="shared" si="183"/>
        <v/>
      </c>
      <c r="BM163" s="264" t="str">
        <f t="shared" si="171"/>
        <v/>
      </c>
      <c r="BN163" s="60" t="str">
        <f t="shared" si="184"/>
        <v/>
      </c>
      <c r="BO163" s="136">
        <f t="shared" si="185"/>
        <v>0</v>
      </c>
      <c r="BP163" s="59">
        <f t="shared" si="186"/>
        <v>0</v>
      </c>
      <c r="BQ163" s="136">
        <f t="shared" ca="1" si="172"/>
        <v>1348</v>
      </c>
      <c r="BR163" s="136">
        <f t="shared" ca="1" si="173"/>
        <v>1000.4916943521595</v>
      </c>
      <c r="BS163" s="136">
        <f t="shared" ca="1" si="174"/>
        <v>1468800.4916943521</v>
      </c>
      <c r="BT163" s="136">
        <f t="shared" ca="1" si="175"/>
        <v>313875.4144201114</v>
      </c>
      <c r="BU163" s="136">
        <f t="shared" ca="1" si="176"/>
        <v>1000.4916943521595</v>
      </c>
    </row>
    <row r="164" spans="1:73" x14ac:dyDescent="0.2">
      <c r="A164" s="87" t="str">
        <f>'Etape 2'!A161</f>
        <v/>
      </c>
      <c r="B164" s="87">
        <f>'Etape 2'!B161</f>
        <v>149</v>
      </c>
      <c r="C164" s="87">
        <f ca="1">'Etape 2'!C161</f>
        <v>152</v>
      </c>
      <c r="D164" s="87"/>
      <c r="E164" s="61">
        <f ca="1">RANK(BU164,BU$16:BU$315,0)+COUNTIF(BU$16:BU164,BU164)-1</f>
        <v>152</v>
      </c>
      <c r="F164" s="87" t="str">
        <f>'Etape 2'!D161</f>
        <v/>
      </c>
      <c r="G164" s="87" t="str">
        <f>'Etape 2'!E161</f>
        <v/>
      </c>
      <c r="H164" s="87" t="str">
        <f>'Etape 2'!F161</f>
        <v/>
      </c>
      <c r="I164" s="87" t="str">
        <f>'Etape 2'!G161</f>
        <v/>
      </c>
      <c r="J164" s="87" t="str">
        <f>'Etape 2'!H161</f>
        <v/>
      </c>
      <c r="K164" s="87" t="str">
        <f>'Etape 2'!I161</f>
        <v/>
      </c>
      <c r="L164" s="87">
        <f ca="1">'Etape 2'!J161</f>
        <v>999999</v>
      </c>
      <c r="M164" s="87">
        <f>'Etape 2'!K161</f>
        <v>999</v>
      </c>
      <c r="N164" s="87">
        <f ca="1">'Etape 2'!L161</f>
        <v>149</v>
      </c>
      <c r="O164" s="259">
        <f t="shared" si="159"/>
        <v>0.3</v>
      </c>
      <c r="P164" s="259">
        <f t="shared" si="160"/>
        <v>1.1000000000000001</v>
      </c>
      <c r="Q164" s="260">
        <f t="shared" si="161"/>
        <v>0</v>
      </c>
      <c r="R164" s="261">
        <f t="shared" si="187"/>
        <v>0</v>
      </c>
      <c r="S164" s="87">
        <f>IF(ISBLANK('Etape 2'!N161),0,VLOOKUP('Etape 2'!N161,Matrix_Uebersetzung,2,FALSE))</f>
        <v>0</v>
      </c>
      <c r="T164" s="87">
        <f>IF(ISBLANK('Etape 2'!O161),0,VLOOKUP('Etape 2'!O161,Matrix_Uebersetzung,2,FALSE))</f>
        <v>0</v>
      </c>
      <c r="U164" s="87">
        <f>IF(ISBLANK('Etape 2'!P161),0,VLOOKUP('Etape 2'!P161,Matrix_Uebersetzung,2,FALSE))</f>
        <v>0</v>
      </c>
      <c r="V164" s="87" t="str">
        <f>'Etape 2'!Q161</f>
        <v/>
      </c>
      <c r="W164" s="87">
        <f>'Etape 2'!R161</f>
        <v>0</v>
      </c>
      <c r="X164" s="87" t="str">
        <f>'Etape 2'!S161</f>
        <v/>
      </c>
      <c r="Y164" s="89" t="str">
        <f>'Etape 2'!T161</f>
        <v/>
      </c>
      <c r="Z164" s="87">
        <f>'Etape 2'!U161</f>
        <v>0</v>
      </c>
      <c r="AA164" s="87" t="str">
        <f>'Etape 2'!V161</f>
        <v/>
      </c>
      <c r="AB164" s="87">
        <f>IF(ISNUMBER('Etape 2'!W161),'Etape 2'!W161,0)</f>
        <v>0</v>
      </c>
      <c r="AC164" s="87">
        <f>IF(ISNUMBER('Etape 2'!X161),'Etape 2'!X161,0)</f>
        <v>0</v>
      </c>
      <c r="AD164" s="87">
        <f>IF(ISNUMBER('Etape 2'!Y161),'Etape 2'!Y161,0)</f>
        <v>0</v>
      </c>
      <c r="AE164" s="87">
        <f>IF(ISNUMBER('Etape 2'!Z161),'Etape 2'!Z161,0)</f>
        <v>0</v>
      </c>
      <c r="AF164" s="86">
        <f t="shared" si="177"/>
        <v>999</v>
      </c>
      <c r="AG164" s="288">
        <f t="shared" si="178"/>
        <v>0.25</v>
      </c>
      <c r="AH164" s="181" t="e">
        <f t="shared" si="162"/>
        <v>#VALUE!</v>
      </c>
      <c r="AI164" s="181" t="e">
        <f t="shared" si="146"/>
        <v>#VALUE!</v>
      </c>
      <c r="AJ164" s="86">
        <f t="shared" si="163"/>
        <v>200</v>
      </c>
      <c r="AK164" s="91" t="e">
        <f t="shared" si="164"/>
        <v>#N/A</v>
      </c>
      <c r="AL164" s="91" t="e">
        <f t="shared" si="147"/>
        <v>#N/A</v>
      </c>
      <c r="AM164" s="91">
        <f t="shared" si="109"/>
        <v>6</v>
      </c>
      <c r="AN164" s="91" t="e">
        <f t="shared" si="148"/>
        <v>#N/A</v>
      </c>
      <c r="AO164" s="91" t="e">
        <f t="shared" si="149"/>
        <v>#N/A</v>
      </c>
      <c r="AP164" s="21" t="e">
        <f t="shared" si="150"/>
        <v>#N/A</v>
      </c>
      <c r="AQ164" s="21" t="e">
        <f t="shared" si="151"/>
        <v>#N/A</v>
      </c>
      <c r="AR164" s="92" t="str">
        <f t="shared" si="179"/>
        <v/>
      </c>
      <c r="AS164" s="21" t="str">
        <f t="shared" si="180"/>
        <v/>
      </c>
      <c r="AT164" s="59" t="str">
        <f t="shared" si="165"/>
        <v/>
      </c>
      <c r="AU164" s="105">
        <f t="shared" si="113"/>
        <v>1</v>
      </c>
      <c r="AV164" s="105">
        <f t="shared" si="152"/>
        <v>1</v>
      </c>
      <c r="AW164" s="58">
        <f t="shared" si="153"/>
        <v>2</v>
      </c>
      <c r="AX164" s="58">
        <f t="shared" si="154"/>
        <v>3</v>
      </c>
      <c r="AY164" s="58" t="str">
        <f t="shared" si="155"/>
        <v>avec vannes</v>
      </c>
      <c r="AZ164" s="58" t="str">
        <f t="shared" si="156"/>
        <v>fermé</v>
      </c>
      <c r="BA164" s="60">
        <f t="shared" si="188"/>
        <v>0</v>
      </c>
      <c r="BB164" s="60">
        <f t="shared" si="188"/>
        <v>0</v>
      </c>
      <c r="BC164" s="60">
        <f t="shared" si="188"/>
        <v>0</v>
      </c>
      <c r="BD164" s="60">
        <f t="shared" si="188"/>
        <v>0</v>
      </c>
      <c r="BE164" s="286" t="str">
        <f t="shared" si="166"/>
        <v/>
      </c>
      <c r="BF164" s="58" t="str">
        <f t="shared" si="181"/>
        <v/>
      </c>
      <c r="BG164" s="59" t="str">
        <f t="shared" si="167"/>
        <v/>
      </c>
      <c r="BH164" s="158">
        <f t="shared" ca="1" si="168"/>
        <v>1</v>
      </c>
      <c r="BI164" s="60">
        <f t="shared" ca="1" si="169"/>
        <v>0.15</v>
      </c>
      <c r="BJ164" s="60">
        <f t="shared" si="170"/>
        <v>0.2</v>
      </c>
      <c r="BK164" s="60" t="str">
        <f t="shared" si="182"/>
        <v/>
      </c>
      <c r="BL164" s="21" t="str">
        <f t="shared" si="183"/>
        <v/>
      </c>
      <c r="BM164" s="264" t="str">
        <f t="shared" si="171"/>
        <v/>
      </c>
      <c r="BN164" s="60" t="str">
        <f t="shared" si="184"/>
        <v/>
      </c>
      <c r="BO164" s="136">
        <f t="shared" si="185"/>
        <v>0</v>
      </c>
      <c r="BP164" s="59">
        <f t="shared" si="186"/>
        <v>0</v>
      </c>
      <c r="BQ164" s="136">
        <f t="shared" ca="1" si="172"/>
        <v>1349</v>
      </c>
      <c r="BR164" s="136">
        <f t="shared" ca="1" si="173"/>
        <v>1000.4950166112957</v>
      </c>
      <c r="BS164" s="136">
        <f t="shared" ca="1" si="174"/>
        <v>1468800.4950166112</v>
      </c>
      <c r="BT164" s="136">
        <f t="shared" ca="1" si="175"/>
        <v>313875.41774237051</v>
      </c>
      <c r="BU164" s="136">
        <f t="shared" ca="1" si="176"/>
        <v>1000.4950166112957</v>
      </c>
    </row>
    <row r="165" spans="1:73" x14ac:dyDescent="0.2">
      <c r="A165" s="87" t="str">
        <f>'Etape 2'!A162</f>
        <v/>
      </c>
      <c r="B165" s="87">
        <f>'Etape 2'!B162</f>
        <v>150</v>
      </c>
      <c r="C165" s="87">
        <f ca="1">'Etape 2'!C162</f>
        <v>151</v>
      </c>
      <c r="D165" s="87"/>
      <c r="E165" s="61">
        <f ca="1">RANK(BU165,BU$16:BU$315,0)+COUNTIF(BU$16:BU165,BU165)-1</f>
        <v>151</v>
      </c>
      <c r="F165" s="87" t="str">
        <f>'Etape 2'!D162</f>
        <v/>
      </c>
      <c r="G165" s="87" t="str">
        <f>'Etape 2'!E162</f>
        <v/>
      </c>
      <c r="H165" s="87" t="str">
        <f>'Etape 2'!F162</f>
        <v/>
      </c>
      <c r="I165" s="87" t="str">
        <f>'Etape 2'!G162</f>
        <v/>
      </c>
      <c r="J165" s="87" t="str">
        <f>'Etape 2'!H162</f>
        <v/>
      </c>
      <c r="K165" s="87" t="str">
        <f>'Etape 2'!I162</f>
        <v/>
      </c>
      <c r="L165" s="87">
        <f ca="1">'Etape 2'!J162</f>
        <v>999999</v>
      </c>
      <c r="M165" s="87">
        <f>'Etape 2'!K162</f>
        <v>999</v>
      </c>
      <c r="N165" s="87">
        <f ca="1">'Etape 2'!L162</f>
        <v>150</v>
      </c>
      <c r="O165" s="259">
        <f t="shared" si="159"/>
        <v>0.3</v>
      </c>
      <c r="P165" s="259">
        <f t="shared" si="160"/>
        <v>1.1000000000000001</v>
      </c>
      <c r="Q165" s="260">
        <f t="shared" si="161"/>
        <v>0</v>
      </c>
      <c r="R165" s="261">
        <f t="shared" si="187"/>
        <v>0</v>
      </c>
      <c r="S165" s="87">
        <f>IF(ISBLANK('Etape 2'!N162),0,VLOOKUP('Etape 2'!N162,Matrix_Uebersetzung,2,FALSE))</f>
        <v>0</v>
      </c>
      <c r="T165" s="87">
        <f>IF(ISBLANK('Etape 2'!O162),0,VLOOKUP('Etape 2'!O162,Matrix_Uebersetzung,2,FALSE))</f>
        <v>0</v>
      </c>
      <c r="U165" s="87">
        <f>IF(ISBLANK('Etape 2'!P162),0,VLOOKUP('Etape 2'!P162,Matrix_Uebersetzung,2,FALSE))</f>
        <v>0</v>
      </c>
      <c r="V165" s="87" t="str">
        <f>'Etape 2'!Q162</f>
        <v/>
      </c>
      <c r="W165" s="87">
        <f>'Etape 2'!R162</f>
        <v>0</v>
      </c>
      <c r="X165" s="87" t="str">
        <f>'Etape 2'!S162</f>
        <v/>
      </c>
      <c r="Y165" s="89" t="str">
        <f>'Etape 2'!T162</f>
        <v/>
      </c>
      <c r="Z165" s="87">
        <f>'Etape 2'!U162</f>
        <v>0</v>
      </c>
      <c r="AA165" s="87" t="str">
        <f>'Etape 2'!V162</f>
        <v/>
      </c>
      <c r="AB165" s="87">
        <f>IF(ISNUMBER('Etape 2'!W162),'Etape 2'!W162,0)</f>
        <v>0</v>
      </c>
      <c r="AC165" s="87">
        <f>IF(ISNUMBER('Etape 2'!X162),'Etape 2'!X162,0)</f>
        <v>0</v>
      </c>
      <c r="AD165" s="87">
        <f>IF(ISNUMBER('Etape 2'!Y162),'Etape 2'!Y162,0)</f>
        <v>0</v>
      </c>
      <c r="AE165" s="87">
        <f>IF(ISNUMBER('Etape 2'!Z162),'Etape 2'!Z162,0)</f>
        <v>0</v>
      </c>
      <c r="AF165" s="86">
        <f t="shared" si="177"/>
        <v>999</v>
      </c>
      <c r="AG165" s="288">
        <f t="shared" si="178"/>
        <v>0.25</v>
      </c>
      <c r="AH165" s="181" t="e">
        <f t="shared" si="162"/>
        <v>#VALUE!</v>
      </c>
      <c r="AI165" s="181" t="e">
        <f t="shared" si="146"/>
        <v>#VALUE!</v>
      </c>
      <c r="AJ165" s="86">
        <f t="shared" si="163"/>
        <v>200</v>
      </c>
      <c r="AK165" s="91" t="e">
        <f t="shared" si="164"/>
        <v>#N/A</v>
      </c>
      <c r="AL165" s="91" t="e">
        <f t="shared" si="147"/>
        <v>#N/A</v>
      </c>
      <c r="AM165" s="91">
        <f t="shared" si="109"/>
        <v>6</v>
      </c>
      <c r="AN165" s="91" t="e">
        <f t="shared" si="148"/>
        <v>#N/A</v>
      </c>
      <c r="AO165" s="91" t="e">
        <f t="shared" si="149"/>
        <v>#N/A</v>
      </c>
      <c r="AP165" s="21" t="e">
        <f t="shared" si="150"/>
        <v>#N/A</v>
      </c>
      <c r="AQ165" s="21" t="e">
        <f t="shared" si="151"/>
        <v>#N/A</v>
      </c>
      <c r="AR165" s="92" t="str">
        <f t="shared" si="179"/>
        <v/>
      </c>
      <c r="AS165" s="21" t="str">
        <f t="shared" si="180"/>
        <v/>
      </c>
      <c r="AT165" s="59" t="str">
        <f t="shared" si="165"/>
        <v/>
      </c>
      <c r="AU165" s="105">
        <f t="shared" si="113"/>
        <v>1</v>
      </c>
      <c r="AV165" s="105">
        <f t="shared" si="152"/>
        <v>1</v>
      </c>
      <c r="AW165" s="58">
        <f t="shared" si="153"/>
        <v>2</v>
      </c>
      <c r="AX165" s="58">
        <f t="shared" si="154"/>
        <v>3</v>
      </c>
      <c r="AY165" s="58" t="str">
        <f t="shared" si="155"/>
        <v>avec vannes</v>
      </c>
      <c r="AZ165" s="58" t="str">
        <f t="shared" si="156"/>
        <v>fermé</v>
      </c>
      <c r="BA165" s="60">
        <f t="shared" si="188"/>
        <v>0</v>
      </c>
      <c r="BB165" s="60">
        <f t="shared" si="188"/>
        <v>0</v>
      </c>
      <c r="BC165" s="60">
        <f t="shared" si="188"/>
        <v>0</v>
      </c>
      <c r="BD165" s="60">
        <f t="shared" si="188"/>
        <v>0</v>
      </c>
      <c r="BE165" s="286" t="str">
        <f t="shared" si="166"/>
        <v/>
      </c>
      <c r="BF165" s="58" t="str">
        <f t="shared" si="181"/>
        <v/>
      </c>
      <c r="BG165" s="59" t="str">
        <f t="shared" si="167"/>
        <v/>
      </c>
      <c r="BH165" s="158">
        <f t="shared" ca="1" si="168"/>
        <v>1</v>
      </c>
      <c r="BI165" s="60">
        <f t="shared" ca="1" si="169"/>
        <v>0.15</v>
      </c>
      <c r="BJ165" s="60">
        <f t="shared" si="170"/>
        <v>0.2</v>
      </c>
      <c r="BK165" s="60" t="str">
        <f t="shared" si="182"/>
        <v/>
      </c>
      <c r="BL165" s="21" t="str">
        <f t="shared" si="183"/>
        <v/>
      </c>
      <c r="BM165" s="264" t="str">
        <f t="shared" si="171"/>
        <v/>
      </c>
      <c r="BN165" s="60" t="str">
        <f t="shared" si="184"/>
        <v/>
      </c>
      <c r="BO165" s="136">
        <f t="shared" si="185"/>
        <v>0</v>
      </c>
      <c r="BP165" s="59">
        <f t="shared" si="186"/>
        <v>0</v>
      </c>
      <c r="BQ165" s="136">
        <f t="shared" ca="1" si="172"/>
        <v>1350</v>
      </c>
      <c r="BR165" s="136">
        <f t="shared" ca="1" si="173"/>
        <v>1000.4983388704319</v>
      </c>
      <c r="BS165" s="136">
        <f t="shared" ca="1" si="174"/>
        <v>1468800.4983388705</v>
      </c>
      <c r="BT165" s="136">
        <f t="shared" ca="1" si="175"/>
        <v>313875.42106462963</v>
      </c>
      <c r="BU165" s="136">
        <f t="shared" ca="1" si="176"/>
        <v>1000.4983388704319</v>
      </c>
    </row>
    <row r="166" spans="1:73" x14ac:dyDescent="0.2">
      <c r="A166" s="87" t="str">
        <f>'Etape 2'!A163</f>
        <v/>
      </c>
      <c r="B166" s="87">
        <f>'Etape 2'!B163</f>
        <v>151</v>
      </c>
      <c r="C166" s="87">
        <f ca="1">'Etape 2'!C163</f>
        <v>150</v>
      </c>
      <c r="D166" s="87"/>
      <c r="E166" s="61">
        <f ca="1">RANK(BU166,BU$16:BU$315,0)+COUNTIF(BU$16:BU166,BU166)-1</f>
        <v>150</v>
      </c>
      <c r="F166" s="87" t="str">
        <f>'Etape 2'!D163</f>
        <v/>
      </c>
      <c r="G166" s="87" t="str">
        <f>'Etape 2'!E163</f>
        <v/>
      </c>
      <c r="H166" s="87" t="str">
        <f>'Etape 2'!F163</f>
        <v/>
      </c>
      <c r="I166" s="87" t="str">
        <f>'Etape 2'!G163</f>
        <v/>
      </c>
      <c r="J166" s="87" t="str">
        <f>'Etape 2'!H163</f>
        <v/>
      </c>
      <c r="K166" s="87" t="str">
        <f>'Etape 2'!I163</f>
        <v/>
      </c>
      <c r="L166" s="87">
        <f ca="1">'Etape 2'!J163</f>
        <v>999999</v>
      </c>
      <c r="M166" s="87">
        <f>'Etape 2'!K163</f>
        <v>999</v>
      </c>
      <c r="N166" s="87">
        <f ca="1">'Etape 2'!L163</f>
        <v>151</v>
      </c>
      <c r="O166" s="259">
        <f t="shared" si="159"/>
        <v>0.3</v>
      </c>
      <c r="P166" s="259">
        <f t="shared" si="160"/>
        <v>1.1000000000000001</v>
      </c>
      <c r="Q166" s="260">
        <f t="shared" si="161"/>
        <v>0</v>
      </c>
      <c r="R166" s="261">
        <f t="shared" si="187"/>
        <v>0</v>
      </c>
      <c r="S166" s="87">
        <f>IF(ISBLANK('Etape 2'!N163),0,VLOOKUP('Etape 2'!N163,Matrix_Uebersetzung,2,FALSE))</f>
        <v>0</v>
      </c>
      <c r="T166" s="87">
        <f>IF(ISBLANK('Etape 2'!O163),0,VLOOKUP('Etape 2'!O163,Matrix_Uebersetzung,2,FALSE))</f>
        <v>0</v>
      </c>
      <c r="U166" s="87">
        <f>IF(ISBLANK('Etape 2'!P163),0,VLOOKUP('Etape 2'!P163,Matrix_Uebersetzung,2,FALSE))</f>
        <v>0</v>
      </c>
      <c r="V166" s="87" t="str">
        <f>'Etape 2'!Q163</f>
        <v/>
      </c>
      <c r="W166" s="87">
        <f>'Etape 2'!R163</f>
        <v>0</v>
      </c>
      <c r="X166" s="87" t="str">
        <f>'Etape 2'!S163</f>
        <v/>
      </c>
      <c r="Y166" s="89" t="str">
        <f>'Etape 2'!T163</f>
        <v/>
      </c>
      <c r="Z166" s="87">
        <f>'Etape 2'!U163</f>
        <v>0</v>
      </c>
      <c r="AA166" s="87" t="str">
        <f>'Etape 2'!V163</f>
        <v/>
      </c>
      <c r="AB166" s="87">
        <f>IF(ISNUMBER('Etape 2'!W163),'Etape 2'!W163,0)</f>
        <v>0</v>
      </c>
      <c r="AC166" s="87">
        <f>IF(ISNUMBER('Etape 2'!X163),'Etape 2'!X163,0)</f>
        <v>0</v>
      </c>
      <c r="AD166" s="87">
        <f>IF(ISNUMBER('Etape 2'!Y163),'Etape 2'!Y163,0)</f>
        <v>0</v>
      </c>
      <c r="AE166" s="87">
        <f>IF(ISNUMBER('Etape 2'!Z163),'Etape 2'!Z163,0)</f>
        <v>0</v>
      </c>
      <c r="AF166" s="86">
        <f t="shared" si="177"/>
        <v>999</v>
      </c>
      <c r="AG166" s="288">
        <f t="shared" si="178"/>
        <v>0.25</v>
      </c>
      <c r="AH166" s="181" t="e">
        <f t="shared" si="162"/>
        <v>#VALUE!</v>
      </c>
      <c r="AI166" s="181" t="e">
        <f t="shared" si="146"/>
        <v>#VALUE!</v>
      </c>
      <c r="AJ166" s="86">
        <f t="shared" si="163"/>
        <v>200</v>
      </c>
      <c r="AK166" s="91" t="e">
        <f t="shared" si="164"/>
        <v>#N/A</v>
      </c>
      <c r="AL166" s="91" t="e">
        <f t="shared" si="147"/>
        <v>#N/A</v>
      </c>
      <c r="AM166" s="91">
        <f t="shared" si="109"/>
        <v>6</v>
      </c>
      <c r="AN166" s="91" t="e">
        <f t="shared" si="148"/>
        <v>#N/A</v>
      </c>
      <c r="AO166" s="91" t="e">
        <f t="shared" si="149"/>
        <v>#N/A</v>
      </c>
      <c r="AP166" s="21" t="e">
        <f t="shared" si="150"/>
        <v>#N/A</v>
      </c>
      <c r="AQ166" s="21" t="e">
        <f t="shared" si="151"/>
        <v>#N/A</v>
      </c>
      <c r="AR166" s="92" t="str">
        <f t="shared" si="179"/>
        <v/>
      </c>
      <c r="AS166" s="21" t="str">
        <f t="shared" si="180"/>
        <v/>
      </c>
      <c r="AT166" s="59" t="str">
        <f t="shared" si="165"/>
        <v/>
      </c>
      <c r="AU166" s="105">
        <f t="shared" si="113"/>
        <v>1</v>
      </c>
      <c r="AV166" s="105">
        <f t="shared" si="152"/>
        <v>1</v>
      </c>
      <c r="AW166" s="58">
        <f t="shared" si="153"/>
        <v>2</v>
      </c>
      <c r="AX166" s="58">
        <f t="shared" si="154"/>
        <v>3</v>
      </c>
      <c r="AY166" s="58" t="str">
        <f t="shared" si="155"/>
        <v>avec vannes</v>
      </c>
      <c r="AZ166" s="58" t="str">
        <f t="shared" si="156"/>
        <v>fermé</v>
      </c>
      <c r="BA166" s="60">
        <f t="shared" si="188"/>
        <v>0</v>
      </c>
      <c r="BB166" s="60">
        <f t="shared" si="188"/>
        <v>0</v>
      </c>
      <c r="BC166" s="60">
        <f t="shared" si="188"/>
        <v>0</v>
      </c>
      <c r="BD166" s="60">
        <f t="shared" si="188"/>
        <v>0</v>
      </c>
      <c r="BE166" s="286" t="str">
        <f t="shared" si="166"/>
        <v/>
      </c>
      <c r="BF166" s="58" t="str">
        <f t="shared" si="181"/>
        <v/>
      </c>
      <c r="BG166" s="59" t="str">
        <f t="shared" si="167"/>
        <v/>
      </c>
      <c r="BH166" s="158">
        <f t="shared" ca="1" si="168"/>
        <v>1</v>
      </c>
      <c r="BI166" s="60">
        <f t="shared" ca="1" si="169"/>
        <v>0.15</v>
      </c>
      <c r="BJ166" s="60">
        <f t="shared" si="170"/>
        <v>0.2</v>
      </c>
      <c r="BK166" s="60" t="str">
        <f t="shared" si="182"/>
        <v/>
      </c>
      <c r="BL166" s="21" t="str">
        <f t="shared" si="183"/>
        <v/>
      </c>
      <c r="BM166" s="264" t="str">
        <f t="shared" si="171"/>
        <v/>
      </c>
      <c r="BN166" s="60" t="str">
        <f t="shared" si="184"/>
        <v/>
      </c>
      <c r="BO166" s="136">
        <f t="shared" si="185"/>
        <v>0</v>
      </c>
      <c r="BP166" s="59">
        <f t="shared" si="186"/>
        <v>0</v>
      </c>
      <c r="BQ166" s="136">
        <f t="shared" ca="1" si="172"/>
        <v>1351</v>
      </c>
      <c r="BR166" s="136">
        <f t="shared" ca="1" si="173"/>
        <v>1000.5016611295681</v>
      </c>
      <c r="BS166" s="136">
        <f t="shared" ca="1" si="174"/>
        <v>1468800.5016611295</v>
      </c>
      <c r="BT166" s="136">
        <f t="shared" ca="1" si="175"/>
        <v>313875.4243868888</v>
      </c>
      <c r="BU166" s="136">
        <f t="shared" ca="1" si="176"/>
        <v>1000.5016611295681</v>
      </c>
    </row>
    <row r="167" spans="1:73" x14ac:dyDescent="0.2">
      <c r="A167" s="87" t="str">
        <f>'Etape 2'!A164</f>
        <v/>
      </c>
      <c r="B167" s="87">
        <f>'Etape 2'!B164</f>
        <v>152</v>
      </c>
      <c r="C167" s="87">
        <f ca="1">'Etape 2'!C164</f>
        <v>149</v>
      </c>
      <c r="D167" s="87"/>
      <c r="E167" s="61">
        <f ca="1">RANK(BU167,BU$16:BU$315,0)+COUNTIF(BU$16:BU167,BU167)-1</f>
        <v>149</v>
      </c>
      <c r="F167" s="87" t="str">
        <f>'Etape 2'!D164</f>
        <v/>
      </c>
      <c r="G167" s="87" t="str">
        <f>'Etape 2'!E164</f>
        <v/>
      </c>
      <c r="H167" s="87" t="str">
        <f>'Etape 2'!F164</f>
        <v/>
      </c>
      <c r="I167" s="87" t="str">
        <f>'Etape 2'!G164</f>
        <v/>
      </c>
      <c r="J167" s="87" t="str">
        <f>'Etape 2'!H164</f>
        <v/>
      </c>
      <c r="K167" s="87" t="str">
        <f>'Etape 2'!I164</f>
        <v/>
      </c>
      <c r="L167" s="87">
        <f ca="1">'Etape 2'!J164</f>
        <v>999999</v>
      </c>
      <c r="M167" s="87">
        <f>'Etape 2'!K164</f>
        <v>999</v>
      </c>
      <c r="N167" s="87">
        <f ca="1">'Etape 2'!L164</f>
        <v>152</v>
      </c>
      <c r="O167" s="259">
        <f t="shared" si="159"/>
        <v>0.3</v>
      </c>
      <c r="P167" s="259">
        <f t="shared" si="160"/>
        <v>1.1000000000000001</v>
      </c>
      <c r="Q167" s="260">
        <f t="shared" si="161"/>
        <v>0</v>
      </c>
      <c r="R167" s="261">
        <f t="shared" si="187"/>
        <v>0</v>
      </c>
      <c r="S167" s="87">
        <f>IF(ISBLANK('Etape 2'!N164),0,VLOOKUP('Etape 2'!N164,Matrix_Uebersetzung,2,FALSE))</f>
        <v>0</v>
      </c>
      <c r="T167" s="87">
        <f>IF(ISBLANK('Etape 2'!O164),0,VLOOKUP('Etape 2'!O164,Matrix_Uebersetzung,2,FALSE))</f>
        <v>0</v>
      </c>
      <c r="U167" s="87">
        <f>IF(ISBLANK('Etape 2'!P164),0,VLOOKUP('Etape 2'!P164,Matrix_Uebersetzung,2,FALSE))</f>
        <v>0</v>
      </c>
      <c r="V167" s="87" t="str">
        <f>'Etape 2'!Q164</f>
        <v/>
      </c>
      <c r="W167" s="87">
        <f>'Etape 2'!R164</f>
        <v>0</v>
      </c>
      <c r="X167" s="87" t="str">
        <f>'Etape 2'!S164</f>
        <v/>
      </c>
      <c r="Y167" s="89" t="str">
        <f>'Etape 2'!T164</f>
        <v/>
      </c>
      <c r="Z167" s="87">
        <f>'Etape 2'!U164</f>
        <v>0</v>
      </c>
      <c r="AA167" s="87" t="str">
        <f>'Etape 2'!V164</f>
        <v/>
      </c>
      <c r="AB167" s="87">
        <f>IF(ISNUMBER('Etape 2'!W164),'Etape 2'!W164,0)</f>
        <v>0</v>
      </c>
      <c r="AC167" s="87">
        <f>IF(ISNUMBER('Etape 2'!X164),'Etape 2'!X164,0)</f>
        <v>0</v>
      </c>
      <c r="AD167" s="87">
        <f>IF(ISNUMBER('Etape 2'!Y164),'Etape 2'!Y164,0)</f>
        <v>0</v>
      </c>
      <c r="AE167" s="87">
        <f>IF(ISNUMBER('Etape 2'!Z164),'Etape 2'!Z164,0)</f>
        <v>0</v>
      </c>
      <c r="AF167" s="86">
        <f t="shared" si="177"/>
        <v>999</v>
      </c>
      <c r="AG167" s="288">
        <f t="shared" si="178"/>
        <v>0.25</v>
      </c>
      <c r="AH167" s="181" t="e">
        <f t="shared" si="162"/>
        <v>#VALUE!</v>
      </c>
      <c r="AI167" s="181" t="e">
        <f t="shared" si="146"/>
        <v>#VALUE!</v>
      </c>
      <c r="AJ167" s="86">
        <f t="shared" si="163"/>
        <v>200</v>
      </c>
      <c r="AK167" s="91" t="e">
        <f t="shared" si="164"/>
        <v>#N/A</v>
      </c>
      <c r="AL167" s="91" t="e">
        <f t="shared" si="147"/>
        <v>#N/A</v>
      </c>
      <c r="AM167" s="91">
        <f t="shared" si="109"/>
        <v>6</v>
      </c>
      <c r="AN167" s="91" t="e">
        <f t="shared" si="148"/>
        <v>#N/A</v>
      </c>
      <c r="AO167" s="91" t="e">
        <f t="shared" si="149"/>
        <v>#N/A</v>
      </c>
      <c r="AP167" s="21" t="e">
        <f t="shared" si="150"/>
        <v>#N/A</v>
      </c>
      <c r="AQ167" s="21" t="e">
        <f t="shared" si="151"/>
        <v>#N/A</v>
      </c>
      <c r="AR167" s="92" t="str">
        <f t="shared" si="179"/>
        <v/>
      </c>
      <c r="AS167" s="21" t="str">
        <f t="shared" si="180"/>
        <v/>
      </c>
      <c r="AT167" s="59" t="str">
        <f t="shared" si="165"/>
        <v/>
      </c>
      <c r="AU167" s="105">
        <f t="shared" si="113"/>
        <v>1</v>
      </c>
      <c r="AV167" s="105">
        <f t="shared" si="152"/>
        <v>1</v>
      </c>
      <c r="AW167" s="58">
        <f t="shared" si="153"/>
        <v>2</v>
      </c>
      <c r="AX167" s="58">
        <f t="shared" si="154"/>
        <v>3</v>
      </c>
      <c r="AY167" s="58" t="str">
        <f t="shared" si="155"/>
        <v>avec vannes</v>
      </c>
      <c r="AZ167" s="58" t="str">
        <f t="shared" si="156"/>
        <v>fermé</v>
      </c>
      <c r="BA167" s="60">
        <f t="shared" si="188"/>
        <v>0</v>
      </c>
      <c r="BB167" s="60">
        <f t="shared" si="188"/>
        <v>0</v>
      </c>
      <c r="BC167" s="60">
        <f t="shared" si="188"/>
        <v>0</v>
      </c>
      <c r="BD167" s="60">
        <f t="shared" si="188"/>
        <v>0</v>
      </c>
      <c r="BE167" s="286" t="str">
        <f t="shared" si="166"/>
        <v/>
      </c>
      <c r="BF167" s="58" t="str">
        <f t="shared" si="181"/>
        <v/>
      </c>
      <c r="BG167" s="59" t="str">
        <f t="shared" si="167"/>
        <v/>
      </c>
      <c r="BH167" s="158">
        <f t="shared" ca="1" si="168"/>
        <v>1</v>
      </c>
      <c r="BI167" s="60">
        <f t="shared" ca="1" si="169"/>
        <v>0.15</v>
      </c>
      <c r="BJ167" s="60">
        <f t="shared" si="170"/>
        <v>0.2</v>
      </c>
      <c r="BK167" s="60" t="str">
        <f t="shared" si="182"/>
        <v/>
      </c>
      <c r="BL167" s="21" t="str">
        <f t="shared" si="183"/>
        <v/>
      </c>
      <c r="BM167" s="264" t="str">
        <f t="shared" si="171"/>
        <v/>
      </c>
      <c r="BN167" s="60" t="str">
        <f t="shared" si="184"/>
        <v/>
      </c>
      <c r="BO167" s="136">
        <f t="shared" si="185"/>
        <v>0</v>
      </c>
      <c r="BP167" s="59">
        <f t="shared" si="186"/>
        <v>0</v>
      </c>
      <c r="BQ167" s="136">
        <f t="shared" ca="1" si="172"/>
        <v>1352</v>
      </c>
      <c r="BR167" s="136">
        <f t="shared" ca="1" si="173"/>
        <v>1000.5049833887043</v>
      </c>
      <c r="BS167" s="136">
        <f t="shared" ca="1" si="174"/>
        <v>1468800.5049833888</v>
      </c>
      <c r="BT167" s="136">
        <f t="shared" ca="1" si="175"/>
        <v>313875.42770914792</v>
      </c>
      <c r="BU167" s="136">
        <f t="shared" ca="1" si="176"/>
        <v>1000.5049833887043</v>
      </c>
    </row>
    <row r="168" spans="1:73" x14ac:dyDescent="0.2">
      <c r="A168" s="87" t="str">
        <f>'Etape 2'!A165</f>
        <v/>
      </c>
      <c r="B168" s="87">
        <f>'Etape 2'!B165</f>
        <v>153</v>
      </c>
      <c r="C168" s="87">
        <f ca="1">'Etape 2'!C165</f>
        <v>148</v>
      </c>
      <c r="D168" s="87"/>
      <c r="E168" s="61">
        <f ca="1">RANK(BU168,BU$16:BU$315,0)+COUNTIF(BU$16:BU168,BU168)-1</f>
        <v>148</v>
      </c>
      <c r="F168" s="87" t="str">
        <f>'Etape 2'!D165</f>
        <v/>
      </c>
      <c r="G168" s="87" t="str">
        <f>'Etape 2'!E165</f>
        <v/>
      </c>
      <c r="H168" s="87" t="str">
        <f>'Etape 2'!F165</f>
        <v/>
      </c>
      <c r="I168" s="87" t="str">
        <f>'Etape 2'!G165</f>
        <v/>
      </c>
      <c r="J168" s="87" t="str">
        <f>'Etape 2'!H165</f>
        <v/>
      </c>
      <c r="K168" s="87" t="str">
        <f>'Etape 2'!I165</f>
        <v/>
      </c>
      <c r="L168" s="87">
        <f ca="1">'Etape 2'!J165</f>
        <v>999999</v>
      </c>
      <c r="M168" s="87">
        <f>'Etape 2'!K165</f>
        <v>999</v>
      </c>
      <c r="N168" s="87">
        <f ca="1">'Etape 2'!L165</f>
        <v>153</v>
      </c>
      <c r="O168" s="259">
        <f t="shared" si="159"/>
        <v>0.3</v>
      </c>
      <c r="P168" s="259">
        <f t="shared" si="160"/>
        <v>1.1000000000000001</v>
      </c>
      <c r="Q168" s="260">
        <f t="shared" si="161"/>
        <v>0</v>
      </c>
      <c r="R168" s="261">
        <f t="shared" si="187"/>
        <v>0</v>
      </c>
      <c r="S168" s="87">
        <f>IF(ISBLANK('Etape 2'!N165),0,VLOOKUP('Etape 2'!N165,Matrix_Uebersetzung,2,FALSE))</f>
        <v>0</v>
      </c>
      <c r="T168" s="87">
        <f>IF(ISBLANK('Etape 2'!O165),0,VLOOKUP('Etape 2'!O165,Matrix_Uebersetzung,2,FALSE))</f>
        <v>0</v>
      </c>
      <c r="U168" s="87">
        <f>IF(ISBLANK('Etape 2'!P165),0,VLOOKUP('Etape 2'!P165,Matrix_Uebersetzung,2,FALSE))</f>
        <v>0</v>
      </c>
      <c r="V168" s="87" t="str">
        <f>'Etape 2'!Q165</f>
        <v/>
      </c>
      <c r="W168" s="87">
        <f>'Etape 2'!R165</f>
        <v>0</v>
      </c>
      <c r="X168" s="87" t="str">
        <f>'Etape 2'!S165</f>
        <v/>
      </c>
      <c r="Y168" s="89" t="str">
        <f>'Etape 2'!T165</f>
        <v/>
      </c>
      <c r="Z168" s="87">
        <f>'Etape 2'!U165</f>
        <v>0</v>
      </c>
      <c r="AA168" s="87" t="str">
        <f>'Etape 2'!V165</f>
        <v/>
      </c>
      <c r="AB168" s="87">
        <f>IF(ISNUMBER('Etape 2'!W165),'Etape 2'!W165,0)</f>
        <v>0</v>
      </c>
      <c r="AC168" s="87">
        <f>IF(ISNUMBER('Etape 2'!X165),'Etape 2'!X165,0)</f>
        <v>0</v>
      </c>
      <c r="AD168" s="87">
        <f>IF(ISNUMBER('Etape 2'!Y165),'Etape 2'!Y165,0)</f>
        <v>0</v>
      </c>
      <c r="AE168" s="87">
        <f>IF(ISNUMBER('Etape 2'!Z165),'Etape 2'!Z165,0)</f>
        <v>0</v>
      </c>
      <c r="AF168" s="86">
        <f t="shared" si="177"/>
        <v>999</v>
      </c>
      <c r="AG168" s="288">
        <f t="shared" si="178"/>
        <v>0.25</v>
      </c>
      <c r="AH168" s="181" t="e">
        <f t="shared" si="162"/>
        <v>#VALUE!</v>
      </c>
      <c r="AI168" s="181" t="e">
        <f t="shared" si="146"/>
        <v>#VALUE!</v>
      </c>
      <c r="AJ168" s="86">
        <f t="shared" si="163"/>
        <v>200</v>
      </c>
      <c r="AK168" s="91" t="e">
        <f t="shared" si="164"/>
        <v>#N/A</v>
      </c>
      <c r="AL168" s="91" t="e">
        <f t="shared" si="147"/>
        <v>#N/A</v>
      </c>
      <c r="AM168" s="91">
        <f t="shared" si="109"/>
        <v>6</v>
      </c>
      <c r="AN168" s="91" t="e">
        <f t="shared" si="148"/>
        <v>#N/A</v>
      </c>
      <c r="AO168" s="91" t="e">
        <f t="shared" si="149"/>
        <v>#N/A</v>
      </c>
      <c r="AP168" s="21" t="e">
        <f t="shared" si="150"/>
        <v>#N/A</v>
      </c>
      <c r="AQ168" s="21" t="e">
        <f t="shared" si="151"/>
        <v>#N/A</v>
      </c>
      <c r="AR168" s="92" t="str">
        <f t="shared" si="179"/>
        <v/>
      </c>
      <c r="AS168" s="21" t="str">
        <f t="shared" si="180"/>
        <v/>
      </c>
      <c r="AT168" s="59" t="str">
        <f t="shared" si="165"/>
        <v/>
      </c>
      <c r="AU168" s="105">
        <f t="shared" si="113"/>
        <v>1</v>
      </c>
      <c r="AV168" s="105">
        <f t="shared" si="152"/>
        <v>1</v>
      </c>
      <c r="AW168" s="58">
        <f t="shared" si="153"/>
        <v>2</v>
      </c>
      <c r="AX168" s="58">
        <f t="shared" si="154"/>
        <v>3</v>
      </c>
      <c r="AY168" s="58" t="str">
        <f t="shared" si="155"/>
        <v>avec vannes</v>
      </c>
      <c r="AZ168" s="58" t="str">
        <f t="shared" si="156"/>
        <v>fermé</v>
      </c>
      <c r="BA168" s="60">
        <f t="shared" si="188"/>
        <v>0</v>
      </c>
      <c r="BB168" s="60">
        <f t="shared" si="188"/>
        <v>0</v>
      </c>
      <c r="BC168" s="60">
        <f t="shared" si="188"/>
        <v>0</v>
      </c>
      <c r="BD168" s="60">
        <f t="shared" si="188"/>
        <v>0</v>
      </c>
      <c r="BE168" s="286" t="str">
        <f t="shared" si="166"/>
        <v/>
      </c>
      <c r="BF168" s="58" t="str">
        <f t="shared" si="181"/>
        <v/>
      </c>
      <c r="BG168" s="59" t="str">
        <f t="shared" si="167"/>
        <v/>
      </c>
      <c r="BH168" s="158">
        <f t="shared" ca="1" si="168"/>
        <v>1</v>
      </c>
      <c r="BI168" s="60">
        <f t="shared" ca="1" si="169"/>
        <v>0.15</v>
      </c>
      <c r="BJ168" s="60">
        <f t="shared" si="170"/>
        <v>0.2</v>
      </c>
      <c r="BK168" s="60" t="str">
        <f t="shared" si="182"/>
        <v/>
      </c>
      <c r="BL168" s="21" t="str">
        <f t="shared" si="183"/>
        <v/>
      </c>
      <c r="BM168" s="264" t="str">
        <f t="shared" si="171"/>
        <v/>
      </c>
      <c r="BN168" s="60" t="str">
        <f t="shared" si="184"/>
        <v/>
      </c>
      <c r="BO168" s="136">
        <f t="shared" si="185"/>
        <v>0</v>
      </c>
      <c r="BP168" s="59">
        <f t="shared" si="186"/>
        <v>0</v>
      </c>
      <c r="BQ168" s="136">
        <f t="shared" ca="1" si="172"/>
        <v>1353</v>
      </c>
      <c r="BR168" s="136">
        <f t="shared" ca="1" si="173"/>
        <v>1000.5083056478405</v>
      </c>
      <c r="BS168" s="136">
        <f t="shared" ca="1" si="174"/>
        <v>1468800.5083056479</v>
      </c>
      <c r="BT168" s="136">
        <f t="shared" ca="1" si="175"/>
        <v>313875.43103140703</v>
      </c>
      <c r="BU168" s="136">
        <f t="shared" ca="1" si="176"/>
        <v>1000.5083056478405</v>
      </c>
    </row>
    <row r="169" spans="1:73" x14ac:dyDescent="0.2">
      <c r="A169" s="87" t="str">
        <f>'Etape 2'!A166</f>
        <v/>
      </c>
      <c r="B169" s="87">
        <f>'Etape 2'!B166</f>
        <v>154</v>
      </c>
      <c r="C169" s="87">
        <f ca="1">'Etape 2'!C166</f>
        <v>147</v>
      </c>
      <c r="D169" s="87"/>
      <c r="E169" s="61">
        <f ca="1">RANK(BU169,BU$16:BU$315,0)+COUNTIF(BU$16:BU169,BU169)-1</f>
        <v>147</v>
      </c>
      <c r="F169" s="87" t="str">
        <f>'Etape 2'!D166</f>
        <v/>
      </c>
      <c r="G169" s="87" t="str">
        <f>'Etape 2'!E166</f>
        <v/>
      </c>
      <c r="H169" s="87" t="str">
        <f>'Etape 2'!F166</f>
        <v/>
      </c>
      <c r="I169" s="87" t="str">
        <f>'Etape 2'!G166</f>
        <v/>
      </c>
      <c r="J169" s="87" t="str">
        <f>'Etape 2'!H166</f>
        <v/>
      </c>
      <c r="K169" s="87" t="str">
        <f>'Etape 2'!I166</f>
        <v/>
      </c>
      <c r="L169" s="87">
        <f ca="1">'Etape 2'!J166</f>
        <v>999999</v>
      </c>
      <c r="M169" s="87">
        <f>'Etape 2'!K166</f>
        <v>999</v>
      </c>
      <c r="N169" s="87">
        <f ca="1">'Etape 2'!L166</f>
        <v>154</v>
      </c>
      <c r="O169" s="259">
        <f t="shared" si="159"/>
        <v>0.3</v>
      </c>
      <c r="P169" s="259">
        <f t="shared" si="160"/>
        <v>1.1000000000000001</v>
      </c>
      <c r="Q169" s="260">
        <f t="shared" si="161"/>
        <v>0</v>
      </c>
      <c r="R169" s="261">
        <f t="shared" si="187"/>
        <v>0</v>
      </c>
      <c r="S169" s="87">
        <f>IF(ISBLANK('Etape 2'!N166),0,VLOOKUP('Etape 2'!N166,Matrix_Uebersetzung,2,FALSE))</f>
        <v>0</v>
      </c>
      <c r="T169" s="87">
        <f>IF(ISBLANK('Etape 2'!O166),0,VLOOKUP('Etape 2'!O166,Matrix_Uebersetzung,2,FALSE))</f>
        <v>0</v>
      </c>
      <c r="U169" s="87">
        <f>IF(ISBLANK('Etape 2'!P166),0,VLOOKUP('Etape 2'!P166,Matrix_Uebersetzung,2,FALSE))</f>
        <v>0</v>
      </c>
      <c r="V169" s="87" t="str">
        <f>'Etape 2'!Q166</f>
        <v/>
      </c>
      <c r="W169" s="87">
        <f>'Etape 2'!R166</f>
        <v>0</v>
      </c>
      <c r="X169" s="87" t="str">
        <f>'Etape 2'!S166</f>
        <v/>
      </c>
      <c r="Y169" s="89" t="str">
        <f>'Etape 2'!T166</f>
        <v/>
      </c>
      <c r="Z169" s="87">
        <f>'Etape 2'!U166</f>
        <v>0</v>
      </c>
      <c r="AA169" s="87" t="str">
        <f>'Etape 2'!V166</f>
        <v/>
      </c>
      <c r="AB169" s="87">
        <f>IF(ISNUMBER('Etape 2'!W166),'Etape 2'!W166,0)</f>
        <v>0</v>
      </c>
      <c r="AC169" s="87">
        <f>IF(ISNUMBER('Etape 2'!X166),'Etape 2'!X166,0)</f>
        <v>0</v>
      </c>
      <c r="AD169" s="87">
        <f>IF(ISNUMBER('Etape 2'!Y166),'Etape 2'!Y166,0)</f>
        <v>0</v>
      </c>
      <c r="AE169" s="87">
        <f>IF(ISNUMBER('Etape 2'!Z166),'Etape 2'!Z166,0)</f>
        <v>0</v>
      </c>
      <c r="AF169" s="86">
        <f t="shared" si="177"/>
        <v>999</v>
      </c>
      <c r="AG169" s="288">
        <f t="shared" si="178"/>
        <v>0.25</v>
      </c>
      <c r="AH169" s="181" t="e">
        <f t="shared" si="162"/>
        <v>#VALUE!</v>
      </c>
      <c r="AI169" s="181" t="e">
        <f t="shared" si="146"/>
        <v>#VALUE!</v>
      </c>
      <c r="AJ169" s="86">
        <f t="shared" si="163"/>
        <v>200</v>
      </c>
      <c r="AK169" s="91" t="e">
        <f t="shared" si="164"/>
        <v>#N/A</v>
      </c>
      <c r="AL169" s="91" t="e">
        <f t="shared" si="147"/>
        <v>#N/A</v>
      </c>
      <c r="AM169" s="91">
        <f t="shared" si="109"/>
        <v>6</v>
      </c>
      <c r="AN169" s="91" t="e">
        <f t="shared" si="148"/>
        <v>#N/A</v>
      </c>
      <c r="AO169" s="91" t="e">
        <f t="shared" si="149"/>
        <v>#N/A</v>
      </c>
      <c r="AP169" s="21" t="e">
        <f t="shared" si="150"/>
        <v>#N/A</v>
      </c>
      <c r="AQ169" s="21" t="e">
        <f t="shared" si="151"/>
        <v>#N/A</v>
      </c>
      <c r="AR169" s="92" t="str">
        <f t="shared" si="179"/>
        <v/>
      </c>
      <c r="AS169" s="21" t="str">
        <f t="shared" si="180"/>
        <v/>
      </c>
      <c r="AT169" s="59" t="str">
        <f t="shared" si="165"/>
        <v/>
      </c>
      <c r="AU169" s="105">
        <f t="shared" si="113"/>
        <v>1</v>
      </c>
      <c r="AV169" s="105">
        <f t="shared" si="152"/>
        <v>1</v>
      </c>
      <c r="AW169" s="58">
        <f t="shared" si="153"/>
        <v>2</v>
      </c>
      <c r="AX169" s="58">
        <f t="shared" si="154"/>
        <v>3</v>
      </c>
      <c r="AY169" s="58" t="str">
        <f t="shared" si="155"/>
        <v>avec vannes</v>
      </c>
      <c r="AZ169" s="58" t="str">
        <f t="shared" si="156"/>
        <v>fermé</v>
      </c>
      <c r="BA169" s="60">
        <f t="shared" si="188"/>
        <v>0</v>
      </c>
      <c r="BB169" s="60">
        <f t="shared" si="188"/>
        <v>0</v>
      </c>
      <c r="BC169" s="60">
        <f t="shared" si="188"/>
        <v>0</v>
      </c>
      <c r="BD169" s="60">
        <f t="shared" si="188"/>
        <v>0</v>
      </c>
      <c r="BE169" s="286" t="str">
        <f t="shared" si="166"/>
        <v/>
      </c>
      <c r="BF169" s="58" t="str">
        <f t="shared" si="181"/>
        <v/>
      </c>
      <c r="BG169" s="59" t="str">
        <f t="shared" si="167"/>
        <v/>
      </c>
      <c r="BH169" s="158">
        <f t="shared" ca="1" si="168"/>
        <v>1</v>
      </c>
      <c r="BI169" s="60">
        <f t="shared" ca="1" si="169"/>
        <v>0.15</v>
      </c>
      <c r="BJ169" s="60">
        <f t="shared" si="170"/>
        <v>0.2</v>
      </c>
      <c r="BK169" s="60" t="str">
        <f t="shared" si="182"/>
        <v/>
      </c>
      <c r="BL169" s="21" t="str">
        <f t="shared" si="183"/>
        <v/>
      </c>
      <c r="BM169" s="264" t="str">
        <f t="shared" si="171"/>
        <v/>
      </c>
      <c r="BN169" s="60" t="str">
        <f t="shared" si="184"/>
        <v/>
      </c>
      <c r="BO169" s="136">
        <f t="shared" si="185"/>
        <v>0</v>
      </c>
      <c r="BP169" s="59">
        <f t="shared" si="186"/>
        <v>0</v>
      </c>
      <c r="BQ169" s="136">
        <f t="shared" ca="1" si="172"/>
        <v>1354</v>
      </c>
      <c r="BR169" s="136">
        <f t="shared" ca="1" si="173"/>
        <v>1000.5116279069767</v>
      </c>
      <c r="BS169" s="136">
        <f t="shared" ca="1" si="174"/>
        <v>1468800.5116279069</v>
      </c>
      <c r="BT169" s="136">
        <f t="shared" ca="1" si="175"/>
        <v>313875.43435366621</v>
      </c>
      <c r="BU169" s="136">
        <f t="shared" ca="1" si="176"/>
        <v>1000.5116279069767</v>
      </c>
    </row>
    <row r="170" spans="1:73" x14ac:dyDescent="0.2">
      <c r="A170" s="87" t="str">
        <f>'Etape 2'!A167</f>
        <v/>
      </c>
      <c r="B170" s="87">
        <f>'Etape 2'!B167</f>
        <v>155</v>
      </c>
      <c r="C170" s="87">
        <f ca="1">'Etape 2'!C167</f>
        <v>146</v>
      </c>
      <c r="D170" s="87"/>
      <c r="E170" s="61">
        <f ca="1">RANK(BU170,BU$16:BU$315,0)+COUNTIF(BU$16:BU170,BU170)-1</f>
        <v>146</v>
      </c>
      <c r="F170" s="87" t="str">
        <f>'Etape 2'!D167</f>
        <v/>
      </c>
      <c r="G170" s="87" t="str">
        <f>'Etape 2'!E167</f>
        <v/>
      </c>
      <c r="H170" s="87" t="str">
        <f>'Etape 2'!F167</f>
        <v/>
      </c>
      <c r="I170" s="87" t="str">
        <f>'Etape 2'!G167</f>
        <v/>
      </c>
      <c r="J170" s="87" t="str">
        <f>'Etape 2'!H167</f>
        <v/>
      </c>
      <c r="K170" s="87" t="str">
        <f>'Etape 2'!I167</f>
        <v/>
      </c>
      <c r="L170" s="87">
        <f ca="1">'Etape 2'!J167</f>
        <v>999999</v>
      </c>
      <c r="M170" s="87">
        <f>'Etape 2'!K167</f>
        <v>999</v>
      </c>
      <c r="N170" s="87">
        <f ca="1">'Etape 2'!L167</f>
        <v>155</v>
      </c>
      <c r="O170" s="259">
        <f t="shared" si="159"/>
        <v>0.3</v>
      </c>
      <c r="P170" s="259">
        <f t="shared" si="160"/>
        <v>1.1000000000000001</v>
      </c>
      <c r="Q170" s="260">
        <f t="shared" si="161"/>
        <v>0</v>
      </c>
      <c r="R170" s="261">
        <f t="shared" si="187"/>
        <v>0</v>
      </c>
      <c r="S170" s="87">
        <f>IF(ISBLANK('Etape 2'!N167),0,VLOOKUP('Etape 2'!N167,Matrix_Uebersetzung,2,FALSE))</f>
        <v>0</v>
      </c>
      <c r="T170" s="87">
        <f>IF(ISBLANK('Etape 2'!O167),0,VLOOKUP('Etape 2'!O167,Matrix_Uebersetzung,2,FALSE))</f>
        <v>0</v>
      </c>
      <c r="U170" s="87">
        <f>IF(ISBLANK('Etape 2'!P167),0,VLOOKUP('Etape 2'!P167,Matrix_Uebersetzung,2,FALSE))</f>
        <v>0</v>
      </c>
      <c r="V170" s="87" t="str">
        <f>'Etape 2'!Q167</f>
        <v/>
      </c>
      <c r="W170" s="87">
        <f>'Etape 2'!R167</f>
        <v>0</v>
      </c>
      <c r="X170" s="87" t="str">
        <f>'Etape 2'!S167</f>
        <v/>
      </c>
      <c r="Y170" s="89" t="str">
        <f>'Etape 2'!T167</f>
        <v/>
      </c>
      <c r="Z170" s="87">
        <f>'Etape 2'!U167</f>
        <v>0</v>
      </c>
      <c r="AA170" s="87" t="str">
        <f>'Etape 2'!V167</f>
        <v/>
      </c>
      <c r="AB170" s="87">
        <f>IF(ISNUMBER('Etape 2'!W167),'Etape 2'!W167,0)</f>
        <v>0</v>
      </c>
      <c r="AC170" s="87">
        <f>IF(ISNUMBER('Etape 2'!X167),'Etape 2'!X167,0)</f>
        <v>0</v>
      </c>
      <c r="AD170" s="87">
        <f>IF(ISNUMBER('Etape 2'!Y167),'Etape 2'!Y167,0)</f>
        <v>0</v>
      </c>
      <c r="AE170" s="87">
        <f>IF(ISNUMBER('Etape 2'!Z167),'Etape 2'!Z167,0)</f>
        <v>0</v>
      </c>
      <c r="AF170" s="86">
        <f t="shared" si="177"/>
        <v>999</v>
      </c>
      <c r="AG170" s="288">
        <f t="shared" si="178"/>
        <v>0.25</v>
      </c>
      <c r="AH170" s="181" t="e">
        <f t="shared" si="162"/>
        <v>#VALUE!</v>
      </c>
      <c r="AI170" s="181" t="e">
        <f t="shared" si="146"/>
        <v>#VALUE!</v>
      </c>
      <c r="AJ170" s="86">
        <f t="shared" si="163"/>
        <v>200</v>
      </c>
      <c r="AK170" s="91" t="e">
        <f t="shared" si="164"/>
        <v>#N/A</v>
      </c>
      <c r="AL170" s="91" t="e">
        <f t="shared" si="147"/>
        <v>#N/A</v>
      </c>
      <c r="AM170" s="91">
        <f t="shared" si="109"/>
        <v>6</v>
      </c>
      <c r="AN170" s="91" t="e">
        <f t="shared" si="148"/>
        <v>#N/A</v>
      </c>
      <c r="AO170" s="91" t="e">
        <f t="shared" si="149"/>
        <v>#N/A</v>
      </c>
      <c r="AP170" s="21" t="e">
        <f t="shared" si="150"/>
        <v>#N/A</v>
      </c>
      <c r="AQ170" s="21" t="e">
        <f t="shared" si="151"/>
        <v>#N/A</v>
      </c>
      <c r="AR170" s="92" t="str">
        <f t="shared" si="179"/>
        <v/>
      </c>
      <c r="AS170" s="21" t="str">
        <f t="shared" si="180"/>
        <v/>
      </c>
      <c r="AT170" s="59" t="str">
        <f t="shared" si="165"/>
        <v/>
      </c>
      <c r="AU170" s="105">
        <f t="shared" si="113"/>
        <v>1</v>
      </c>
      <c r="AV170" s="105">
        <f t="shared" si="152"/>
        <v>1</v>
      </c>
      <c r="AW170" s="58">
        <f t="shared" si="153"/>
        <v>2</v>
      </c>
      <c r="AX170" s="58">
        <f t="shared" si="154"/>
        <v>3</v>
      </c>
      <c r="AY170" s="58" t="str">
        <f t="shared" si="155"/>
        <v>avec vannes</v>
      </c>
      <c r="AZ170" s="58" t="str">
        <f t="shared" si="156"/>
        <v>fermé</v>
      </c>
      <c r="BA170" s="60">
        <f t="shared" si="188"/>
        <v>0</v>
      </c>
      <c r="BB170" s="60">
        <f t="shared" si="188"/>
        <v>0</v>
      </c>
      <c r="BC170" s="60">
        <f t="shared" si="188"/>
        <v>0</v>
      </c>
      <c r="BD170" s="60">
        <f t="shared" si="188"/>
        <v>0</v>
      </c>
      <c r="BE170" s="286" t="str">
        <f t="shared" si="166"/>
        <v/>
      </c>
      <c r="BF170" s="58" t="str">
        <f t="shared" si="181"/>
        <v/>
      </c>
      <c r="BG170" s="59" t="str">
        <f t="shared" si="167"/>
        <v/>
      </c>
      <c r="BH170" s="158">
        <f t="shared" ca="1" si="168"/>
        <v>1</v>
      </c>
      <c r="BI170" s="60">
        <f t="shared" ca="1" si="169"/>
        <v>0.15</v>
      </c>
      <c r="BJ170" s="60">
        <f t="shared" si="170"/>
        <v>0.2</v>
      </c>
      <c r="BK170" s="60" t="str">
        <f t="shared" si="182"/>
        <v/>
      </c>
      <c r="BL170" s="21" t="str">
        <f t="shared" si="183"/>
        <v/>
      </c>
      <c r="BM170" s="264" t="str">
        <f t="shared" si="171"/>
        <v/>
      </c>
      <c r="BN170" s="60" t="str">
        <f t="shared" si="184"/>
        <v/>
      </c>
      <c r="BO170" s="136">
        <f t="shared" si="185"/>
        <v>0</v>
      </c>
      <c r="BP170" s="59">
        <f t="shared" si="186"/>
        <v>0</v>
      </c>
      <c r="BQ170" s="136">
        <f t="shared" ca="1" si="172"/>
        <v>1355</v>
      </c>
      <c r="BR170" s="136">
        <f t="shared" ca="1" si="173"/>
        <v>1000.514950166113</v>
      </c>
      <c r="BS170" s="136">
        <f t="shared" ca="1" si="174"/>
        <v>1468800.5149501662</v>
      </c>
      <c r="BT170" s="136">
        <f t="shared" ca="1" si="175"/>
        <v>313875.43767592532</v>
      </c>
      <c r="BU170" s="136">
        <f t="shared" ca="1" si="176"/>
        <v>1000.514950166113</v>
      </c>
    </row>
    <row r="171" spans="1:73" x14ac:dyDescent="0.2">
      <c r="A171" s="87" t="str">
        <f>'Etape 2'!A168</f>
        <v/>
      </c>
      <c r="B171" s="87">
        <f>'Etape 2'!B168</f>
        <v>156</v>
      </c>
      <c r="C171" s="87">
        <f ca="1">'Etape 2'!C168</f>
        <v>145</v>
      </c>
      <c r="D171" s="87"/>
      <c r="E171" s="61">
        <f ca="1">RANK(BU171,BU$16:BU$315,0)+COUNTIF(BU$16:BU171,BU171)-1</f>
        <v>145</v>
      </c>
      <c r="F171" s="87" t="str">
        <f>'Etape 2'!D168</f>
        <v/>
      </c>
      <c r="G171" s="87" t="str">
        <f>'Etape 2'!E168</f>
        <v/>
      </c>
      <c r="H171" s="87" t="str">
        <f>'Etape 2'!F168</f>
        <v/>
      </c>
      <c r="I171" s="87" t="str">
        <f>'Etape 2'!G168</f>
        <v/>
      </c>
      <c r="J171" s="87" t="str">
        <f>'Etape 2'!H168</f>
        <v/>
      </c>
      <c r="K171" s="87" t="str">
        <f>'Etape 2'!I168</f>
        <v/>
      </c>
      <c r="L171" s="87">
        <f ca="1">'Etape 2'!J168</f>
        <v>999999</v>
      </c>
      <c r="M171" s="87">
        <f>'Etape 2'!K168</f>
        <v>999</v>
      </c>
      <c r="N171" s="87">
        <f ca="1">'Etape 2'!L168</f>
        <v>156</v>
      </c>
      <c r="O171" s="259">
        <f t="shared" si="159"/>
        <v>0.3</v>
      </c>
      <c r="P171" s="259">
        <f t="shared" si="160"/>
        <v>1.1000000000000001</v>
      </c>
      <c r="Q171" s="260">
        <f t="shared" si="161"/>
        <v>0</v>
      </c>
      <c r="R171" s="261">
        <f t="shared" si="187"/>
        <v>0</v>
      </c>
      <c r="S171" s="87">
        <f>IF(ISBLANK('Etape 2'!N168),0,VLOOKUP('Etape 2'!N168,Matrix_Uebersetzung,2,FALSE))</f>
        <v>0</v>
      </c>
      <c r="T171" s="87">
        <f>IF(ISBLANK('Etape 2'!O168),0,VLOOKUP('Etape 2'!O168,Matrix_Uebersetzung,2,FALSE))</f>
        <v>0</v>
      </c>
      <c r="U171" s="87">
        <f>IF(ISBLANK('Etape 2'!P168),0,VLOOKUP('Etape 2'!P168,Matrix_Uebersetzung,2,FALSE))</f>
        <v>0</v>
      </c>
      <c r="V171" s="87" t="str">
        <f>'Etape 2'!Q168</f>
        <v/>
      </c>
      <c r="W171" s="87">
        <f>'Etape 2'!R168</f>
        <v>0</v>
      </c>
      <c r="X171" s="87" t="str">
        <f>'Etape 2'!S168</f>
        <v/>
      </c>
      <c r="Y171" s="89" t="str">
        <f>'Etape 2'!T168</f>
        <v/>
      </c>
      <c r="Z171" s="87">
        <f>'Etape 2'!U168</f>
        <v>0</v>
      </c>
      <c r="AA171" s="87" t="str">
        <f>'Etape 2'!V168</f>
        <v/>
      </c>
      <c r="AB171" s="87">
        <f>IF(ISNUMBER('Etape 2'!W168),'Etape 2'!W168,0)</f>
        <v>0</v>
      </c>
      <c r="AC171" s="87">
        <f>IF(ISNUMBER('Etape 2'!X168),'Etape 2'!X168,0)</f>
        <v>0</v>
      </c>
      <c r="AD171" s="87">
        <f>IF(ISNUMBER('Etape 2'!Y168),'Etape 2'!Y168,0)</f>
        <v>0</v>
      </c>
      <c r="AE171" s="87">
        <f>IF(ISNUMBER('Etape 2'!Z168),'Etape 2'!Z168,0)</f>
        <v>0</v>
      </c>
      <c r="AF171" s="86">
        <f t="shared" si="177"/>
        <v>999</v>
      </c>
      <c r="AG171" s="288">
        <f t="shared" si="178"/>
        <v>0.25</v>
      </c>
      <c r="AH171" s="181" t="e">
        <f t="shared" si="162"/>
        <v>#VALUE!</v>
      </c>
      <c r="AI171" s="181" t="e">
        <f t="shared" si="146"/>
        <v>#VALUE!</v>
      </c>
      <c r="AJ171" s="86">
        <f t="shared" si="163"/>
        <v>200</v>
      </c>
      <c r="AK171" s="91" t="e">
        <f t="shared" si="164"/>
        <v>#N/A</v>
      </c>
      <c r="AL171" s="91" t="e">
        <f t="shared" si="147"/>
        <v>#N/A</v>
      </c>
      <c r="AM171" s="91">
        <f t="shared" si="109"/>
        <v>6</v>
      </c>
      <c r="AN171" s="91" t="e">
        <f t="shared" si="148"/>
        <v>#N/A</v>
      </c>
      <c r="AO171" s="91" t="e">
        <f t="shared" si="149"/>
        <v>#N/A</v>
      </c>
      <c r="AP171" s="21" t="e">
        <f t="shared" si="150"/>
        <v>#N/A</v>
      </c>
      <c r="AQ171" s="21" t="e">
        <f t="shared" si="151"/>
        <v>#N/A</v>
      </c>
      <c r="AR171" s="92" t="str">
        <f t="shared" si="179"/>
        <v/>
      </c>
      <c r="AS171" s="21" t="str">
        <f t="shared" si="180"/>
        <v/>
      </c>
      <c r="AT171" s="59" t="str">
        <f t="shared" si="165"/>
        <v/>
      </c>
      <c r="AU171" s="105">
        <f t="shared" si="113"/>
        <v>1</v>
      </c>
      <c r="AV171" s="105">
        <f t="shared" si="152"/>
        <v>1</v>
      </c>
      <c r="AW171" s="58">
        <f t="shared" si="153"/>
        <v>2</v>
      </c>
      <c r="AX171" s="58">
        <f t="shared" si="154"/>
        <v>3</v>
      </c>
      <c r="AY171" s="58" t="str">
        <f t="shared" si="155"/>
        <v>avec vannes</v>
      </c>
      <c r="AZ171" s="58" t="str">
        <f t="shared" si="156"/>
        <v>fermé</v>
      </c>
      <c r="BA171" s="60">
        <f t="shared" si="188"/>
        <v>0</v>
      </c>
      <c r="BB171" s="60">
        <f t="shared" si="188"/>
        <v>0</v>
      </c>
      <c r="BC171" s="60">
        <f t="shared" si="188"/>
        <v>0</v>
      </c>
      <c r="BD171" s="60">
        <f t="shared" si="188"/>
        <v>0</v>
      </c>
      <c r="BE171" s="286" t="str">
        <f t="shared" si="166"/>
        <v/>
      </c>
      <c r="BF171" s="58" t="str">
        <f t="shared" si="181"/>
        <v/>
      </c>
      <c r="BG171" s="59" t="str">
        <f t="shared" si="167"/>
        <v/>
      </c>
      <c r="BH171" s="158">
        <f t="shared" ca="1" si="168"/>
        <v>1</v>
      </c>
      <c r="BI171" s="60">
        <f t="shared" ca="1" si="169"/>
        <v>0.15</v>
      </c>
      <c r="BJ171" s="60">
        <f t="shared" si="170"/>
        <v>0.2</v>
      </c>
      <c r="BK171" s="60" t="str">
        <f t="shared" si="182"/>
        <v/>
      </c>
      <c r="BL171" s="21" t="str">
        <f t="shared" si="183"/>
        <v/>
      </c>
      <c r="BM171" s="264" t="str">
        <f t="shared" si="171"/>
        <v/>
      </c>
      <c r="BN171" s="60" t="str">
        <f t="shared" si="184"/>
        <v/>
      </c>
      <c r="BO171" s="136">
        <f t="shared" si="185"/>
        <v>0</v>
      </c>
      <c r="BP171" s="59">
        <f t="shared" si="186"/>
        <v>0</v>
      </c>
      <c r="BQ171" s="136">
        <f t="shared" ca="1" si="172"/>
        <v>1356</v>
      </c>
      <c r="BR171" s="136">
        <f t="shared" ca="1" si="173"/>
        <v>1000.5182724252492</v>
      </c>
      <c r="BS171" s="136">
        <f t="shared" ca="1" si="174"/>
        <v>1468800.5182724253</v>
      </c>
      <c r="BT171" s="136">
        <f t="shared" ca="1" si="175"/>
        <v>313875.44099818444</v>
      </c>
      <c r="BU171" s="136">
        <f t="shared" ca="1" si="176"/>
        <v>1000.5182724252492</v>
      </c>
    </row>
    <row r="172" spans="1:73" x14ac:dyDescent="0.2">
      <c r="A172" s="87" t="str">
        <f>'Etape 2'!A169</f>
        <v/>
      </c>
      <c r="B172" s="87">
        <f>'Etape 2'!B169</f>
        <v>157</v>
      </c>
      <c r="C172" s="87">
        <f ca="1">'Etape 2'!C169</f>
        <v>144</v>
      </c>
      <c r="D172" s="87"/>
      <c r="E172" s="61">
        <f ca="1">RANK(BU172,BU$16:BU$315,0)+COUNTIF(BU$16:BU172,BU172)-1</f>
        <v>144</v>
      </c>
      <c r="F172" s="87" t="str">
        <f>'Etape 2'!D169</f>
        <v/>
      </c>
      <c r="G172" s="87" t="str">
        <f>'Etape 2'!E169</f>
        <v/>
      </c>
      <c r="H172" s="87" t="str">
        <f>'Etape 2'!F169</f>
        <v/>
      </c>
      <c r="I172" s="87" t="str">
        <f>'Etape 2'!G169</f>
        <v/>
      </c>
      <c r="J172" s="87" t="str">
        <f>'Etape 2'!H169</f>
        <v/>
      </c>
      <c r="K172" s="87" t="str">
        <f>'Etape 2'!I169</f>
        <v/>
      </c>
      <c r="L172" s="87">
        <f ca="1">'Etape 2'!J169</f>
        <v>999999</v>
      </c>
      <c r="M172" s="87">
        <f>'Etape 2'!K169</f>
        <v>999</v>
      </c>
      <c r="N172" s="87">
        <f ca="1">'Etape 2'!L169</f>
        <v>157</v>
      </c>
      <c r="O172" s="259">
        <f t="shared" si="159"/>
        <v>0.3</v>
      </c>
      <c r="P172" s="259">
        <f t="shared" si="160"/>
        <v>1.1000000000000001</v>
      </c>
      <c r="Q172" s="260">
        <f t="shared" si="161"/>
        <v>0</v>
      </c>
      <c r="R172" s="261">
        <f t="shared" si="187"/>
        <v>0</v>
      </c>
      <c r="S172" s="87">
        <f>IF(ISBLANK('Etape 2'!N169),0,VLOOKUP('Etape 2'!N169,Matrix_Uebersetzung,2,FALSE))</f>
        <v>0</v>
      </c>
      <c r="T172" s="87">
        <f>IF(ISBLANK('Etape 2'!O169),0,VLOOKUP('Etape 2'!O169,Matrix_Uebersetzung,2,FALSE))</f>
        <v>0</v>
      </c>
      <c r="U172" s="87">
        <f>IF(ISBLANK('Etape 2'!P169),0,VLOOKUP('Etape 2'!P169,Matrix_Uebersetzung,2,FALSE))</f>
        <v>0</v>
      </c>
      <c r="V172" s="87" t="str">
        <f>'Etape 2'!Q169</f>
        <v/>
      </c>
      <c r="W172" s="87">
        <f>'Etape 2'!R169</f>
        <v>0</v>
      </c>
      <c r="X172" s="87" t="str">
        <f>'Etape 2'!S169</f>
        <v/>
      </c>
      <c r="Y172" s="89" t="str">
        <f>'Etape 2'!T169</f>
        <v/>
      </c>
      <c r="Z172" s="87">
        <f>'Etape 2'!U169</f>
        <v>0</v>
      </c>
      <c r="AA172" s="87" t="str">
        <f>'Etape 2'!V169</f>
        <v/>
      </c>
      <c r="AB172" s="87">
        <f>IF(ISNUMBER('Etape 2'!W169),'Etape 2'!W169,0)</f>
        <v>0</v>
      </c>
      <c r="AC172" s="87">
        <f>IF(ISNUMBER('Etape 2'!X169),'Etape 2'!X169,0)</f>
        <v>0</v>
      </c>
      <c r="AD172" s="87">
        <f>IF(ISNUMBER('Etape 2'!Y169),'Etape 2'!Y169,0)</f>
        <v>0</v>
      </c>
      <c r="AE172" s="87">
        <f>IF(ISNUMBER('Etape 2'!Z169),'Etape 2'!Z169,0)</f>
        <v>0</v>
      </c>
      <c r="AF172" s="86">
        <f t="shared" si="177"/>
        <v>999</v>
      </c>
      <c r="AG172" s="288">
        <f t="shared" si="178"/>
        <v>0.25</v>
      </c>
      <c r="AH172" s="181" t="e">
        <f t="shared" si="162"/>
        <v>#VALUE!</v>
      </c>
      <c r="AI172" s="181" t="e">
        <f t="shared" si="146"/>
        <v>#VALUE!</v>
      </c>
      <c r="AJ172" s="86">
        <f t="shared" si="163"/>
        <v>200</v>
      </c>
      <c r="AK172" s="91" t="e">
        <f t="shared" si="164"/>
        <v>#N/A</v>
      </c>
      <c r="AL172" s="91" t="e">
        <f t="shared" si="147"/>
        <v>#N/A</v>
      </c>
      <c r="AM172" s="91">
        <f t="shared" si="109"/>
        <v>6</v>
      </c>
      <c r="AN172" s="91" t="e">
        <f t="shared" si="148"/>
        <v>#N/A</v>
      </c>
      <c r="AO172" s="91" t="e">
        <f t="shared" si="149"/>
        <v>#N/A</v>
      </c>
      <c r="AP172" s="21" t="e">
        <f t="shared" si="150"/>
        <v>#N/A</v>
      </c>
      <c r="AQ172" s="21" t="e">
        <f t="shared" si="151"/>
        <v>#N/A</v>
      </c>
      <c r="AR172" s="92" t="str">
        <f t="shared" si="179"/>
        <v/>
      </c>
      <c r="AS172" s="21" t="str">
        <f t="shared" si="180"/>
        <v/>
      </c>
      <c r="AT172" s="59" t="str">
        <f t="shared" si="165"/>
        <v/>
      </c>
      <c r="AU172" s="105">
        <f t="shared" si="113"/>
        <v>1</v>
      </c>
      <c r="AV172" s="105">
        <f t="shared" si="152"/>
        <v>1</v>
      </c>
      <c r="AW172" s="58">
        <f t="shared" si="153"/>
        <v>2</v>
      </c>
      <c r="AX172" s="58">
        <f t="shared" si="154"/>
        <v>3</v>
      </c>
      <c r="AY172" s="58" t="str">
        <f t="shared" si="155"/>
        <v>avec vannes</v>
      </c>
      <c r="AZ172" s="58" t="str">
        <f t="shared" si="156"/>
        <v>fermé</v>
      </c>
      <c r="BA172" s="60">
        <f t="shared" si="188"/>
        <v>0</v>
      </c>
      <c r="BB172" s="60">
        <f t="shared" si="188"/>
        <v>0</v>
      </c>
      <c r="BC172" s="60">
        <f t="shared" si="188"/>
        <v>0</v>
      </c>
      <c r="BD172" s="60">
        <f t="shared" si="188"/>
        <v>0</v>
      </c>
      <c r="BE172" s="286" t="str">
        <f t="shared" si="166"/>
        <v/>
      </c>
      <c r="BF172" s="58" t="str">
        <f t="shared" si="181"/>
        <v/>
      </c>
      <c r="BG172" s="59" t="str">
        <f t="shared" si="167"/>
        <v/>
      </c>
      <c r="BH172" s="158">
        <f t="shared" ca="1" si="168"/>
        <v>1</v>
      </c>
      <c r="BI172" s="60">
        <f t="shared" ca="1" si="169"/>
        <v>0.15</v>
      </c>
      <c r="BJ172" s="60">
        <f t="shared" si="170"/>
        <v>0.2</v>
      </c>
      <c r="BK172" s="60" t="str">
        <f t="shared" si="182"/>
        <v/>
      </c>
      <c r="BL172" s="21" t="str">
        <f t="shared" si="183"/>
        <v/>
      </c>
      <c r="BM172" s="264" t="str">
        <f t="shared" si="171"/>
        <v/>
      </c>
      <c r="BN172" s="60" t="str">
        <f t="shared" si="184"/>
        <v/>
      </c>
      <c r="BO172" s="136">
        <f t="shared" si="185"/>
        <v>0</v>
      </c>
      <c r="BP172" s="59">
        <f t="shared" si="186"/>
        <v>0</v>
      </c>
      <c r="BQ172" s="136">
        <f t="shared" ca="1" si="172"/>
        <v>1357</v>
      </c>
      <c r="BR172" s="136">
        <f t="shared" ca="1" si="173"/>
        <v>1000.5215946843854</v>
      </c>
      <c r="BS172" s="136">
        <f t="shared" ca="1" si="174"/>
        <v>1468800.5215946843</v>
      </c>
      <c r="BT172" s="136">
        <f t="shared" ca="1" si="175"/>
        <v>313875.44432044361</v>
      </c>
      <c r="BU172" s="136">
        <f t="shared" ca="1" si="176"/>
        <v>1000.5215946843854</v>
      </c>
    </row>
    <row r="173" spans="1:73" x14ac:dyDescent="0.2">
      <c r="A173" s="87" t="str">
        <f>'Etape 2'!A170</f>
        <v/>
      </c>
      <c r="B173" s="87">
        <f>'Etape 2'!B170</f>
        <v>158</v>
      </c>
      <c r="C173" s="87">
        <f ca="1">'Etape 2'!C170</f>
        <v>143</v>
      </c>
      <c r="D173" s="87"/>
      <c r="E173" s="61">
        <f ca="1">RANK(BU173,BU$16:BU$315,0)+COUNTIF(BU$16:BU173,BU173)-1</f>
        <v>143</v>
      </c>
      <c r="F173" s="87" t="str">
        <f>'Etape 2'!D170</f>
        <v/>
      </c>
      <c r="G173" s="87" t="str">
        <f>'Etape 2'!E170</f>
        <v/>
      </c>
      <c r="H173" s="87" t="str">
        <f>'Etape 2'!F170</f>
        <v/>
      </c>
      <c r="I173" s="87" t="str">
        <f>'Etape 2'!G170</f>
        <v/>
      </c>
      <c r="J173" s="87" t="str">
        <f>'Etape 2'!H170</f>
        <v/>
      </c>
      <c r="K173" s="87" t="str">
        <f>'Etape 2'!I170</f>
        <v/>
      </c>
      <c r="L173" s="87">
        <f ca="1">'Etape 2'!J170</f>
        <v>999999</v>
      </c>
      <c r="M173" s="87">
        <f>'Etape 2'!K170</f>
        <v>999</v>
      </c>
      <c r="N173" s="87">
        <f ca="1">'Etape 2'!L170</f>
        <v>158</v>
      </c>
      <c r="O173" s="259">
        <f t="shared" si="159"/>
        <v>0.3</v>
      </c>
      <c r="P173" s="259">
        <f t="shared" si="160"/>
        <v>1.1000000000000001</v>
      </c>
      <c r="Q173" s="260">
        <f t="shared" si="161"/>
        <v>0</v>
      </c>
      <c r="R173" s="261">
        <f t="shared" si="187"/>
        <v>0</v>
      </c>
      <c r="S173" s="87">
        <f>IF(ISBLANK('Etape 2'!N170),0,VLOOKUP('Etape 2'!N170,Matrix_Uebersetzung,2,FALSE))</f>
        <v>0</v>
      </c>
      <c r="T173" s="87">
        <f>IF(ISBLANK('Etape 2'!O170),0,VLOOKUP('Etape 2'!O170,Matrix_Uebersetzung,2,FALSE))</f>
        <v>0</v>
      </c>
      <c r="U173" s="87">
        <f>IF(ISBLANK('Etape 2'!P170),0,VLOOKUP('Etape 2'!P170,Matrix_Uebersetzung,2,FALSE))</f>
        <v>0</v>
      </c>
      <c r="V173" s="87" t="str">
        <f>'Etape 2'!Q170</f>
        <v/>
      </c>
      <c r="W173" s="87">
        <f>'Etape 2'!R170</f>
        <v>0</v>
      </c>
      <c r="X173" s="87" t="str">
        <f>'Etape 2'!S170</f>
        <v/>
      </c>
      <c r="Y173" s="89" t="str">
        <f>'Etape 2'!T170</f>
        <v/>
      </c>
      <c r="Z173" s="87">
        <f>'Etape 2'!U170</f>
        <v>0</v>
      </c>
      <c r="AA173" s="87" t="str">
        <f>'Etape 2'!V170</f>
        <v/>
      </c>
      <c r="AB173" s="87">
        <f>IF(ISNUMBER('Etape 2'!W170),'Etape 2'!W170,0)</f>
        <v>0</v>
      </c>
      <c r="AC173" s="87">
        <f>IF(ISNUMBER('Etape 2'!X170),'Etape 2'!X170,0)</f>
        <v>0</v>
      </c>
      <c r="AD173" s="87">
        <f>IF(ISNUMBER('Etape 2'!Y170),'Etape 2'!Y170,0)</f>
        <v>0</v>
      </c>
      <c r="AE173" s="87">
        <f>IF(ISNUMBER('Etape 2'!Z170),'Etape 2'!Z170,0)</f>
        <v>0</v>
      </c>
      <c r="AF173" s="86">
        <f t="shared" si="177"/>
        <v>999</v>
      </c>
      <c r="AG173" s="288">
        <f t="shared" si="178"/>
        <v>0.25</v>
      </c>
      <c r="AH173" s="181" t="e">
        <f t="shared" si="162"/>
        <v>#VALUE!</v>
      </c>
      <c r="AI173" s="181" t="e">
        <f t="shared" si="146"/>
        <v>#VALUE!</v>
      </c>
      <c r="AJ173" s="86">
        <f t="shared" si="163"/>
        <v>200</v>
      </c>
      <c r="AK173" s="91" t="e">
        <f t="shared" si="164"/>
        <v>#N/A</v>
      </c>
      <c r="AL173" s="91" t="e">
        <f t="shared" si="147"/>
        <v>#N/A</v>
      </c>
      <c r="AM173" s="91">
        <f t="shared" si="109"/>
        <v>6</v>
      </c>
      <c r="AN173" s="91" t="e">
        <f t="shared" si="148"/>
        <v>#N/A</v>
      </c>
      <c r="AO173" s="91" t="e">
        <f t="shared" si="149"/>
        <v>#N/A</v>
      </c>
      <c r="AP173" s="21" t="e">
        <f t="shared" si="150"/>
        <v>#N/A</v>
      </c>
      <c r="AQ173" s="21" t="e">
        <f t="shared" si="151"/>
        <v>#N/A</v>
      </c>
      <c r="AR173" s="92" t="str">
        <f t="shared" si="179"/>
        <v/>
      </c>
      <c r="AS173" s="21" t="str">
        <f t="shared" si="180"/>
        <v/>
      </c>
      <c r="AT173" s="59" t="str">
        <f t="shared" si="165"/>
        <v/>
      </c>
      <c r="AU173" s="105">
        <f t="shared" si="113"/>
        <v>1</v>
      </c>
      <c r="AV173" s="105">
        <f t="shared" si="152"/>
        <v>1</v>
      </c>
      <c r="AW173" s="58">
        <f t="shared" si="153"/>
        <v>2</v>
      </c>
      <c r="AX173" s="58">
        <f t="shared" si="154"/>
        <v>3</v>
      </c>
      <c r="AY173" s="58" t="str">
        <f t="shared" si="155"/>
        <v>avec vannes</v>
      </c>
      <c r="AZ173" s="58" t="str">
        <f t="shared" si="156"/>
        <v>fermé</v>
      </c>
      <c r="BA173" s="60">
        <f t="shared" si="188"/>
        <v>0</v>
      </c>
      <c r="BB173" s="60">
        <f t="shared" si="188"/>
        <v>0</v>
      </c>
      <c r="BC173" s="60">
        <f t="shared" si="188"/>
        <v>0</v>
      </c>
      <c r="BD173" s="60">
        <f t="shared" si="188"/>
        <v>0</v>
      </c>
      <c r="BE173" s="286" t="str">
        <f t="shared" si="166"/>
        <v/>
      </c>
      <c r="BF173" s="58" t="str">
        <f t="shared" si="181"/>
        <v/>
      </c>
      <c r="BG173" s="59" t="str">
        <f t="shared" si="167"/>
        <v/>
      </c>
      <c r="BH173" s="158">
        <f t="shared" ca="1" si="168"/>
        <v>1</v>
      </c>
      <c r="BI173" s="60">
        <f t="shared" ca="1" si="169"/>
        <v>0.15</v>
      </c>
      <c r="BJ173" s="60">
        <f t="shared" si="170"/>
        <v>0.2</v>
      </c>
      <c r="BK173" s="60" t="str">
        <f t="shared" si="182"/>
        <v/>
      </c>
      <c r="BL173" s="21" t="str">
        <f t="shared" si="183"/>
        <v/>
      </c>
      <c r="BM173" s="264" t="str">
        <f t="shared" si="171"/>
        <v/>
      </c>
      <c r="BN173" s="60" t="str">
        <f t="shared" si="184"/>
        <v/>
      </c>
      <c r="BO173" s="136">
        <f t="shared" si="185"/>
        <v>0</v>
      </c>
      <c r="BP173" s="59">
        <f t="shared" si="186"/>
        <v>0</v>
      </c>
      <c r="BQ173" s="136">
        <f t="shared" ca="1" si="172"/>
        <v>1358</v>
      </c>
      <c r="BR173" s="136">
        <f t="shared" ca="1" si="173"/>
        <v>1000.5249169435216</v>
      </c>
      <c r="BS173" s="136">
        <f t="shared" ca="1" si="174"/>
        <v>1468800.5249169436</v>
      </c>
      <c r="BT173" s="136">
        <f t="shared" ca="1" si="175"/>
        <v>313875.44764270273</v>
      </c>
      <c r="BU173" s="136">
        <f t="shared" ca="1" si="176"/>
        <v>1000.5249169435216</v>
      </c>
    </row>
    <row r="174" spans="1:73" x14ac:dyDescent="0.2">
      <c r="A174" s="87" t="str">
        <f>'Etape 2'!A171</f>
        <v/>
      </c>
      <c r="B174" s="87">
        <f>'Etape 2'!B171</f>
        <v>159</v>
      </c>
      <c r="C174" s="87">
        <f ca="1">'Etape 2'!C171</f>
        <v>142</v>
      </c>
      <c r="D174" s="87"/>
      <c r="E174" s="61">
        <f ca="1">RANK(BU174,BU$16:BU$315,0)+COUNTIF(BU$16:BU174,BU174)-1</f>
        <v>142</v>
      </c>
      <c r="F174" s="87" t="str">
        <f>'Etape 2'!D171</f>
        <v/>
      </c>
      <c r="G174" s="87" t="str">
        <f>'Etape 2'!E171</f>
        <v/>
      </c>
      <c r="H174" s="87" t="str">
        <f>'Etape 2'!F171</f>
        <v/>
      </c>
      <c r="I174" s="87" t="str">
        <f>'Etape 2'!G171</f>
        <v/>
      </c>
      <c r="J174" s="87" t="str">
        <f>'Etape 2'!H171</f>
        <v/>
      </c>
      <c r="K174" s="87" t="str">
        <f>'Etape 2'!I171</f>
        <v/>
      </c>
      <c r="L174" s="87">
        <f ca="1">'Etape 2'!J171</f>
        <v>999999</v>
      </c>
      <c r="M174" s="87">
        <f>'Etape 2'!K171</f>
        <v>999</v>
      </c>
      <c r="N174" s="87">
        <f ca="1">'Etape 2'!L171</f>
        <v>159</v>
      </c>
      <c r="O174" s="259">
        <f t="shared" si="159"/>
        <v>0.3</v>
      </c>
      <c r="P174" s="259">
        <f t="shared" si="160"/>
        <v>1.1000000000000001</v>
      </c>
      <c r="Q174" s="260">
        <f t="shared" si="161"/>
        <v>0</v>
      </c>
      <c r="R174" s="261">
        <f t="shared" si="187"/>
        <v>0</v>
      </c>
      <c r="S174" s="87">
        <f>IF(ISBLANK('Etape 2'!N171),0,VLOOKUP('Etape 2'!N171,Matrix_Uebersetzung,2,FALSE))</f>
        <v>0</v>
      </c>
      <c r="T174" s="87">
        <f>IF(ISBLANK('Etape 2'!O171),0,VLOOKUP('Etape 2'!O171,Matrix_Uebersetzung,2,FALSE))</f>
        <v>0</v>
      </c>
      <c r="U174" s="87">
        <f>IF(ISBLANK('Etape 2'!P171),0,VLOOKUP('Etape 2'!P171,Matrix_Uebersetzung,2,FALSE))</f>
        <v>0</v>
      </c>
      <c r="V174" s="87" t="str">
        <f>'Etape 2'!Q171</f>
        <v/>
      </c>
      <c r="W174" s="87">
        <f>'Etape 2'!R171</f>
        <v>0</v>
      </c>
      <c r="X174" s="87" t="str">
        <f>'Etape 2'!S171</f>
        <v/>
      </c>
      <c r="Y174" s="89" t="str">
        <f>'Etape 2'!T171</f>
        <v/>
      </c>
      <c r="Z174" s="87">
        <f>'Etape 2'!U171</f>
        <v>0</v>
      </c>
      <c r="AA174" s="87" t="str">
        <f>'Etape 2'!V171</f>
        <v/>
      </c>
      <c r="AB174" s="87">
        <f>IF(ISNUMBER('Etape 2'!W171),'Etape 2'!W171,0)</f>
        <v>0</v>
      </c>
      <c r="AC174" s="87">
        <f>IF(ISNUMBER('Etape 2'!X171),'Etape 2'!X171,0)</f>
        <v>0</v>
      </c>
      <c r="AD174" s="87">
        <f>IF(ISNUMBER('Etape 2'!Y171),'Etape 2'!Y171,0)</f>
        <v>0</v>
      </c>
      <c r="AE174" s="87">
        <f>IF(ISNUMBER('Etape 2'!Z171),'Etape 2'!Z171,0)</f>
        <v>0</v>
      </c>
      <c r="AF174" s="86">
        <f t="shared" si="177"/>
        <v>999</v>
      </c>
      <c r="AG174" s="288">
        <f t="shared" si="178"/>
        <v>0.25</v>
      </c>
      <c r="AH174" s="181" t="e">
        <f t="shared" si="162"/>
        <v>#VALUE!</v>
      </c>
      <c r="AI174" s="181" t="e">
        <f t="shared" si="146"/>
        <v>#VALUE!</v>
      </c>
      <c r="AJ174" s="86">
        <f t="shared" si="163"/>
        <v>200</v>
      </c>
      <c r="AK174" s="91" t="e">
        <f t="shared" si="164"/>
        <v>#N/A</v>
      </c>
      <c r="AL174" s="91" t="e">
        <f t="shared" si="147"/>
        <v>#N/A</v>
      </c>
      <c r="AM174" s="91">
        <f t="shared" si="109"/>
        <v>6</v>
      </c>
      <c r="AN174" s="91" t="e">
        <f t="shared" si="148"/>
        <v>#N/A</v>
      </c>
      <c r="AO174" s="91" t="e">
        <f t="shared" si="149"/>
        <v>#N/A</v>
      </c>
      <c r="AP174" s="21" t="e">
        <f t="shared" si="150"/>
        <v>#N/A</v>
      </c>
      <c r="AQ174" s="21" t="e">
        <f t="shared" si="151"/>
        <v>#N/A</v>
      </c>
      <c r="AR174" s="92" t="str">
        <f t="shared" si="179"/>
        <v/>
      </c>
      <c r="AS174" s="21" t="str">
        <f t="shared" si="180"/>
        <v/>
      </c>
      <c r="AT174" s="59" t="str">
        <f t="shared" si="165"/>
        <v/>
      </c>
      <c r="AU174" s="105">
        <f t="shared" si="113"/>
        <v>1</v>
      </c>
      <c r="AV174" s="105">
        <f t="shared" si="152"/>
        <v>1</v>
      </c>
      <c r="AW174" s="58">
        <f t="shared" si="153"/>
        <v>2</v>
      </c>
      <c r="AX174" s="58">
        <f t="shared" si="154"/>
        <v>3</v>
      </c>
      <c r="AY174" s="58" t="str">
        <f t="shared" si="155"/>
        <v>avec vannes</v>
      </c>
      <c r="AZ174" s="58" t="str">
        <f t="shared" si="156"/>
        <v>fermé</v>
      </c>
      <c r="BA174" s="60">
        <f t="shared" si="188"/>
        <v>0</v>
      </c>
      <c r="BB174" s="60">
        <f t="shared" si="188"/>
        <v>0</v>
      </c>
      <c r="BC174" s="60">
        <f t="shared" si="188"/>
        <v>0</v>
      </c>
      <c r="BD174" s="60">
        <f t="shared" si="188"/>
        <v>0</v>
      </c>
      <c r="BE174" s="286" t="str">
        <f t="shared" si="166"/>
        <v/>
      </c>
      <c r="BF174" s="58" t="str">
        <f t="shared" si="181"/>
        <v/>
      </c>
      <c r="BG174" s="59" t="str">
        <f t="shared" si="167"/>
        <v/>
      </c>
      <c r="BH174" s="158">
        <f t="shared" ca="1" si="168"/>
        <v>1</v>
      </c>
      <c r="BI174" s="60">
        <f t="shared" ca="1" si="169"/>
        <v>0.15</v>
      </c>
      <c r="BJ174" s="60">
        <f t="shared" si="170"/>
        <v>0.2</v>
      </c>
      <c r="BK174" s="60" t="str">
        <f t="shared" si="182"/>
        <v/>
      </c>
      <c r="BL174" s="21" t="str">
        <f t="shared" si="183"/>
        <v/>
      </c>
      <c r="BM174" s="264" t="str">
        <f t="shared" si="171"/>
        <v/>
      </c>
      <c r="BN174" s="60" t="str">
        <f t="shared" si="184"/>
        <v/>
      </c>
      <c r="BO174" s="136">
        <f t="shared" si="185"/>
        <v>0</v>
      </c>
      <c r="BP174" s="59">
        <f t="shared" si="186"/>
        <v>0</v>
      </c>
      <c r="BQ174" s="136">
        <f t="shared" ca="1" si="172"/>
        <v>1359</v>
      </c>
      <c r="BR174" s="136">
        <f t="shared" ca="1" si="173"/>
        <v>1000.5282392026578</v>
      </c>
      <c r="BS174" s="136">
        <f t="shared" ca="1" si="174"/>
        <v>1468800.5282392027</v>
      </c>
      <c r="BT174" s="136">
        <f t="shared" ca="1" si="175"/>
        <v>313875.4509649619</v>
      </c>
      <c r="BU174" s="136">
        <f t="shared" ca="1" si="176"/>
        <v>1000.5282392026578</v>
      </c>
    </row>
    <row r="175" spans="1:73" x14ac:dyDescent="0.2">
      <c r="A175" s="87" t="str">
        <f>'Etape 2'!A172</f>
        <v/>
      </c>
      <c r="B175" s="87">
        <f>'Etape 2'!B172</f>
        <v>160</v>
      </c>
      <c r="C175" s="87">
        <f ca="1">'Etape 2'!C172</f>
        <v>141</v>
      </c>
      <c r="D175" s="87"/>
      <c r="E175" s="61">
        <f ca="1">RANK(BU175,BU$16:BU$315,0)+COUNTIF(BU$16:BU175,BU175)-1</f>
        <v>141</v>
      </c>
      <c r="F175" s="87" t="str">
        <f>'Etape 2'!D172</f>
        <v/>
      </c>
      <c r="G175" s="87" t="str">
        <f>'Etape 2'!E172</f>
        <v/>
      </c>
      <c r="H175" s="87" t="str">
        <f>'Etape 2'!F172</f>
        <v/>
      </c>
      <c r="I175" s="87" t="str">
        <f>'Etape 2'!G172</f>
        <v/>
      </c>
      <c r="J175" s="87" t="str">
        <f>'Etape 2'!H172</f>
        <v/>
      </c>
      <c r="K175" s="87" t="str">
        <f>'Etape 2'!I172</f>
        <v/>
      </c>
      <c r="L175" s="87">
        <f ca="1">'Etape 2'!J172</f>
        <v>999999</v>
      </c>
      <c r="M175" s="87">
        <f>'Etape 2'!K172</f>
        <v>999</v>
      </c>
      <c r="N175" s="87">
        <f ca="1">'Etape 2'!L172</f>
        <v>160</v>
      </c>
      <c r="O175" s="259">
        <f t="shared" si="159"/>
        <v>0.3</v>
      </c>
      <c r="P175" s="259">
        <f t="shared" si="160"/>
        <v>1.1000000000000001</v>
      </c>
      <c r="Q175" s="260">
        <f t="shared" si="161"/>
        <v>0</v>
      </c>
      <c r="R175" s="261">
        <f t="shared" si="187"/>
        <v>0</v>
      </c>
      <c r="S175" s="87">
        <f>IF(ISBLANK('Etape 2'!N172),0,VLOOKUP('Etape 2'!N172,Matrix_Uebersetzung,2,FALSE))</f>
        <v>0</v>
      </c>
      <c r="T175" s="87">
        <f>IF(ISBLANK('Etape 2'!O172),0,VLOOKUP('Etape 2'!O172,Matrix_Uebersetzung,2,FALSE))</f>
        <v>0</v>
      </c>
      <c r="U175" s="87">
        <f>IF(ISBLANK('Etape 2'!P172),0,VLOOKUP('Etape 2'!P172,Matrix_Uebersetzung,2,FALSE))</f>
        <v>0</v>
      </c>
      <c r="V175" s="87" t="str">
        <f>'Etape 2'!Q172</f>
        <v/>
      </c>
      <c r="W175" s="87">
        <f>'Etape 2'!R172</f>
        <v>0</v>
      </c>
      <c r="X175" s="87" t="str">
        <f>'Etape 2'!S172</f>
        <v/>
      </c>
      <c r="Y175" s="89" t="str">
        <f>'Etape 2'!T172</f>
        <v/>
      </c>
      <c r="Z175" s="87">
        <f>'Etape 2'!U172</f>
        <v>0</v>
      </c>
      <c r="AA175" s="87" t="str">
        <f>'Etape 2'!V172</f>
        <v/>
      </c>
      <c r="AB175" s="87">
        <f>IF(ISNUMBER('Etape 2'!W172),'Etape 2'!W172,0)</f>
        <v>0</v>
      </c>
      <c r="AC175" s="87">
        <f>IF(ISNUMBER('Etape 2'!X172),'Etape 2'!X172,0)</f>
        <v>0</v>
      </c>
      <c r="AD175" s="87">
        <f>IF(ISNUMBER('Etape 2'!Y172),'Etape 2'!Y172,0)</f>
        <v>0</v>
      </c>
      <c r="AE175" s="87">
        <f>IF(ISNUMBER('Etape 2'!Z172),'Etape 2'!Z172,0)</f>
        <v>0</v>
      </c>
      <c r="AF175" s="86">
        <f t="shared" si="177"/>
        <v>999</v>
      </c>
      <c r="AG175" s="288">
        <f t="shared" si="178"/>
        <v>0.25</v>
      </c>
      <c r="AH175" s="181" t="e">
        <f t="shared" si="162"/>
        <v>#VALUE!</v>
      </c>
      <c r="AI175" s="181" t="e">
        <f t="shared" si="146"/>
        <v>#VALUE!</v>
      </c>
      <c r="AJ175" s="86">
        <f t="shared" si="163"/>
        <v>200</v>
      </c>
      <c r="AK175" s="91" t="e">
        <f t="shared" si="164"/>
        <v>#N/A</v>
      </c>
      <c r="AL175" s="91" t="e">
        <f t="shared" si="147"/>
        <v>#N/A</v>
      </c>
      <c r="AM175" s="91">
        <f t="shared" si="109"/>
        <v>6</v>
      </c>
      <c r="AN175" s="91" t="e">
        <f t="shared" si="148"/>
        <v>#N/A</v>
      </c>
      <c r="AO175" s="91" t="e">
        <f t="shared" si="149"/>
        <v>#N/A</v>
      </c>
      <c r="AP175" s="21" t="e">
        <f t="shared" si="150"/>
        <v>#N/A</v>
      </c>
      <c r="AQ175" s="21" t="e">
        <f t="shared" si="151"/>
        <v>#N/A</v>
      </c>
      <c r="AR175" s="92" t="str">
        <f t="shared" si="179"/>
        <v/>
      </c>
      <c r="AS175" s="21" t="str">
        <f t="shared" si="180"/>
        <v/>
      </c>
      <c r="AT175" s="59" t="str">
        <f t="shared" si="165"/>
        <v/>
      </c>
      <c r="AU175" s="105">
        <f t="shared" si="113"/>
        <v>1</v>
      </c>
      <c r="AV175" s="105">
        <f t="shared" si="152"/>
        <v>1</v>
      </c>
      <c r="AW175" s="58">
        <f t="shared" si="153"/>
        <v>2</v>
      </c>
      <c r="AX175" s="58">
        <f t="shared" si="154"/>
        <v>3</v>
      </c>
      <c r="AY175" s="58" t="str">
        <f t="shared" si="155"/>
        <v>avec vannes</v>
      </c>
      <c r="AZ175" s="58" t="str">
        <f t="shared" si="156"/>
        <v>fermé</v>
      </c>
      <c r="BA175" s="60">
        <f t="shared" si="188"/>
        <v>0</v>
      </c>
      <c r="BB175" s="60">
        <f t="shared" si="188"/>
        <v>0</v>
      </c>
      <c r="BC175" s="60">
        <f t="shared" si="188"/>
        <v>0</v>
      </c>
      <c r="BD175" s="60">
        <f t="shared" si="188"/>
        <v>0</v>
      </c>
      <c r="BE175" s="286" t="str">
        <f t="shared" si="166"/>
        <v/>
      </c>
      <c r="BF175" s="58" t="str">
        <f t="shared" si="181"/>
        <v/>
      </c>
      <c r="BG175" s="59" t="str">
        <f t="shared" si="167"/>
        <v/>
      </c>
      <c r="BH175" s="158">
        <f t="shared" ca="1" si="168"/>
        <v>1</v>
      </c>
      <c r="BI175" s="60">
        <f t="shared" ca="1" si="169"/>
        <v>0.15</v>
      </c>
      <c r="BJ175" s="60">
        <f t="shared" si="170"/>
        <v>0.2</v>
      </c>
      <c r="BK175" s="60" t="str">
        <f t="shared" si="182"/>
        <v/>
      </c>
      <c r="BL175" s="21" t="str">
        <f t="shared" si="183"/>
        <v/>
      </c>
      <c r="BM175" s="264" t="str">
        <f t="shared" si="171"/>
        <v/>
      </c>
      <c r="BN175" s="60" t="str">
        <f t="shared" si="184"/>
        <v/>
      </c>
      <c r="BO175" s="136">
        <f t="shared" si="185"/>
        <v>0</v>
      </c>
      <c r="BP175" s="59">
        <f t="shared" si="186"/>
        <v>0</v>
      </c>
      <c r="BQ175" s="136">
        <f t="shared" ca="1" si="172"/>
        <v>1360</v>
      </c>
      <c r="BR175" s="136">
        <f t="shared" ca="1" si="173"/>
        <v>1000.531561461794</v>
      </c>
      <c r="BS175" s="136">
        <f t="shared" ca="1" si="174"/>
        <v>1468800.5315614617</v>
      </c>
      <c r="BT175" s="136">
        <f t="shared" ca="1" si="175"/>
        <v>313875.45428722101</v>
      </c>
      <c r="BU175" s="136">
        <f t="shared" ca="1" si="176"/>
        <v>1000.531561461794</v>
      </c>
    </row>
    <row r="176" spans="1:73" x14ac:dyDescent="0.2">
      <c r="A176" s="87" t="str">
        <f>'Etape 2'!A173</f>
        <v/>
      </c>
      <c r="B176" s="87">
        <f>'Etape 2'!B173</f>
        <v>161</v>
      </c>
      <c r="C176" s="87">
        <f ca="1">'Etape 2'!C173</f>
        <v>140</v>
      </c>
      <c r="D176" s="87"/>
      <c r="E176" s="61">
        <f ca="1">RANK(BU176,BU$16:BU$315,0)+COUNTIF(BU$16:BU176,BU176)-1</f>
        <v>140</v>
      </c>
      <c r="F176" s="87" t="str">
        <f>'Etape 2'!D173</f>
        <v/>
      </c>
      <c r="G176" s="87" t="str">
        <f>'Etape 2'!E173</f>
        <v/>
      </c>
      <c r="H176" s="87" t="str">
        <f>'Etape 2'!F173</f>
        <v/>
      </c>
      <c r="I176" s="87" t="str">
        <f>'Etape 2'!G173</f>
        <v/>
      </c>
      <c r="J176" s="87" t="str">
        <f>'Etape 2'!H173</f>
        <v/>
      </c>
      <c r="K176" s="87" t="str">
        <f>'Etape 2'!I173</f>
        <v/>
      </c>
      <c r="L176" s="87">
        <f ca="1">'Etape 2'!J173</f>
        <v>999999</v>
      </c>
      <c r="M176" s="87">
        <f>'Etape 2'!K173</f>
        <v>999</v>
      </c>
      <c r="N176" s="87">
        <f ca="1">'Etape 2'!L173</f>
        <v>161</v>
      </c>
      <c r="O176" s="259">
        <f t="shared" si="159"/>
        <v>0.3</v>
      </c>
      <c r="P176" s="259">
        <f t="shared" si="160"/>
        <v>1.1000000000000001</v>
      </c>
      <c r="Q176" s="260">
        <f t="shared" si="161"/>
        <v>0</v>
      </c>
      <c r="R176" s="261">
        <f t="shared" si="187"/>
        <v>0</v>
      </c>
      <c r="S176" s="87">
        <f>IF(ISBLANK('Etape 2'!N173),0,VLOOKUP('Etape 2'!N173,Matrix_Uebersetzung,2,FALSE))</f>
        <v>0</v>
      </c>
      <c r="T176" s="87">
        <f>IF(ISBLANK('Etape 2'!O173),0,VLOOKUP('Etape 2'!O173,Matrix_Uebersetzung,2,FALSE))</f>
        <v>0</v>
      </c>
      <c r="U176" s="87">
        <f>IF(ISBLANK('Etape 2'!P173),0,VLOOKUP('Etape 2'!P173,Matrix_Uebersetzung,2,FALSE))</f>
        <v>0</v>
      </c>
      <c r="V176" s="87" t="str">
        <f>'Etape 2'!Q173</f>
        <v/>
      </c>
      <c r="W176" s="87">
        <f>'Etape 2'!R173</f>
        <v>0</v>
      </c>
      <c r="X176" s="87" t="str">
        <f>'Etape 2'!S173</f>
        <v/>
      </c>
      <c r="Y176" s="89" t="str">
        <f>'Etape 2'!T173</f>
        <v/>
      </c>
      <c r="Z176" s="87">
        <f>'Etape 2'!U173</f>
        <v>0</v>
      </c>
      <c r="AA176" s="87" t="str">
        <f>'Etape 2'!V173</f>
        <v/>
      </c>
      <c r="AB176" s="87">
        <f>IF(ISNUMBER('Etape 2'!W173),'Etape 2'!W173,0)</f>
        <v>0</v>
      </c>
      <c r="AC176" s="87">
        <f>IF(ISNUMBER('Etape 2'!X173),'Etape 2'!X173,0)</f>
        <v>0</v>
      </c>
      <c r="AD176" s="87">
        <f>IF(ISNUMBER('Etape 2'!Y173),'Etape 2'!Y173,0)</f>
        <v>0</v>
      </c>
      <c r="AE176" s="87">
        <f>IF(ISNUMBER('Etape 2'!Z173),'Etape 2'!Z173,0)</f>
        <v>0</v>
      </c>
      <c r="AF176" s="86">
        <f t="shared" si="177"/>
        <v>999</v>
      </c>
      <c r="AG176" s="288">
        <f t="shared" si="178"/>
        <v>0.25</v>
      </c>
      <c r="AH176" s="181" t="e">
        <f t="shared" si="162"/>
        <v>#VALUE!</v>
      </c>
      <c r="AI176" s="181" t="e">
        <f t="shared" si="146"/>
        <v>#VALUE!</v>
      </c>
      <c r="AJ176" s="86">
        <f t="shared" si="163"/>
        <v>200</v>
      </c>
      <c r="AK176" s="91" t="e">
        <f t="shared" si="164"/>
        <v>#N/A</v>
      </c>
      <c r="AL176" s="91" t="e">
        <f t="shared" si="147"/>
        <v>#N/A</v>
      </c>
      <c r="AM176" s="91">
        <f t="shared" si="109"/>
        <v>6</v>
      </c>
      <c r="AN176" s="91" t="e">
        <f t="shared" si="148"/>
        <v>#N/A</v>
      </c>
      <c r="AO176" s="91" t="e">
        <f t="shared" si="149"/>
        <v>#N/A</v>
      </c>
      <c r="AP176" s="21" t="e">
        <f t="shared" si="150"/>
        <v>#N/A</v>
      </c>
      <c r="AQ176" s="21" t="e">
        <f t="shared" si="151"/>
        <v>#N/A</v>
      </c>
      <c r="AR176" s="92" t="str">
        <f t="shared" si="179"/>
        <v/>
      </c>
      <c r="AS176" s="21" t="str">
        <f t="shared" si="180"/>
        <v/>
      </c>
      <c r="AT176" s="59" t="str">
        <f t="shared" si="165"/>
        <v/>
      </c>
      <c r="AU176" s="105">
        <f t="shared" si="113"/>
        <v>1</v>
      </c>
      <c r="AV176" s="105">
        <f t="shared" si="152"/>
        <v>1</v>
      </c>
      <c r="AW176" s="58">
        <f t="shared" si="153"/>
        <v>2</v>
      </c>
      <c r="AX176" s="58">
        <f t="shared" si="154"/>
        <v>3</v>
      </c>
      <c r="AY176" s="58" t="str">
        <f t="shared" si="155"/>
        <v>avec vannes</v>
      </c>
      <c r="AZ176" s="58" t="str">
        <f t="shared" si="156"/>
        <v>fermé</v>
      </c>
      <c r="BA176" s="60">
        <f t="shared" ref="BA176:BD195" si="189">IF(BA$15/$AG176&gt;1,0,VLOOKUP(BA$15/$AG176,Matrix_Regelung.Teilvolumenstrom.Einsparpotential.ID,$AX176,0))</f>
        <v>0</v>
      </c>
      <c r="BB176" s="60">
        <f t="shared" si="189"/>
        <v>0</v>
      </c>
      <c r="BC176" s="60">
        <f t="shared" si="189"/>
        <v>0</v>
      </c>
      <c r="BD176" s="60">
        <f t="shared" si="189"/>
        <v>0</v>
      </c>
      <c r="BE176" s="286" t="str">
        <f t="shared" si="166"/>
        <v/>
      </c>
      <c r="BF176" s="58" t="str">
        <f t="shared" si="181"/>
        <v/>
      </c>
      <c r="BG176" s="59" t="str">
        <f t="shared" si="167"/>
        <v/>
      </c>
      <c r="BH176" s="158">
        <f t="shared" ca="1" si="168"/>
        <v>1</v>
      </c>
      <c r="BI176" s="60">
        <f t="shared" ca="1" si="169"/>
        <v>0.15</v>
      </c>
      <c r="BJ176" s="60">
        <f t="shared" si="170"/>
        <v>0.2</v>
      </c>
      <c r="BK176" s="60" t="str">
        <f t="shared" si="182"/>
        <v/>
      </c>
      <c r="BL176" s="21" t="str">
        <f t="shared" si="183"/>
        <v/>
      </c>
      <c r="BM176" s="264" t="str">
        <f t="shared" si="171"/>
        <v/>
      </c>
      <c r="BN176" s="60" t="str">
        <f t="shared" si="184"/>
        <v/>
      </c>
      <c r="BO176" s="136">
        <f t="shared" si="185"/>
        <v>0</v>
      </c>
      <c r="BP176" s="59">
        <f t="shared" si="186"/>
        <v>0</v>
      </c>
      <c r="BQ176" s="136">
        <f t="shared" ca="1" si="172"/>
        <v>1361</v>
      </c>
      <c r="BR176" s="136">
        <f t="shared" ca="1" si="173"/>
        <v>1000.5348837209302</v>
      </c>
      <c r="BS176" s="136">
        <f t="shared" ca="1" si="174"/>
        <v>1468800.534883721</v>
      </c>
      <c r="BT176" s="136">
        <f t="shared" ca="1" si="175"/>
        <v>313875.45760948013</v>
      </c>
      <c r="BU176" s="136">
        <f t="shared" ca="1" si="176"/>
        <v>1000.5348837209302</v>
      </c>
    </row>
    <row r="177" spans="1:73" x14ac:dyDescent="0.2">
      <c r="A177" s="87" t="str">
        <f>'Etape 2'!A174</f>
        <v/>
      </c>
      <c r="B177" s="87">
        <f>'Etape 2'!B174</f>
        <v>162</v>
      </c>
      <c r="C177" s="87">
        <f ca="1">'Etape 2'!C174</f>
        <v>139</v>
      </c>
      <c r="D177" s="87"/>
      <c r="E177" s="61">
        <f ca="1">RANK(BU177,BU$16:BU$315,0)+COUNTIF(BU$16:BU177,BU177)-1</f>
        <v>139</v>
      </c>
      <c r="F177" s="87" t="str">
        <f>'Etape 2'!D174</f>
        <v/>
      </c>
      <c r="G177" s="87" t="str">
        <f>'Etape 2'!E174</f>
        <v/>
      </c>
      <c r="H177" s="87" t="str">
        <f>'Etape 2'!F174</f>
        <v/>
      </c>
      <c r="I177" s="87" t="str">
        <f>'Etape 2'!G174</f>
        <v/>
      </c>
      <c r="J177" s="87" t="str">
        <f>'Etape 2'!H174</f>
        <v/>
      </c>
      <c r="K177" s="87" t="str">
        <f>'Etape 2'!I174</f>
        <v/>
      </c>
      <c r="L177" s="87">
        <f ca="1">'Etape 2'!J174</f>
        <v>999999</v>
      </c>
      <c r="M177" s="87">
        <f>'Etape 2'!K174</f>
        <v>999</v>
      </c>
      <c r="N177" s="87">
        <f ca="1">'Etape 2'!L174</f>
        <v>162</v>
      </c>
      <c r="O177" s="259">
        <f t="shared" si="159"/>
        <v>0.3</v>
      </c>
      <c r="P177" s="259">
        <f t="shared" si="160"/>
        <v>1.1000000000000001</v>
      </c>
      <c r="Q177" s="260">
        <f t="shared" si="161"/>
        <v>0</v>
      </c>
      <c r="R177" s="261">
        <f t="shared" si="187"/>
        <v>0</v>
      </c>
      <c r="S177" s="87">
        <f>IF(ISBLANK('Etape 2'!N174),0,VLOOKUP('Etape 2'!N174,Matrix_Uebersetzung,2,FALSE))</f>
        <v>0</v>
      </c>
      <c r="T177" s="87">
        <f>IF(ISBLANK('Etape 2'!O174),0,VLOOKUP('Etape 2'!O174,Matrix_Uebersetzung,2,FALSE))</f>
        <v>0</v>
      </c>
      <c r="U177" s="87">
        <f>IF(ISBLANK('Etape 2'!P174),0,VLOOKUP('Etape 2'!P174,Matrix_Uebersetzung,2,FALSE))</f>
        <v>0</v>
      </c>
      <c r="V177" s="87" t="str">
        <f>'Etape 2'!Q174</f>
        <v/>
      </c>
      <c r="W177" s="87">
        <f>'Etape 2'!R174</f>
        <v>0</v>
      </c>
      <c r="X177" s="87" t="str">
        <f>'Etape 2'!S174</f>
        <v/>
      </c>
      <c r="Y177" s="89" t="str">
        <f>'Etape 2'!T174</f>
        <v/>
      </c>
      <c r="Z177" s="87">
        <f>'Etape 2'!U174</f>
        <v>0</v>
      </c>
      <c r="AA177" s="87" t="str">
        <f>'Etape 2'!V174</f>
        <v/>
      </c>
      <c r="AB177" s="87">
        <f>IF(ISNUMBER('Etape 2'!W174),'Etape 2'!W174,0)</f>
        <v>0</v>
      </c>
      <c r="AC177" s="87">
        <f>IF(ISNUMBER('Etape 2'!X174),'Etape 2'!X174,0)</f>
        <v>0</v>
      </c>
      <c r="AD177" s="87">
        <f>IF(ISNUMBER('Etape 2'!Y174),'Etape 2'!Y174,0)</f>
        <v>0</v>
      </c>
      <c r="AE177" s="87">
        <f>IF(ISNUMBER('Etape 2'!Z174),'Etape 2'!Z174,0)</f>
        <v>0</v>
      </c>
      <c r="AF177" s="86">
        <f t="shared" si="177"/>
        <v>999</v>
      </c>
      <c r="AG177" s="288">
        <f t="shared" si="178"/>
        <v>0.25</v>
      </c>
      <c r="AH177" s="181" t="e">
        <f t="shared" si="162"/>
        <v>#VALUE!</v>
      </c>
      <c r="AI177" s="181" t="e">
        <f t="shared" si="146"/>
        <v>#VALUE!</v>
      </c>
      <c r="AJ177" s="86">
        <f t="shared" si="163"/>
        <v>200</v>
      </c>
      <c r="AK177" s="91" t="e">
        <f t="shared" si="164"/>
        <v>#N/A</v>
      </c>
      <c r="AL177" s="91" t="e">
        <f t="shared" si="147"/>
        <v>#N/A</v>
      </c>
      <c r="AM177" s="91">
        <f t="shared" si="109"/>
        <v>6</v>
      </c>
      <c r="AN177" s="91" t="e">
        <f t="shared" si="148"/>
        <v>#N/A</v>
      </c>
      <c r="AO177" s="91" t="e">
        <f t="shared" si="149"/>
        <v>#N/A</v>
      </c>
      <c r="AP177" s="21" t="e">
        <f t="shared" si="150"/>
        <v>#N/A</v>
      </c>
      <c r="AQ177" s="21" t="e">
        <f t="shared" si="151"/>
        <v>#N/A</v>
      </c>
      <c r="AR177" s="92" t="str">
        <f t="shared" si="179"/>
        <v/>
      </c>
      <c r="AS177" s="21" t="str">
        <f t="shared" si="180"/>
        <v/>
      </c>
      <c r="AT177" s="59" t="str">
        <f t="shared" si="165"/>
        <v/>
      </c>
      <c r="AU177" s="105">
        <f t="shared" si="113"/>
        <v>1</v>
      </c>
      <c r="AV177" s="105">
        <f t="shared" si="152"/>
        <v>1</v>
      </c>
      <c r="AW177" s="58">
        <f t="shared" si="153"/>
        <v>2</v>
      </c>
      <c r="AX177" s="58">
        <f t="shared" si="154"/>
        <v>3</v>
      </c>
      <c r="AY177" s="58" t="str">
        <f t="shared" si="155"/>
        <v>avec vannes</v>
      </c>
      <c r="AZ177" s="58" t="str">
        <f t="shared" si="156"/>
        <v>fermé</v>
      </c>
      <c r="BA177" s="60">
        <f t="shared" si="189"/>
        <v>0</v>
      </c>
      <c r="BB177" s="60">
        <f t="shared" si="189"/>
        <v>0</v>
      </c>
      <c r="BC177" s="60">
        <f t="shared" si="189"/>
        <v>0</v>
      </c>
      <c r="BD177" s="60">
        <f t="shared" si="189"/>
        <v>0</v>
      </c>
      <c r="BE177" s="286" t="str">
        <f t="shared" si="166"/>
        <v/>
      </c>
      <c r="BF177" s="58" t="str">
        <f t="shared" si="181"/>
        <v/>
      </c>
      <c r="BG177" s="59" t="str">
        <f t="shared" si="167"/>
        <v/>
      </c>
      <c r="BH177" s="158">
        <f t="shared" ca="1" si="168"/>
        <v>1</v>
      </c>
      <c r="BI177" s="60">
        <f t="shared" ca="1" si="169"/>
        <v>0.15</v>
      </c>
      <c r="BJ177" s="60">
        <f t="shared" si="170"/>
        <v>0.2</v>
      </c>
      <c r="BK177" s="60" t="str">
        <f t="shared" si="182"/>
        <v/>
      </c>
      <c r="BL177" s="21" t="str">
        <f t="shared" si="183"/>
        <v/>
      </c>
      <c r="BM177" s="264" t="str">
        <f t="shared" si="171"/>
        <v/>
      </c>
      <c r="BN177" s="60" t="str">
        <f t="shared" si="184"/>
        <v/>
      </c>
      <c r="BO177" s="136">
        <f t="shared" si="185"/>
        <v>0</v>
      </c>
      <c r="BP177" s="59">
        <f t="shared" si="186"/>
        <v>0</v>
      </c>
      <c r="BQ177" s="136">
        <f t="shared" ca="1" si="172"/>
        <v>1362</v>
      </c>
      <c r="BR177" s="136">
        <f t="shared" ca="1" si="173"/>
        <v>1000.5382059800664</v>
      </c>
      <c r="BS177" s="136">
        <f t="shared" ca="1" si="174"/>
        <v>1468800.5382059801</v>
      </c>
      <c r="BT177" s="136">
        <f t="shared" ca="1" si="175"/>
        <v>313875.4609317393</v>
      </c>
      <c r="BU177" s="136">
        <f t="shared" ca="1" si="176"/>
        <v>1000.5382059800664</v>
      </c>
    </row>
    <row r="178" spans="1:73" x14ac:dyDescent="0.2">
      <c r="A178" s="87" t="str">
        <f>'Etape 2'!A175</f>
        <v/>
      </c>
      <c r="B178" s="87">
        <f>'Etape 2'!B175</f>
        <v>163</v>
      </c>
      <c r="C178" s="87">
        <f ca="1">'Etape 2'!C175</f>
        <v>138</v>
      </c>
      <c r="D178" s="87"/>
      <c r="E178" s="61">
        <f ca="1">RANK(BU178,BU$16:BU$315,0)+COUNTIF(BU$16:BU178,BU178)-1</f>
        <v>138</v>
      </c>
      <c r="F178" s="87" t="str">
        <f>'Etape 2'!D175</f>
        <v/>
      </c>
      <c r="G178" s="87" t="str">
        <f>'Etape 2'!E175</f>
        <v/>
      </c>
      <c r="H178" s="87" t="str">
        <f>'Etape 2'!F175</f>
        <v/>
      </c>
      <c r="I178" s="87" t="str">
        <f>'Etape 2'!G175</f>
        <v/>
      </c>
      <c r="J178" s="87" t="str">
        <f>'Etape 2'!H175</f>
        <v/>
      </c>
      <c r="K178" s="87" t="str">
        <f>'Etape 2'!I175</f>
        <v/>
      </c>
      <c r="L178" s="87">
        <f ca="1">'Etape 2'!J175</f>
        <v>999999</v>
      </c>
      <c r="M178" s="87">
        <f>'Etape 2'!K175</f>
        <v>999</v>
      </c>
      <c r="N178" s="87">
        <f ca="1">'Etape 2'!L175</f>
        <v>163</v>
      </c>
      <c r="O178" s="259">
        <f t="shared" si="159"/>
        <v>0.3</v>
      </c>
      <c r="P178" s="259">
        <f t="shared" si="160"/>
        <v>1.1000000000000001</v>
      </c>
      <c r="Q178" s="260">
        <f t="shared" si="161"/>
        <v>0</v>
      </c>
      <c r="R178" s="261">
        <f t="shared" si="187"/>
        <v>0</v>
      </c>
      <c r="S178" s="87">
        <f>IF(ISBLANK('Etape 2'!N175),0,VLOOKUP('Etape 2'!N175,Matrix_Uebersetzung,2,FALSE))</f>
        <v>0</v>
      </c>
      <c r="T178" s="87">
        <f>IF(ISBLANK('Etape 2'!O175),0,VLOOKUP('Etape 2'!O175,Matrix_Uebersetzung,2,FALSE))</f>
        <v>0</v>
      </c>
      <c r="U178" s="87">
        <f>IF(ISBLANK('Etape 2'!P175),0,VLOOKUP('Etape 2'!P175,Matrix_Uebersetzung,2,FALSE))</f>
        <v>0</v>
      </c>
      <c r="V178" s="87" t="str">
        <f>'Etape 2'!Q175</f>
        <v/>
      </c>
      <c r="W178" s="87">
        <f>'Etape 2'!R175</f>
        <v>0</v>
      </c>
      <c r="X178" s="87" t="str">
        <f>'Etape 2'!S175</f>
        <v/>
      </c>
      <c r="Y178" s="89" t="str">
        <f>'Etape 2'!T175</f>
        <v/>
      </c>
      <c r="Z178" s="87">
        <f>'Etape 2'!U175</f>
        <v>0</v>
      </c>
      <c r="AA178" s="87" t="str">
        <f>'Etape 2'!V175</f>
        <v/>
      </c>
      <c r="AB178" s="87">
        <f>IF(ISNUMBER('Etape 2'!W175),'Etape 2'!W175,0)</f>
        <v>0</v>
      </c>
      <c r="AC178" s="87">
        <f>IF(ISNUMBER('Etape 2'!X175),'Etape 2'!X175,0)</f>
        <v>0</v>
      </c>
      <c r="AD178" s="87">
        <f>IF(ISNUMBER('Etape 2'!Y175),'Etape 2'!Y175,0)</f>
        <v>0</v>
      </c>
      <c r="AE178" s="87">
        <f>IF(ISNUMBER('Etape 2'!Z175),'Etape 2'!Z175,0)</f>
        <v>0</v>
      </c>
      <c r="AF178" s="86">
        <f t="shared" si="177"/>
        <v>999</v>
      </c>
      <c r="AG178" s="288">
        <f t="shared" si="178"/>
        <v>0.25</v>
      </c>
      <c r="AH178" s="181" t="e">
        <f t="shared" si="162"/>
        <v>#VALUE!</v>
      </c>
      <c r="AI178" s="181" t="e">
        <f t="shared" ref="AI178:AI241" si="190">AH178*Preis_Strom.Schritt2/100</f>
        <v>#VALUE!</v>
      </c>
      <c r="AJ178" s="86">
        <f t="shared" si="163"/>
        <v>200</v>
      </c>
      <c r="AK178" s="91" t="e">
        <f t="shared" si="164"/>
        <v>#N/A</v>
      </c>
      <c r="AL178" s="91" t="e">
        <f t="shared" ref="AL178:AL241" si="191">VLOOKUP(AA178,Matrix_Motor.EffKl.IEID,2,1)</f>
        <v>#N/A</v>
      </c>
      <c r="AM178" s="91">
        <f t="shared" si="109"/>
        <v>6</v>
      </c>
      <c r="AN178" s="91" t="e">
        <f t="shared" ref="AN178:AN241" si="192">CONCATENATE(AK178,AL178,X178)</f>
        <v>#N/A</v>
      </c>
      <c r="AO178" s="91" t="e">
        <f t="shared" ref="AO178:AO241" si="193">CONCATENATE(AK178,AM178,X178)</f>
        <v>#N/A</v>
      </c>
      <c r="AP178" s="21" t="e">
        <f t="shared" ref="AP178:AP241" si="194">(VLOOKUP(AN178,Matrix_Motor.KombiKl.EffParameter,3,0)*(LOG(AJ178))^3+VLOOKUP(AN178,Matrix_Motor.KombiKl.EffParameter,4,0)*(LOG(AJ178))^2+VLOOKUP(AN178,Matrix_Motor.KombiKl.EffParameter,5,0)*(LOG(AJ178))+VLOOKUP(AN178,Matrix_Motor.KombiKl.EffParameter,6,0))/100</f>
        <v>#N/A</v>
      </c>
      <c r="AQ178" s="21" t="e">
        <f t="shared" ref="AQ178:AQ241" si="195">(VLOOKUP(AO178,Matrix_Motor.KombiKl.EffParameter,3,0)*(LOG(AJ178))^3+VLOOKUP(AO178,Matrix_Motor.KombiKl.EffParameter,4,0)*(LOG(AJ178))^2+VLOOKUP(AO178,Matrix_Motor.KombiKl.EffParameter,5,0)*(LOG(AJ178))+VLOOKUP(AO178,Matrix_Motor.KombiKl.EffParameter,6,0))/100</f>
        <v>#N/A</v>
      </c>
      <c r="AR178" s="92" t="str">
        <f t="shared" si="179"/>
        <v/>
      </c>
      <c r="AS178" s="21" t="str">
        <f t="shared" si="180"/>
        <v/>
      </c>
      <c r="AT178" s="59" t="str">
        <f t="shared" si="165"/>
        <v/>
      </c>
      <c r="AU178" s="105">
        <f t="shared" si="113"/>
        <v>1</v>
      </c>
      <c r="AV178" s="105">
        <f t="shared" ref="AV178:AV241" si="196">IF(ISERROR(VLOOKUP(S178,Matrix_Kreislauf.Zahl,2,0)),Wert_Kreislauf.Zahl.Schritt2,VLOOKUP(S178,Matrix_Kreislauf.Zahl,2,0))</f>
        <v>1</v>
      </c>
      <c r="AW178" s="58">
        <f t="shared" ref="AW178:AW241" si="197">AU178+AV178</f>
        <v>2</v>
      </c>
      <c r="AX178" s="58">
        <f t="shared" ref="AX178:AX241" si="198">VLOOKUP(AW178,Matrix_Netztyp.Kreislauf.Spalte,6,0)</f>
        <v>3</v>
      </c>
      <c r="AY178" s="58" t="str">
        <f t="shared" ref="AY178:AY241" si="199">VLOOKUP(AW178,Matrix_Netztyp.Kreislauf.Spalte,2,0)</f>
        <v>avec vannes</v>
      </c>
      <c r="AZ178" s="58" t="str">
        <f t="shared" ref="AZ178:AZ241" si="200">VLOOKUP(AW178,Matrix_Netztyp.Kreislauf.Spalte,4,0)</f>
        <v>fermé</v>
      </c>
      <c r="BA178" s="60">
        <f t="shared" si="189"/>
        <v>0</v>
      </c>
      <c r="BB178" s="60">
        <f t="shared" si="189"/>
        <v>0</v>
      </c>
      <c r="BC178" s="60">
        <f t="shared" si="189"/>
        <v>0</v>
      </c>
      <c r="BD178" s="60">
        <f t="shared" si="189"/>
        <v>0</v>
      </c>
      <c r="BE178" s="286" t="str">
        <f t="shared" si="166"/>
        <v/>
      </c>
      <c r="BF178" s="58" t="str">
        <f t="shared" si="181"/>
        <v/>
      </c>
      <c r="BG178" s="59" t="str">
        <f t="shared" si="167"/>
        <v/>
      </c>
      <c r="BH178" s="158">
        <f t="shared" ca="1" si="168"/>
        <v>1</v>
      </c>
      <c r="BI178" s="60">
        <f t="shared" ca="1" si="169"/>
        <v>0.15</v>
      </c>
      <c r="BJ178" s="60">
        <f t="shared" si="170"/>
        <v>0.2</v>
      </c>
      <c r="BK178" s="60" t="str">
        <f t="shared" si="182"/>
        <v/>
      </c>
      <c r="BL178" s="21" t="str">
        <f t="shared" si="183"/>
        <v/>
      </c>
      <c r="BM178" s="264" t="str">
        <f t="shared" si="171"/>
        <v/>
      </c>
      <c r="BN178" s="60" t="str">
        <f t="shared" si="184"/>
        <v/>
      </c>
      <c r="BO178" s="136">
        <f t="shared" si="185"/>
        <v>0</v>
      </c>
      <c r="BP178" s="59">
        <f t="shared" si="186"/>
        <v>0</v>
      </c>
      <c r="BQ178" s="136">
        <f t="shared" ca="1" si="172"/>
        <v>1363</v>
      </c>
      <c r="BR178" s="136">
        <f t="shared" ca="1" si="173"/>
        <v>1000.5415282392026</v>
      </c>
      <c r="BS178" s="136">
        <f t="shared" ca="1" si="174"/>
        <v>1468800.5415282391</v>
      </c>
      <c r="BT178" s="136">
        <f t="shared" ca="1" si="175"/>
        <v>313875.46425399842</v>
      </c>
      <c r="BU178" s="136">
        <f t="shared" ca="1" si="176"/>
        <v>1000.5415282392026</v>
      </c>
    </row>
    <row r="179" spans="1:73" x14ac:dyDescent="0.2">
      <c r="A179" s="87" t="str">
        <f>'Etape 2'!A176</f>
        <v/>
      </c>
      <c r="B179" s="87">
        <f>'Etape 2'!B176</f>
        <v>164</v>
      </c>
      <c r="C179" s="87">
        <f ca="1">'Etape 2'!C176</f>
        <v>137</v>
      </c>
      <c r="D179" s="87"/>
      <c r="E179" s="61">
        <f ca="1">RANK(BU179,BU$16:BU$315,0)+COUNTIF(BU$16:BU179,BU179)-1</f>
        <v>137</v>
      </c>
      <c r="F179" s="87" t="str">
        <f>'Etape 2'!D176</f>
        <v/>
      </c>
      <c r="G179" s="87" t="str">
        <f>'Etape 2'!E176</f>
        <v/>
      </c>
      <c r="H179" s="87" t="str">
        <f>'Etape 2'!F176</f>
        <v/>
      </c>
      <c r="I179" s="87" t="str">
        <f>'Etape 2'!G176</f>
        <v/>
      </c>
      <c r="J179" s="87" t="str">
        <f>'Etape 2'!H176</f>
        <v/>
      </c>
      <c r="K179" s="87" t="str">
        <f>'Etape 2'!I176</f>
        <v/>
      </c>
      <c r="L179" s="87">
        <f ca="1">'Etape 2'!J176</f>
        <v>999999</v>
      </c>
      <c r="M179" s="87">
        <f>'Etape 2'!K176</f>
        <v>999</v>
      </c>
      <c r="N179" s="87">
        <f ca="1">'Etape 2'!L176</f>
        <v>164</v>
      </c>
      <c r="O179" s="259">
        <f t="shared" si="159"/>
        <v>0.3</v>
      </c>
      <c r="P179" s="259">
        <f t="shared" si="160"/>
        <v>1.1000000000000001</v>
      </c>
      <c r="Q179" s="260">
        <f t="shared" si="161"/>
        <v>0</v>
      </c>
      <c r="R179" s="261">
        <f t="shared" si="187"/>
        <v>0</v>
      </c>
      <c r="S179" s="87">
        <f>IF(ISBLANK('Etape 2'!N176),0,VLOOKUP('Etape 2'!N176,Matrix_Uebersetzung,2,FALSE))</f>
        <v>0</v>
      </c>
      <c r="T179" s="87">
        <f>IF(ISBLANK('Etape 2'!O176),0,VLOOKUP('Etape 2'!O176,Matrix_Uebersetzung,2,FALSE))</f>
        <v>0</v>
      </c>
      <c r="U179" s="87">
        <f>IF(ISBLANK('Etape 2'!P176),0,VLOOKUP('Etape 2'!P176,Matrix_Uebersetzung,2,FALSE))</f>
        <v>0</v>
      </c>
      <c r="V179" s="87" t="str">
        <f>'Etape 2'!Q176</f>
        <v/>
      </c>
      <c r="W179" s="87">
        <f>'Etape 2'!R176</f>
        <v>0</v>
      </c>
      <c r="X179" s="87" t="str">
        <f>'Etape 2'!S176</f>
        <v/>
      </c>
      <c r="Y179" s="89" t="str">
        <f>'Etape 2'!T176</f>
        <v/>
      </c>
      <c r="Z179" s="87">
        <f>'Etape 2'!U176</f>
        <v>0</v>
      </c>
      <c r="AA179" s="87" t="str">
        <f>'Etape 2'!V176</f>
        <v/>
      </c>
      <c r="AB179" s="87">
        <f>IF(ISNUMBER('Etape 2'!W176),'Etape 2'!W176,0)</f>
        <v>0</v>
      </c>
      <c r="AC179" s="87">
        <f>IF(ISNUMBER('Etape 2'!X176),'Etape 2'!X176,0)</f>
        <v>0</v>
      </c>
      <c r="AD179" s="87">
        <f>IF(ISNUMBER('Etape 2'!Y176),'Etape 2'!Y176,0)</f>
        <v>0</v>
      </c>
      <c r="AE179" s="87">
        <f>IF(ISNUMBER('Etape 2'!Z176),'Etape 2'!Z176,0)</f>
        <v>0</v>
      </c>
      <c r="AF179" s="86">
        <f t="shared" si="177"/>
        <v>999</v>
      </c>
      <c r="AG179" s="288">
        <f t="shared" si="178"/>
        <v>0.25</v>
      </c>
      <c r="AH179" s="181" t="e">
        <f t="shared" si="162"/>
        <v>#VALUE!</v>
      </c>
      <c r="AI179" s="181" t="e">
        <f t="shared" si="190"/>
        <v>#VALUE!</v>
      </c>
      <c r="AJ179" s="86">
        <f t="shared" si="163"/>
        <v>200</v>
      </c>
      <c r="AK179" s="91" t="e">
        <f t="shared" si="164"/>
        <v>#N/A</v>
      </c>
      <c r="AL179" s="91" t="e">
        <f t="shared" si="191"/>
        <v>#N/A</v>
      </c>
      <c r="AM179" s="91">
        <f t="shared" si="109"/>
        <v>6</v>
      </c>
      <c r="AN179" s="91" t="e">
        <f t="shared" si="192"/>
        <v>#N/A</v>
      </c>
      <c r="AO179" s="91" t="e">
        <f t="shared" si="193"/>
        <v>#N/A</v>
      </c>
      <c r="AP179" s="21" t="e">
        <f t="shared" si="194"/>
        <v>#N/A</v>
      </c>
      <c r="AQ179" s="21" t="e">
        <f t="shared" si="195"/>
        <v>#N/A</v>
      </c>
      <c r="AR179" s="92" t="str">
        <f t="shared" si="179"/>
        <v/>
      </c>
      <c r="AS179" s="21" t="str">
        <f t="shared" si="180"/>
        <v/>
      </c>
      <c r="AT179" s="59" t="str">
        <f t="shared" si="165"/>
        <v/>
      </c>
      <c r="AU179" s="105">
        <f t="shared" si="113"/>
        <v>1</v>
      </c>
      <c r="AV179" s="105">
        <f t="shared" si="196"/>
        <v>1</v>
      </c>
      <c r="AW179" s="58">
        <f t="shared" si="197"/>
        <v>2</v>
      </c>
      <c r="AX179" s="58">
        <f t="shared" si="198"/>
        <v>3</v>
      </c>
      <c r="AY179" s="58" t="str">
        <f t="shared" si="199"/>
        <v>avec vannes</v>
      </c>
      <c r="AZ179" s="58" t="str">
        <f t="shared" si="200"/>
        <v>fermé</v>
      </c>
      <c r="BA179" s="60">
        <f t="shared" si="189"/>
        <v>0</v>
      </c>
      <c r="BB179" s="60">
        <f t="shared" si="189"/>
        <v>0</v>
      </c>
      <c r="BC179" s="60">
        <f t="shared" si="189"/>
        <v>0</v>
      </c>
      <c r="BD179" s="60">
        <f t="shared" si="189"/>
        <v>0</v>
      </c>
      <c r="BE179" s="286" t="str">
        <f t="shared" si="166"/>
        <v/>
      </c>
      <c r="BF179" s="58" t="str">
        <f t="shared" si="181"/>
        <v/>
      </c>
      <c r="BG179" s="59" t="str">
        <f t="shared" si="167"/>
        <v/>
      </c>
      <c r="BH179" s="158">
        <f t="shared" ca="1" si="168"/>
        <v>1</v>
      </c>
      <c r="BI179" s="60">
        <f t="shared" ca="1" si="169"/>
        <v>0.15</v>
      </c>
      <c r="BJ179" s="60">
        <f t="shared" si="170"/>
        <v>0.2</v>
      </c>
      <c r="BK179" s="60" t="str">
        <f t="shared" si="182"/>
        <v/>
      </c>
      <c r="BL179" s="21" t="str">
        <f t="shared" si="183"/>
        <v/>
      </c>
      <c r="BM179" s="264" t="str">
        <f t="shared" si="171"/>
        <v/>
      </c>
      <c r="BN179" s="60" t="str">
        <f t="shared" si="184"/>
        <v/>
      </c>
      <c r="BO179" s="136">
        <f t="shared" si="185"/>
        <v>0</v>
      </c>
      <c r="BP179" s="59">
        <f t="shared" si="186"/>
        <v>0</v>
      </c>
      <c r="BQ179" s="136">
        <f t="shared" ca="1" si="172"/>
        <v>1364</v>
      </c>
      <c r="BR179" s="136">
        <f t="shared" ca="1" si="173"/>
        <v>1000.5448504983389</v>
      </c>
      <c r="BS179" s="136">
        <f t="shared" ca="1" si="174"/>
        <v>1468800.5448504984</v>
      </c>
      <c r="BT179" s="136">
        <f t="shared" ca="1" si="175"/>
        <v>313875.46757625754</v>
      </c>
      <c r="BU179" s="136">
        <f t="shared" ca="1" si="176"/>
        <v>1000.5448504983389</v>
      </c>
    </row>
    <row r="180" spans="1:73" x14ac:dyDescent="0.2">
      <c r="A180" s="87" t="str">
        <f>'Etape 2'!A177</f>
        <v/>
      </c>
      <c r="B180" s="87">
        <f>'Etape 2'!B177</f>
        <v>165</v>
      </c>
      <c r="C180" s="87">
        <f ca="1">'Etape 2'!C177</f>
        <v>136</v>
      </c>
      <c r="D180" s="87"/>
      <c r="E180" s="61">
        <f ca="1">RANK(BU180,BU$16:BU$315,0)+COUNTIF(BU$16:BU180,BU180)-1</f>
        <v>136</v>
      </c>
      <c r="F180" s="87" t="str">
        <f>'Etape 2'!D177</f>
        <v/>
      </c>
      <c r="G180" s="87" t="str">
        <f>'Etape 2'!E177</f>
        <v/>
      </c>
      <c r="H180" s="87" t="str">
        <f>'Etape 2'!F177</f>
        <v/>
      </c>
      <c r="I180" s="87" t="str">
        <f>'Etape 2'!G177</f>
        <v/>
      </c>
      <c r="J180" s="87" t="str">
        <f>'Etape 2'!H177</f>
        <v/>
      </c>
      <c r="K180" s="87" t="str">
        <f>'Etape 2'!I177</f>
        <v/>
      </c>
      <c r="L180" s="87">
        <f ca="1">'Etape 2'!J177</f>
        <v>999999</v>
      </c>
      <c r="M180" s="87">
        <f>'Etape 2'!K177</f>
        <v>999</v>
      </c>
      <c r="N180" s="87">
        <f ca="1">'Etape 2'!L177</f>
        <v>165</v>
      </c>
      <c r="O180" s="259">
        <f t="shared" si="159"/>
        <v>0.3</v>
      </c>
      <c r="P180" s="259">
        <f t="shared" si="160"/>
        <v>1.1000000000000001</v>
      </c>
      <c r="Q180" s="260">
        <f t="shared" si="161"/>
        <v>0</v>
      </c>
      <c r="R180" s="261">
        <f t="shared" si="187"/>
        <v>0</v>
      </c>
      <c r="S180" s="87">
        <f>IF(ISBLANK('Etape 2'!N177),0,VLOOKUP('Etape 2'!N177,Matrix_Uebersetzung,2,FALSE))</f>
        <v>0</v>
      </c>
      <c r="T180" s="87">
        <f>IF(ISBLANK('Etape 2'!O177),0,VLOOKUP('Etape 2'!O177,Matrix_Uebersetzung,2,FALSE))</f>
        <v>0</v>
      </c>
      <c r="U180" s="87">
        <f>IF(ISBLANK('Etape 2'!P177),0,VLOOKUP('Etape 2'!P177,Matrix_Uebersetzung,2,FALSE))</f>
        <v>0</v>
      </c>
      <c r="V180" s="87" t="str">
        <f>'Etape 2'!Q177</f>
        <v/>
      </c>
      <c r="W180" s="87">
        <f>'Etape 2'!R177</f>
        <v>0</v>
      </c>
      <c r="X180" s="87" t="str">
        <f>'Etape 2'!S177</f>
        <v/>
      </c>
      <c r="Y180" s="89" t="str">
        <f>'Etape 2'!T177</f>
        <v/>
      </c>
      <c r="Z180" s="87">
        <f>'Etape 2'!U177</f>
        <v>0</v>
      </c>
      <c r="AA180" s="87" t="str">
        <f>'Etape 2'!V177</f>
        <v/>
      </c>
      <c r="AB180" s="87">
        <f>IF(ISNUMBER('Etape 2'!W177),'Etape 2'!W177,0)</f>
        <v>0</v>
      </c>
      <c r="AC180" s="87">
        <f>IF(ISNUMBER('Etape 2'!X177),'Etape 2'!X177,0)</f>
        <v>0</v>
      </c>
      <c r="AD180" s="87">
        <f>IF(ISNUMBER('Etape 2'!Y177),'Etape 2'!Y177,0)</f>
        <v>0</v>
      </c>
      <c r="AE180" s="87">
        <f>IF(ISNUMBER('Etape 2'!Z177),'Etape 2'!Z177,0)</f>
        <v>0</v>
      </c>
      <c r="AF180" s="86">
        <f t="shared" si="177"/>
        <v>999</v>
      </c>
      <c r="AG180" s="288">
        <f t="shared" si="178"/>
        <v>0.25</v>
      </c>
      <c r="AH180" s="181" t="e">
        <f t="shared" si="162"/>
        <v>#VALUE!</v>
      </c>
      <c r="AI180" s="181" t="e">
        <f t="shared" si="190"/>
        <v>#VALUE!</v>
      </c>
      <c r="AJ180" s="86">
        <f t="shared" si="163"/>
        <v>200</v>
      </c>
      <c r="AK180" s="91" t="e">
        <f t="shared" si="164"/>
        <v>#N/A</v>
      </c>
      <c r="AL180" s="91" t="e">
        <f t="shared" si="191"/>
        <v>#N/A</v>
      </c>
      <c r="AM180" s="91">
        <f t="shared" si="109"/>
        <v>6</v>
      </c>
      <c r="AN180" s="91" t="e">
        <f t="shared" si="192"/>
        <v>#N/A</v>
      </c>
      <c r="AO180" s="91" t="e">
        <f t="shared" si="193"/>
        <v>#N/A</v>
      </c>
      <c r="AP180" s="21" t="e">
        <f t="shared" si="194"/>
        <v>#N/A</v>
      </c>
      <c r="AQ180" s="21" t="e">
        <f t="shared" si="195"/>
        <v>#N/A</v>
      </c>
      <c r="AR180" s="92" t="str">
        <f t="shared" si="179"/>
        <v/>
      </c>
      <c r="AS180" s="21" t="str">
        <f t="shared" si="180"/>
        <v/>
      </c>
      <c r="AT180" s="59" t="str">
        <f t="shared" si="165"/>
        <v/>
      </c>
      <c r="AU180" s="105">
        <f t="shared" si="113"/>
        <v>1</v>
      </c>
      <c r="AV180" s="105">
        <f t="shared" si="196"/>
        <v>1</v>
      </c>
      <c r="AW180" s="58">
        <f t="shared" si="197"/>
        <v>2</v>
      </c>
      <c r="AX180" s="58">
        <f t="shared" si="198"/>
        <v>3</v>
      </c>
      <c r="AY180" s="58" t="str">
        <f t="shared" si="199"/>
        <v>avec vannes</v>
      </c>
      <c r="AZ180" s="58" t="str">
        <f t="shared" si="200"/>
        <v>fermé</v>
      </c>
      <c r="BA180" s="60">
        <f t="shared" si="189"/>
        <v>0</v>
      </c>
      <c r="BB180" s="60">
        <f t="shared" si="189"/>
        <v>0</v>
      </c>
      <c r="BC180" s="60">
        <f t="shared" si="189"/>
        <v>0</v>
      </c>
      <c r="BD180" s="60">
        <f t="shared" si="189"/>
        <v>0</v>
      </c>
      <c r="BE180" s="286" t="str">
        <f t="shared" si="166"/>
        <v/>
      </c>
      <c r="BF180" s="58" t="str">
        <f t="shared" si="181"/>
        <v/>
      </c>
      <c r="BG180" s="59" t="str">
        <f t="shared" si="167"/>
        <v/>
      </c>
      <c r="BH180" s="158">
        <f t="shared" ca="1" si="168"/>
        <v>1</v>
      </c>
      <c r="BI180" s="60">
        <f t="shared" ca="1" si="169"/>
        <v>0.15</v>
      </c>
      <c r="BJ180" s="60">
        <f t="shared" si="170"/>
        <v>0.2</v>
      </c>
      <c r="BK180" s="60" t="str">
        <f t="shared" si="182"/>
        <v/>
      </c>
      <c r="BL180" s="21" t="str">
        <f t="shared" si="183"/>
        <v/>
      </c>
      <c r="BM180" s="264" t="str">
        <f t="shared" si="171"/>
        <v/>
      </c>
      <c r="BN180" s="60" t="str">
        <f t="shared" si="184"/>
        <v/>
      </c>
      <c r="BO180" s="136">
        <f t="shared" si="185"/>
        <v>0</v>
      </c>
      <c r="BP180" s="59">
        <f t="shared" si="186"/>
        <v>0</v>
      </c>
      <c r="BQ180" s="136">
        <f t="shared" ca="1" si="172"/>
        <v>1365</v>
      </c>
      <c r="BR180" s="136">
        <f t="shared" ca="1" si="173"/>
        <v>1000.5481727574751</v>
      </c>
      <c r="BS180" s="136">
        <f t="shared" ca="1" si="174"/>
        <v>1468800.5481727575</v>
      </c>
      <c r="BT180" s="136">
        <f t="shared" ca="1" si="175"/>
        <v>313875.47089851671</v>
      </c>
      <c r="BU180" s="136">
        <f t="shared" ca="1" si="176"/>
        <v>1000.5481727574751</v>
      </c>
    </row>
    <row r="181" spans="1:73" x14ac:dyDescent="0.2">
      <c r="A181" s="87" t="str">
        <f>'Etape 2'!A178</f>
        <v/>
      </c>
      <c r="B181" s="87">
        <f>'Etape 2'!B178</f>
        <v>166</v>
      </c>
      <c r="C181" s="87">
        <f ca="1">'Etape 2'!C178</f>
        <v>135</v>
      </c>
      <c r="D181" s="87"/>
      <c r="E181" s="61">
        <f ca="1">RANK(BU181,BU$16:BU$315,0)+COUNTIF(BU$16:BU181,BU181)-1</f>
        <v>135</v>
      </c>
      <c r="F181" s="87" t="str">
        <f>'Etape 2'!D178</f>
        <v/>
      </c>
      <c r="G181" s="87" t="str">
        <f>'Etape 2'!E178</f>
        <v/>
      </c>
      <c r="H181" s="87" t="str">
        <f>'Etape 2'!F178</f>
        <v/>
      </c>
      <c r="I181" s="87" t="str">
        <f>'Etape 2'!G178</f>
        <v/>
      </c>
      <c r="J181" s="87" t="str">
        <f>'Etape 2'!H178</f>
        <v/>
      </c>
      <c r="K181" s="87" t="str">
        <f>'Etape 2'!I178</f>
        <v/>
      </c>
      <c r="L181" s="87">
        <f ca="1">'Etape 2'!J178</f>
        <v>999999</v>
      </c>
      <c r="M181" s="87">
        <f>'Etape 2'!K178</f>
        <v>999</v>
      </c>
      <c r="N181" s="87">
        <f ca="1">'Etape 2'!L178</f>
        <v>166</v>
      </c>
      <c r="O181" s="259">
        <f t="shared" si="159"/>
        <v>0.3</v>
      </c>
      <c r="P181" s="259">
        <f t="shared" si="160"/>
        <v>1.1000000000000001</v>
      </c>
      <c r="Q181" s="260">
        <f t="shared" si="161"/>
        <v>0</v>
      </c>
      <c r="R181" s="261">
        <f t="shared" si="187"/>
        <v>0</v>
      </c>
      <c r="S181" s="87">
        <f>IF(ISBLANK('Etape 2'!N178),0,VLOOKUP('Etape 2'!N178,Matrix_Uebersetzung,2,FALSE))</f>
        <v>0</v>
      </c>
      <c r="T181" s="87">
        <f>IF(ISBLANK('Etape 2'!O178),0,VLOOKUP('Etape 2'!O178,Matrix_Uebersetzung,2,FALSE))</f>
        <v>0</v>
      </c>
      <c r="U181" s="87">
        <f>IF(ISBLANK('Etape 2'!P178),0,VLOOKUP('Etape 2'!P178,Matrix_Uebersetzung,2,FALSE))</f>
        <v>0</v>
      </c>
      <c r="V181" s="87" t="str">
        <f>'Etape 2'!Q178</f>
        <v/>
      </c>
      <c r="W181" s="87">
        <f>'Etape 2'!R178</f>
        <v>0</v>
      </c>
      <c r="X181" s="87" t="str">
        <f>'Etape 2'!S178</f>
        <v/>
      </c>
      <c r="Y181" s="89" t="str">
        <f>'Etape 2'!T178</f>
        <v/>
      </c>
      <c r="Z181" s="87">
        <f>'Etape 2'!U178</f>
        <v>0</v>
      </c>
      <c r="AA181" s="87" t="str">
        <f>'Etape 2'!V178</f>
        <v/>
      </c>
      <c r="AB181" s="87">
        <f>IF(ISNUMBER('Etape 2'!W178),'Etape 2'!W178,0)</f>
        <v>0</v>
      </c>
      <c r="AC181" s="87">
        <f>IF(ISNUMBER('Etape 2'!X178),'Etape 2'!X178,0)</f>
        <v>0</v>
      </c>
      <c r="AD181" s="87">
        <f>IF(ISNUMBER('Etape 2'!Y178),'Etape 2'!Y178,0)</f>
        <v>0</v>
      </c>
      <c r="AE181" s="87">
        <f>IF(ISNUMBER('Etape 2'!Z178),'Etape 2'!Z178,0)</f>
        <v>0</v>
      </c>
      <c r="AF181" s="86">
        <f t="shared" si="177"/>
        <v>999</v>
      </c>
      <c r="AG181" s="288">
        <f t="shared" si="178"/>
        <v>0.25</v>
      </c>
      <c r="AH181" s="181" t="e">
        <f t="shared" si="162"/>
        <v>#VALUE!</v>
      </c>
      <c r="AI181" s="181" t="e">
        <f t="shared" si="190"/>
        <v>#VALUE!</v>
      </c>
      <c r="AJ181" s="86">
        <f t="shared" si="163"/>
        <v>200</v>
      </c>
      <c r="AK181" s="91" t="e">
        <f t="shared" si="164"/>
        <v>#N/A</v>
      </c>
      <c r="AL181" s="91" t="e">
        <f t="shared" si="191"/>
        <v>#N/A</v>
      </c>
      <c r="AM181" s="91">
        <f t="shared" si="109"/>
        <v>6</v>
      </c>
      <c r="AN181" s="91" t="e">
        <f t="shared" si="192"/>
        <v>#N/A</v>
      </c>
      <c r="AO181" s="91" t="e">
        <f t="shared" si="193"/>
        <v>#N/A</v>
      </c>
      <c r="AP181" s="21" t="e">
        <f t="shared" si="194"/>
        <v>#N/A</v>
      </c>
      <c r="AQ181" s="21" t="e">
        <f t="shared" si="195"/>
        <v>#N/A</v>
      </c>
      <c r="AR181" s="92" t="str">
        <f t="shared" si="179"/>
        <v/>
      </c>
      <c r="AS181" s="21" t="str">
        <f t="shared" si="180"/>
        <v/>
      </c>
      <c r="AT181" s="59" t="str">
        <f t="shared" si="165"/>
        <v/>
      </c>
      <c r="AU181" s="105">
        <f t="shared" si="113"/>
        <v>1</v>
      </c>
      <c r="AV181" s="105">
        <f t="shared" si="196"/>
        <v>1</v>
      </c>
      <c r="AW181" s="58">
        <f t="shared" si="197"/>
        <v>2</v>
      </c>
      <c r="AX181" s="58">
        <f t="shared" si="198"/>
        <v>3</v>
      </c>
      <c r="AY181" s="58" t="str">
        <f t="shared" si="199"/>
        <v>avec vannes</v>
      </c>
      <c r="AZ181" s="58" t="str">
        <f t="shared" si="200"/>
        <v>fermé</v>
      </c>
      <c r="BA181" s="60">
        <f t="shared" si="189"/>
        <v>0</v>
      </c>
      <c r="BB181" s="60">
        <f t="shared" si="189"/>
        <v>0</v>
      </c>
      <c r="BC181" s="60">
        <f t="shared" si="189"/>
        <v>0</v>
      </c>
      <c r="BD181" s="60">
        <f t="shared" si="189"/>
        <v>0</v>
      </c>
      <c r="BE181" s="286" t="str">
        <f t="shared" si="166"/>
        <v/>
      </c>
      <c r="BF181" s="58" t="str">
        <f t="shared" si="181"/>
        <v/>
      </c>
      <c r="BG181" s="59" t="str">
        <f t="shared" si="167"/>
        <v/>
      </c>
      <c r="BH181" s="158">
        <f t="shared" ca="1" si="168"/>
        <v>1</v>
      </c>
      <c r="BI181" s="60">
        <f t="shared" ca="1" si="169"/>
        <v>0.15</v>
      </c>
      <c r="BJ181" s="60">
        <f t="shared" si="170"/>
        <v>0.2</v>
      </c>
      <c r="BK181" s="60" t="str">
        <f t="shared" si="182"/>
        <v/>
      </c>
      <c r="BL181" s="21" t="str">
        <f t="shared" si="183"/>
        <v/>
      </c>
      <c r="BM181" s="264" t="str">
        <f t="shared" si="171"/>
        <v/>
      </c>
      <c r="BN181" s="60" t="str">
        <f t="shared" si="184"/>
        <v/>
      </c>
      <c r="BO181" s="136">
        <f t="shared" si="185"/>
        <v>0</v>
      </c>
      <c r="BP181" s="59">
        <f t="shared" si="186"/>
        <v>0</v>
      </c>
      <c r="BQ181" s="136">
        <f t="shared" ca="1" si="172"/>
        <v>1366</v>
      </c>
      <c r="BR181" s="136">
        <f t="shared" ca="1" si="173"/>
        <v>1000.5514950166113</v>
      </c>
      <c r="BS181" s="136">
        <f t="shared" ca="1" si="174"/>
        <v>1468800.5514950166</v>
      </c>
      <c r="BT181" s="136">
        <f t="shared" ca="1" si="175"/>
        <v>313875.47422077582</v>
      </c>
      <c r="BU181" s="136">
        <f t="shared" ca="1" si="176"/>
        <v>1000.5514950166113</v>
      </c>
    </row>
    <row r="182" spans="1:73" x14ac:dyDescent="0.2">
      <c r="A182" s="87" t="str">
        <f>'Etape 2'!A179</f>
        <v/>
      </c>
      <c r="B182" s="87">
        <f>'Etape 2'!B179</f>
        <v>167</v>
      </c>
      <c r="C182" s="87">
        <f ca="1">'Etape 2'!C179</f>
        <v>134</v>
      </c>
      <c r="D182" s="87"/>
      <c r="E182" s="61">
        <f ca="1">RANK(BU182,BU$16:BU$315,0)+COUNTIF(BU$16:BU182,BU182)-1</f>
        <v>134</v>
      </c>
      <c r="F182" s="87" t="str">
        <f>'Etape 2'!D179</f>
        <v/>
      </c>
      <c r="G182" s="87" t="str">
        <f>'Etape 2'!E179</f>
        <v/>
      </c>
      <c r="H182" s="87" t="str">
        <f>'Etape 2'!F179</f>
        <v/>
      </c>
      <c r="I182" s="87" t="str">
        <f>'Etape 2'!G179</f>
        <v/>
      </c>
      <c r="J182" s="87" t="str">
        <f>'Etape 2'!H179</f>
        <v/>
      </c>
      <c r="K182" s="87" t="str">
        <f>'Etape 2'!I179</f>
        <v/>
      </c>
      <c r="L182" s="87">
        <f ca="1">'Etape 2'!J179</f>
        <v>999999</v>
      </c>
      <c r="M182" s="87">
        <f>'Etape 2'!K179</f>
        <v>999</v>
      </c>
      <c r="N182" s="87">
        <f ca="1">'Etape 2'!L179</f>
        <v>167</v>
      </c>
      <c r="O182" s="259">
        <f t="shared" si="159"/>
        <v>0.3</v>
      </c>
      <c r="P182" s="259">
        <f t="shared" si="160"/>
        <v>1.1000000000000001</v>
      </c>
      <c r="Q182" s="260">
        <f t="shared" si="161"/>
        <v>0</v>
      </c>
      <c r="R182" s="261">
        <f t="shared" si="187"/>
        <v>0</v>
      </c>
      <c r="S182" s="87">
        <f>IF(ISBLANK('Etape 2'!N179),0,VLOOKUP('Etape 2'!N179,Matrix_Uebersetzung,2,FALSE))</f>
        <v>0</v>
      </c>
      <c r="T182" s="87">
        <f>IF(ISBLANK('Etape 2'!O179),0,VLOOKUP('Etape 2'!O179,Matrix_Uebersetzung,2,FALSE))</f>
        <v>0</v>
      </c>
      <c r="U182" s="87">
        <f>IF(ISBLANK('Etape 2'!P179),0,VLOOKUP('Etape 2'!P179,Matrix_Uebersetzung,2,FALSE))</f>
        <v>0</v>
      </c>
      <c r="V182" s="87" t="str">
        <f>'Etape 2'!Q179</f>
        <v/>
      </c>
      <c r="W182" s="87">
        <f>'Etape 2'!R179</f>
        <v>0</v>
      </c>
      <c r="X182" s="87" t="str">
        <f>'Etape 2'!S179</f>
        <v/>
      </c>
      <c r="Y182" s="89" t="str">
        <f>'Etape 2'!T179</f>
        <v/>
      </c>
      <c r="Z182" s="87">
        <f>'Etape 2'!U179</f>
        <v>0</v>
      </c>
      <c r="AA182" s="87" t="str">
        <f>'Etape 2'!V179</f>
        <v/>
      </c>
      <c r="AB182" s="87">
        <f>IF(ISNUMBER('Etape 2'!W179),'Etape 2'!W179,0)</f>
        <v>0</v>
      </c>
      <c r="AC182" s="87">
        <f>IF(ISNUMBER('Etape 2'!X179),'Etape 2'!X179,0)</f>
        <v>0</v>
      </c>
      <c r="AD182" s="87">
        <f>IF(ISNUMBER('Etape 2'!Y179),'Etape 2'!Y179,0)</f>
        <v>0</v>
      </c>
      <c r="AE182" s="87">
        <f>IF(ISNUMBER('Etape 2'!Z179),'Etape 2'!Z179,0)</f>
        <v>0</v>
      </c>
      <c r="AF182" s="86">
        <f t="shared" si="177"/>
        <v>999</v>
      </c>
      <c r="AG182" s="288">
        <f t="shared" si="178"/>
        <v>0.25</v>
      </c>
      <c r="AH182" s="181" t="e">
        <f t="shared" si="162"/>
        <v>#VALUE!</v>
      </c>
      <c r="AI182" s="181" t="e">
        <f t="shared" si="190"/>
        <v>#VALUE!</v>
      </c>
      <c r="AJ182" s="86">
        <f t="shared" si="163"/>
        <v>200</v>
      </c>
      <c r="AK182" s="91" t="e">
        <f t="shared" si="164"/>
        <v>#N/A</v>
      </c>
      <c r="AL182" s="91" t="e">
        <f t="shared" si="191"/>
        <v>#N/A</v>
      </c>
      <c r="AM182" s="91">
        <f t="shared" si="109"/>
        <v>6</v>
      </c>
      <c r="AN182" s="91" t="e">
        <f t="shared" si="192"/>
        <v>#N/A</v>
      </c>
      <c r="AO182" s="91" t="e">
        <f t="shared" si="193"/>
        <v>#N/A</v>
      </c>
      <c r="AP182" s="21" t="e">
        <f t="shared" si="194"/>
        <v>#N/A</v>
      </c>
      <c r="AQ182" s="21" t="e">
        <f t="shared" si="195"/>
        <v>#N/A</v>
      </c>
      <c r="AR182" s="92" t="str">
        <f t="shared" si="179"/>
        <v/>
      </c>
      <c r="AS182" s="21" t="str">
        <f t="shared" si="180"/>
        <v/>
      </c>
      <c r="AT182" s="59" t="str">
        <f t="shared" si="165"/>
        <v/>
      </c>
      <c r="AU182" s="105">
        <f t="shared" si="113"/>
        <v>1</v>
      </c>
      <c r="AV182" s="105">
        <f t="shared" si="196"/>
        <v>1</v>
      </c>
      <c r="AW182" s="58">
        <f t="shared" si="197"/>
        <v>2</v>
      </c>
      <c r="AX182" s="58">
        <f t="shared" si="198"/>
        <v>3</v>
      </c>
      <c r="AY182" s="58" t="str">
        <f t="shared" si="199"/>
        <v>avec vannes</v>
      </c>
      <c r="AZ182" s="58" t="str">
        <f t="shared" si="200"/>
        <v>fermé</v>
      </c>
      <c r="BA182" s="60">
        <f t="shared" si="189"/>
        <v>0</v>
      </c>
      <c r="BB182" s="60">
        <f t="shared" si="189"/>
        <v>0</v>
      </c>
      <c r="BC182" s="60">
        <f t="shared" si="189"/>
        <v>0</v>
      </c>
      <c r="BD182" s="60">
        <f t="shared" si="189"/>
        <v>0</v>
      </c>
      <c r="BE182" s="286" t="str">
        <f t="shared" si="166"/>
        <v/>
      </c>
      <c r="BF182" s="58" t="str">
        <f t="shared" si="181"/>
        <v/>
      </c>
      <c r="BG182" s="59" t="str">
        <f t="shared" si="167"/>
        <v/>
      </c>
      <c r="BH182" s="158">
        <f t="shared" ca="1" si="168"/>
        <v>1</v>
      </c>
      <c r="BI182" s="60">
        <f t="shared" ca="1" si="169"/>
        <v>0.15</v>
      </c>
      <c r="BJ182" s="60">
        <f t="shared" si="170"/>
        <v>0.2</v>
      </c>
      <c r="BK182" s="60" t="str">
        <f t="shared" si="182"/>
        <v/>
      </c>
      <c r="BL182" s="21" t="str">
        <f t="shared" si="183"/>
        <v/>
      </c>
      <c r="BM182" s="264" t="str">
        <f t="shared" si="171"/>
        <v/>
      </c>
      <c r="BN182" s="60" t="str">
        <f t="shared" si="184"/>
        <v/>
      </c>
      <c r="BO182" s="136">
        <f t="shared" si="185"/>
        <v>0</v>
      </c>
      <c r="BP182" s="59">
        <f t="shared" si="186"/>
        <v>0</v>
      </c>
      <c r="BQ182" s="136">
        <f t="shared" ca="1" si="172"/>
        <v>1367</v>
      </c>
      <c r="BR182" s="136">
        <f t="shared" ca="1" si="173"/>
        <v>1000.5548172757475</v>
      </c>
      <c r="BS182" s="136">
        <f t="shared" ca="1" si="174"/>
        <v>1468800.5548172758</v>
      </c>
      <c r="BT182" s="136">
        <f t="shared" ca="1" si="175"/>
        <v>313875.47754303494</v>
      </c>
      <c r="BU182" s="136">
        <f t="shared" ca="1" si="176"/>
        <v>1000.5548172757475</v>
      </c>
    </row>
    <row r="183" spans="1:73" x14ac:dyDescent="0.2">
      <c r="A183" s="87" t="str">
        <f>'Etape 2'!A180</f>
        <v/>
      </c>
      <c r="B183" s="87">
        <f>'Etape 2'!B180</f>
        <v>168</v>
      </c>
      <c r="C183" s="87">
        <f ca="1">'Etape 2'!C180</f>
        <v>133</v>
      </c>
      <c r="D183" s="87"/>
      <c r="E183" s="61">
        <f ca="1">RANK(BU183,BU$16:BU$315,0)+COUNTIF(BU$16:BU183,BU183)-1</f>
        <v>133</v>
      </c>
      <c r="F183" s="87" t="str">
        <f>'Etape 2'!D180</f>
        <v/>
      </c>
      <c r="G183" s="87" t="str">
        <f>'Etape 2'!E180</f>
        <v/>
      </c>
      <c r="H183" s="87" t="str">
        <f>'Etape 2'!F180</f>
        <v/>
      </c>
      <c r="I183" s="87" t="str">
        <f>'Etape 2'!G180</f>
        <v/>
      </c>
      <c r="J183" s="87" t="str">
        <f>'Etape 2'!H180</f>
        <v/>
      </c>
      <c r="K183" s="87" t="str">
        <f>'Etape 2'!I180</f>
        <v/>
      </c>
      <c r="L183" s="87">
        <f ca="1">'Etape 2'!J180</f>
        <v>999999</v>
      </c>
      <c r="M183" s="87">
        <f>'Etape 2'!K180</f>
        <v>999</v>
      </c>
      <c r="N183" s="87">
        <f ca="1">'Etape 2'!L180</f>
        <v>168</v>
      </c>
      <c r="O183" s="259">
        <f t="shared" si="159"/>
        <v>0.3</v>
      </c>
      <c r="P183" s="259">
        <f t="shared" si="160"/>
        <v>1.1000000000000001</v>
      </c>
      <c r="Q183" s="260">
        <f t="shared" si="161"/>
        <v>0</v>
      </c>
      <c r="R183" s="261">
        <f t="shared" si="187"/>
        <v>0</v>
      </c>
      <c r="S183" s="87">
        <f>IF(ISBLANK('Etape 2'!N180),0,VLOOKUP('Etape 2'!N180,Matrix_Uebersetzung,2,FALSE))</f>
        <v>0</v>
      </c>
      <c r="T183" s="87">
        <f>IF(ISBLANK('Etape 2'!O180),0,VLOOKUP('Etape 2'!O180,Matrix_Uebersetzung,2,FALSE))</f>
        <v>0</v>
      </c>
      <c r="U183" s="87">
        <f>IF(ISBLANK('Etape 2'!P180),0,VLOOKUP('Etape 2'!P180,Matrix_Uebersetzung,2,FALSE))</f>
        <v>0</v>
      </c>
      <c r="V183" s="87" t="str">
        <f>'Etape 2'!Q180</f>
        <v/>
      </c>
      <c r="W183" s="87">
        <f>'Etape 2'!R180</f>
        <v>0</v>
      </c>
      <c r="X183" s="87" t="str">
        <f>'Etape 2'!S180</f>
        <v/>
      </c>
      <c r="Y183" s="89" t="str">
        <f>'Etape 2'!T180</f>
        <v/>
      </c>
      <c r="Z183" s="87">
        <f>'Etape 2'!U180</f>
        <v>0</v>
      </c>
      <c r="AA183" s="87" t="str">
        <f>'Etape 2'!V180</f>
        <v/>
      </c>
      <c r="AB183" s="87">
        <f>IF(ISNUMBER('Etape 2'!W180),'Etape 2'!W180,0)</f>
        <v>0</v>
      </c>
      <c r="AC183" s="87">
        <f>IF(ISNUMBER('Etape 2'!X180),'Etape 2'!X180,0)</f>
        <v>0</v>
      </c>
      <c r="AD183" s="87">
        <f>IF(ISNUMBER('Etape 2'!Y180),'Etape 2'!Y180,0)</f>
        <v>0</v>
      </c>
      <c r="AE183" s="87">
        <f>IF(ISNUMBER('Etape 2'!Z180),'Etape 2'!Z180,0)</f>
        <v>0</v>
      </c>
      <c r="AF183" s="86">
        <f t="shared" si="177"/>
        <v>999</v>
      </c>
      <c r="AG183" s="288">
        <f t="shared" si="178"/>
        <v>0.25</v>
      </c>
      <c r="AH183" s="181" t="e">
        <f t="shared" si="162"/>
        <v>#VALUE!</v>
      </c>
      <c r="AI183" s="181" t="e">
        <f t="shared" si="190"/>
        <v>#VALUE!</v>
      </c>
      <c r="AJ183" s="86">
        <f t="shared" si="163"/>
        <v>200</v>
      </c>
      <c r="AK183" s="91" t="e">
        <f t="shared" si="164"/>
        <v>#N/A</v>
      </c>
      <c r="AL183" s="91" t="e">
        <f t="shared" si="191"/>
        <v>#N/A</v>
      </c>
      <c r="AM183" s="91">
        <f t="shared" si="109"/>
        <v>6</v>
      </c>
      <c r="AN183" s="91" t="e">
        <f t="shared" si="192"/>
        <v>#N/A</v>
      </c>
      <c r="AO183" s="91" t="e">
        <f t="shared" si="193"/>
        <v>#N/A</v>
      </c>
      <c r="AP183" s="21" t="e">
        <f t="shared" si="194"/>
        <v>#N/A</v>
      </c>
      <c r="AQ183" s="21" t="e">
        <f t="shared" si="195"/>
        <v>#N/A</v>
      </c>
      <c r="AR183" s="92" t="str">
        <f t="shared" si="179"/>
        <v/>
      </c>
      <c r="AS183" s="21" t="str">
        <f t="shared" si="180"/>
        <v/>
      </c>
      <c r="AT183" s="59" t="str">
        <f t="shared" si="165"/>
        <v/>
      </c>
      <c r="AU183" s="105">
        <f t="shared" si="113"/>
        <v>1</v>
      </c>
      <c r="AV183" s="105">
        <f t="shared" si="196"/>
        <v>1</v>
      </c>
      <c r="AW183" s="58">
        <f t="shared" si="197"/>
        <v>2</v>
      </c>
      <c r="AX183" s="58">
        <f t="shared" si="198"/>
        <v>3</v>
      </c>
      <c r="AY183" s="58" t="str">
        <f t="shared" si="199"/>
        <v>avec vannes</v>
      </c>
      <c r="AZ183" s="58" t="str">
        <f t="shared" si="200"/>
        <v>fermé</v>
      </c>
      <c r="BA183" s="60">
        <f t="shared" si="189"/>
        <v>0</v>
      </c>
      <c r="BB183" s="60">
        <f t="shared" si="189"/>
        <v>0</v>
      </c>
      <c r="BC183" s="60">
        <f t="shared" si="189"/>
        <v>0</v>
      </c>
      <c r="BD183" s="60">
        <f t="shared" si="189"/>
        <v>0</v>
      </c>
      <c r="BE183" s="286" t="str">
        <f t="shared" si="166"/>
        <v/>
      </c>
      <c r="BF183" s="58" t="str">
        <f t="shared" si="181"/>
        <v/>
      </c>
      <c r="BG183" s="59" t="str">
        <f t="shared" si="167"/>
        <v/>
      </c>
      <c r="BH183" s="158">
        <f t="shared" ca="1" si="168"/>
        <v>1</v>
      </c>
      <c r="BI183" s="60">
        <f t="shared" ca="1" si="169"/>
        <v>0.15</v>
      </c>
      <c r="BJ183" s="60">
        <f t="shared" si="170"/>
        <v>0.2</v>
      </c>
      <c r="BK183" s="60" t="str">
        <f t="shared" si="182"/>
        <v/>
      </c>
      <c r="BL183" s="21" t="str">
        <f t="shared" si="183"/>
        <v/>
      </c>
      <c r="BM183" s="264" t="str">
        <f t="shared" si="171"/>
        <v/>
      </c>
      <c r="BN183" s="60" t="str">
        <f t="shared" si="184"/>
        <v/>
      </c>
      <c r="BO183" s="136">
        <f t="shared" si="185"/>
        <v>0</v>
      </c>
      <c r="BP183" s="59">
        <f t="shared" si="186"/>
        <v>0</v>
      </c>
      <c r="BQ183" s="136">
        <f t="shared" ca="1" si="172"/>
        <v>1368</v>
      </c>
      <c r="BR183" s="136">
        <f t="shared" ca="1" si="173"/>
        <v>1000.5581395348837</v>
      </c>
      <c r="BS183" s="136">
        <f t="shared" ca="1" si="174"/>
        <v>1468800.5581395349</v>
      </c>
      <c r="BT183" s="136">
        <f t="shared" ca="1" si="175"/>
        <v>313875.48086529411</v>
      </c>
      <c r="BU183" s="136">
        <f t="shared" ca="1" si="176"/>
        <v>1000.5581395348837</v>
      </c>
    </row>
    <row r="184" spans="1:73" x14ac:dyDescent="0.2">
      <c r="A184" s="87" t="str">
        <f>'Etape 2'!A181</f>
        <v/>
      </c>
      <c r="B184" s="87">
        <f>'Etape 2'!B181</f>
        <v>169</v>
      </c>
      <c r="C184" s="87">
        <f ca="1">'Etape 2'!C181</f>
        <v>132</v>
      </c>
      <c r="D184" s="87"/>
      <c r="E184" s="61">
        <f ca="1">RANK(BU184,BU$16:BU$315,0)+COUNTIF(BU$16:BU184,BU184)-1</f>
        <v>132</v>
      </c>
      <c r="F184" s="87" t="str">
        <f>'Etape 2'!D181</f>
        <v/>
      </c>
      <c r="G184" s="87" t="str">
        <f>'Etape 2'!E181</f>
        <v/>
      </c>
      <c r="H184" s="87" t="str">
        <f>'Etape 2'!F181</f>
        <v/>
      </c>
      <c r="I184" s="87" t="str">
        <f>'Etape 2'!G181</f>
        <v/>
      </c>
      <c r="J184" s="87" t="str">
        <f>'Etape 2'!H181</f>
        <v/>
      </c>
      <c r="K184" s="87" t="str">
        <f>'Etape 2'!I181</f>
        <v/>
      </c>
      <c r="L184" s="87">
        <f ca="1">'Etape 2'!J181</f>
        <v>999999</v>
      </c>
      <c r="M184" s="87">
        <f>'Etape 2'!K181</f>
        <v>999</v>
      </c>
      <c r="N184" s="87">
        <f ca="1">'Etape 2'!L181</f>
        <v>169</v>
      </c>
      <c r="O184" s="259">
        <f t="shared" si="159"/>
        <v>0.3</v>
      </c>
      <c r="P184" s="259">
        <f t="shared" si="160"/>
        <v>1.1000000000000001</v>
      </c>
      <c r="Q184" s="260">
        <f t="shared" si="161"/>
        <v>0</v>
      </c>
      <c r="R184" s="261">
        <f t="shared" si="187"/>
        <v>0</v>
      </c>
      <c r="S184" s="87">
        <f>IF(ISBLANK('Etape 2'!N181),0,VLOOKUP('Etape 2'!N181,Matrix_Uebersetzung,2,FALSE))</f>
        <v>0</v>
      </c>
      <c r="T184" s="87">
        <f>IF(ISBLANK('Etape 2'!O181),0,VLOOKUP('Etape 2'!O181,Matrix_Uebersetzung,2,FALSE))</f>
        <v>0</v>
      </c>
      <c r="U184" s="87">
        <f>IF(ISBLANK('Etape 2'!P181),0,VLOOKUP('Etape 2'!P181,Matrix_Uebersetzung,2,FALSE))</f>
        <v>0</v>
      </c>
      <c r="V184" s="87" t="str">
        <f>'Etape 2'!Q181</f>
        <v/>
      </c>
      <c r="W184" s="87">
        <f>'Etape 2'!R181</f>
        <v>0</v>
      </c>
      <c r="X184" s="87" t="str">
        <f>'Etape 2'!S181</f>
        <v/>
      </c>
      <c r="Y184" s="89" t="str">
        <f>'Etape 2'!T181</f>
        <v/>
      </c>
      <c r="Z184" s="87">
        <f>'Etape 2'!U181</f>
        <v>0</v>
      </c>
      <c r="AA184" s="87" t="str">
        <f>'Etape 2'!V181</f>
        <v/>
      </c>
      <c r="AB184" s="87">
        <f>IF(ISNUMBER('Etape 2'!W181),'Etape 2'!W181,0)</f>
        <v>0</v>
      </c>
      <c r="AC184" s="87">
        <f>IF(ISNUMBER('Etape 2'!X181),'Etape 2'!X181,0)</f>
        <v>0</v>
      </c>
      <c r="AD184" s="87">
        <f>IF(ISNUMBER('Etape 2'!Y181),'Etape 2'!Y181,0)</f>
        <v>0</v>
      </c>
      <c r="AE184" s="87">
        <f>IF(ISNUMBER('Etape 2'!Z181),'Etape 2'!Z181,0)</f>
        <v>0</v>
      </c>
      <c r="AF184" s="86">
        <f t="shared" si="177"/>
        <v>999</v>
      </c>
      <c r="AG184" s="288">
        <f t="shared" si="178"/>
        <v>0.25</v>
      </c>
      <c r="AH184" s="181" t="e">
        <f t="shared" si="162"/>
        <v>#VALUE!</v>
      </c>
      <c r="AI184" s="181" t="e">
        <f t="shared" si="190"/>
        <v>#VALUE!</v>
      </c>
      <c r="AJ184" s="86">
        <f t="shared" si="163"/>
        <v>200</v>
      </c>
      <c r="AK184" s="91" t="e">
        <f t="shared" si="164"/>
        <v>#N/A</v>
      </c>
      <c r="AL184" s="91" t="e">
        <f t="shared" si="191"/>
        <v>#N/A</v>
      </c>
      <c r="AM184" s="91">
        <f t="shared" si="109"/>
        <v>6</v>
      </c>
      <c r="AN184" s="91" t="e">
        <f t="shared" si="192"/>
        <v>#N/A</v>
      </c>
      <c r="AO184" s="91" t="e">
        <f t="shared" si="193"/>
        <v>#N/A</v>
      </c>
      <c r="AP184" s="21" t="e">
        <f t="shared" si="194"/>
        <v>#N/A</v>
      </c>
      <c r="AQ184" s="21" t="e">
        <f t="shared" si="195"/>
        <v>#N/A</v>
      </c>
      <c r="AR184" s="92" t="str">
        <f t="shared" si="179"/>
        <v/>
      </c>
      <c r="AS184" s="21" t="str">
        <f t="shared" si="180"/>
        <v/>
      </c>
      <c r="AT184" s="59" t="str">
        <f t="shared" si="165"/>
        <v/>
      </c>
      <c r="AU184" s="105">
        <f t="shared" si="113"/>
        <v>1</v>
      </c>
      <c r="AV184" s="105">
        <f t="shared" si="196"/>
        <v>1</v>
      </c>
      <c r="AW184" s="58">
        <f t="shared" si="197"/>
        <v>2</v>
      </c>
      <c r="AX184" s="58">
        <f t="shared" si="198"/>
        <v>3</v>
      </c>
      <c r="AY184" s="58" t="str">
        <f t="shared" si="199"/>
        <v>avec vannes</v>
      </c>
      <c r="AZ184" s="58" t="str">
        <f t="shared" si="200"/>
        <v>fermé</v>
      </c>
      <c r="BA184" s="60">
        <f t="shared" si="189"/>
        <v>0</v>
      </c>
      <c r="BB184" s="60">
        <f t="shared" si="189"/>
        <v>0</v>
      </c>
      <c r="BC184" s="60">
        <f t="shared" si="189"/>
        <v>0</v>
      </c>
      <c r="BD184" s="60">
        <f t="shared" si="189"/>
        <v>0</v>
      </c>
      <c r="BE184" s="286" t="str">
        <f t="shared" si="166"/>
        <v/>
      </c>
      <c r="BF184" s="58" t="str">
        <f t="shared" si="181"/>
        <v/>
      </c>
      <c r="BG184" s="59" t="str">
        <f t="shared" si="167"/>
        <v/>
      </c>
      <c r="BH184" s="158">
        <f t="shared" ca="1" si="168"/>
        <v>1</v>
      </c>
      <c r="BI184" s="60">
        <f t="shared" ca="1" si="169"/>
        <v>0.15</v>
      </c>
      <c r="BJ184" s="60">
        <f t="shared" si="170"/>
        <v>0.2</v>
      </c>
      <c r="BK184" s="60" t="str">
        <f t="shared" si="182"/>
        <v/>
      </c>
      <c r="BL184" s="21" t="str">
        <f t="shared" si="183"/>
        <v/>
      </c>
      <c r="BM184" s="264" t="str">
        <f t="shared" si="171"/>
        <v/>
      </c>
      <c r="BN184" s="60" t="str">
        <f t="shared" si="184"/>
        <v/>
      </c>
      <c r="BO184" s="136">
        <f t="shared" si="185"/>
        <v>0</v>
      </c>
      <c r="BP184" s="59">
        <f t="shared" si="186"/>
        <v>0</v>
      </c>
      <c r="BQ184" s="136">
        <f t="shared" ca="1" si="172"/>
        <v>1369</v>
      </c>
      <c r="BR184" s="136">
        <f t="shared" ca="1" si="173"/>
        <v>1000.5614617940199</v>
      </c>
      <c r="BS184" s="136">
        <f t="shared" ca="1" si="174"/>
        <v>1468800.561461794</v>
      </c>
      <c r="BT184" s="136">
        <f t="shared" ca="1" si="175"/>
        <v>313875.48418755323</v>
      </c>
      <c r="BU184" s="136">
        <f t="shared" ca="1" si="176"/>
        <v>1000.5614617940199</v>
      </c>
    </row>
    <row r="185" spans="1:73" x14ac:dyDescent="0.2">
      <c r="A185" s="87" t="str">
        <f>'Etape 2'!A182</f>
        <v/>
      </c>
      <c r="B185" s="87">
        <f>'Etape 2'!B182</f>
        <v>170</v>
      </c>
      <c r="C185" s="87">
        <f ca="1">'Etape 2'!C182</f>
        <v>131</v>
      </c>
      <c r="D185" s="87"/>
      <c r="E185" s="61">
        <f ca="1">RANK(BU185,BU$16:BU$315,0)+COUNTIF(BU$16:BU185,BU185)-1</f>
        <v>131</v>
      </c>
      <c r="F185" s="87" t="str">
        <f>'Etape 2'!D182</f>
        <v/>
      </c>
      <c r="G185" s="87" t="str">
        <f>'Etape 2'!E182</f>
        <v/>
      </c>
      <c r="H185" s="87" t="str">
        <f>'Etape 2'!F182</f>
        <v/>
      </c>
      <c r="I185" s="87" t="str">
        <f>'Etape 2'!G182</f>
        <v/>
      </c>
      <c r="J185" s="87" t="str">
        <f>'Etape 2'!H182</f>
        <v/>
      </c>
      <c r="K185" s="87" t="str">
        <f>'Etape 2'!I182</f>
        <v/>
      </c>
      <c r="L185" s="87">
        <f ca="1">'Etape 2'!J182</f>
        <v>999999</v>
      </c>
      <c r="M185" s="87">
        <f>'Etape 2'!K182</f>
        <v>999</v>
      </c>
      <c r="N185" s="87">
        <f ca="1">'Etape 2'!L182</f>
        <v>170</v>
      </c>
      <c r="O185" s="259">
        <f t="shared" si="159"/>
        <v>0.3</v>
      </c>
      <c r="P185" s="259">
        <f t="shared" si="160"/>
        <v>1.1000000000000001</v>
      </c>
      <c r="Q185" s="260">
        <f t="shared" si="161"/>
        <v>0</v>
      </c>
      <c r="R185" s="261">
        <f t="shared" si="187"/>
        <v>0</v>
      </c>
      <c r="S185" s="87">
        <f>IF(ISBLANK('Etape 2'!N182),0,VLOOKUP('Etape 2'!N182,Matrix_Uebersetzung,2,FALSE))</f>
        <v>0</v>
      </c>
      <c r="T185" s="87">
        <f>IF(ISBLANK('Etape 2'!O182),0,VLOOKUP('Etape 2'!O182,Matrix_Uebersetzung,2,FALSE))</f>
        <v>0</v>
      </c>
      <c r="U185" s="87">
        <f>IF(ISBLANK('Etape 2'!P182),0,VLOOKUP('Etape 2'!P182,Matrix_Uebersetzung,2,FALSE))</f>
        <v>0</v>
      </c>
      <c r="V185" s="87" t="str">
        <f>'Etape 2'!Q182</f>
        <v/>
      </c>
      <c r="W185" s="87">
        <f>'Etape 2'!R182</f>
        <v>0</v>
      </c>
      <c r="X185" s="87" t="str">
        <f>'Etape 2'!S182</f>
        <v/>
      </c>
      <c r="Y185" s="89" t="str">
        <f>'Etape 2'!T182</f>
        <v/>
      </c>
      <c r="Z185" s="87">
        <f>'Etape 2'!U182</f>
        <v>0</v>
      </c>
      <c r="AA185" s="87" t="str">
        <f>'Etape 2'!V182</f>
        <v/>
      </c>
      <c r="AB185" s="87">
        <f>IF(ISNUMBER('Etape 2'!W182),'Etape 2'!W182,0)</f>
        <v>0</v>
      </c>
      <c r="AC185" s="87">
        <f>IF(ISNUMBER('Etape 2'!X182),'Etape 2'!X182,0)</f>
        <v>0</v>
      </c>
      <c r="AD185" s="87">
        <f>IF(ISNUMBER('Etape 2'!Y182),'Etape 2'!Y182,0)</f>
        <v>0</v>
      </c>
      <c r="AE185" s="87">
        <f>IF(ISNUMBER('Etape 2'!Z182),'Etape 2'!Z182,0)</f>
        <v>0</v>
      </c>
      <c r="AF185" s="86">
        <f t="shared" si="177"/>
        <v>999</v>
      </c>
      <c r="AG185" s="288">
        <f t="shared" si="178"/>
        <v>0.25</v>
      </c>
      <c r="AH185" s="181" t="e">
        <f t="shared" si="162"/>
        <v>#VALUE!</v>
      </c>
      <c r="AI185" s="181" t="e">
        <f t="shared" si="190"/>
        <v>#VALUE!</v>
      </c>
      <c r="AJ185" s="86">
        <f t="shared" si="163"/>
        <v>200</v>
      </c>
      <c r="AK185" s="91" t="e">
        <f t="shared" si="164"/>
        <v>#N/A</v>
      </c>
      <c r="AL185" s="91" t="e">
        <f t="shared" si="191"/>
        <v>#N/A</v>
      </c>
      <c r="AM185" s="91">
        <f t="shared" si="109"/>
        <v>6</v>
      </c>
      <c r="AN185" s="91" t="e">
        <f t="shared" si="192"/>
        <v>#N/A</v>
      </c>
      <c r="AO185" s="91" t="e">
        <f t="shared" si="193"/>
        <v>#N/A</v>
      </c>
      <c r="AP185" s="21" t="e">
        <f t="shared" si="194"/>
        <v>#N/A</v>
      </c>
      <c r="AQ185" s="21" t="e">
        <f t="shared" si="195"/>
        <v>#N/A</v>
      </c>
      <c r="AR185" s="92" t="str">
        <f t="shared" si="179"/>
        <v/>
      </c>
      <c r="AS185" s="21" t="str">
        <f t="shared" si="180"/>
        <v/>
      </c>
      <c r="AT185" s="59" t="str">
        <f t="shared" si="165"/>
        <v/>
      </c>
      <c r="AU185" s="105">
        <f t="shared" si="113"/>
        <v>1</v>
      </c>
      <c r="AV185" s="105">
        <f t="shared" si="196"/>
        <v>1</v>
      </c>
      <c r="AW185" s="58">
        <f t="shared" si="197"/>
        <v>2</v>
      </c>
      <c r="AX185" s="58">
        <f t="shared" si="198"/>
        <v>3</v>
      </c>
      <c r="AY185" s="58" t="str">
        <f t="shared" si="199"/>
        <v>avec vannes</v>
      </c>
      <c r="AZ185" s="58" t="str">
        <f t="shared" si="200"/>
        <v>fermé</v>
      </c>
      <c r="BA185" s="60">
        <f t="shared" si="189"/>
        <v>0</v>
      </c>
      <c r="BB185" s="60">
        <f t="shared" si="189"/>
        <v>0</v>
      </c>
      <c r="BC185" s="60">
        <f t="shared" si="189"/>
        <v>0</v>
      </c>
      <c r="BD185" s="60">
        <f t="shared" si="189"/>
        <v>0</v>
      </c>
      <c r="BE185" s="286" t="str">
        <f t="shared" si="166"/>
        <v/>
      </c>
      <c r="BF185" s="58" t="str">
        <f t="shared" si="181"/>
        <v/>
      </c>
      <c r="BG185" s="59" t="str">
        <f t="shared" si="167"/>
        <v/>
      </c>
      <c r="BH185" s="158">
        <f t="shared" ca="1" si="168"/>
        <v>1</v>
      </c>
      <c r="BI185" s="60">
        <f t="shared" ca="1" si="169"/>
        <v>0.15</v>
      </c>
      <c r="BJ185" s="60">
        <f t="shared" si="170"/>
        <v>0.2</v>
      </c>
      <c r="BK185" s="60" t="str">
        <f t="shared" si="182"/>
        <v/>
      </c>
      <c r="BL185" s="21" t="str">
        <f t="shared" si="183"/>
        <v/>
      </c>
      <c r="BM185" s="264" t="str">
        <f t="shared" si="171"/>
        <v/>
      </c>
      <c r="BN185" s="60" t="str">
        <f t="shared" si="184"/>
        <v/>
      </c>
      <c r="BO185" s="136">
        <f t="shared" si="185"/>
        <v>0</v>
      </c>
      <c r="BP185" s="59">
        <f t="shared" si="186"/>
        <v>0</v>
      </c>
      <c r="BQ185" s="136">
        <f t="shared" ca="1" si="172"/>
        <v>1370</v>
      </c>
      <c r="BR185" s="136">
        <f t="shared" ca="1" si="173"/>
        <v>1000.5647840531561</v>
      </c>
      <c r="BS185" s="136">
        <f t="shared" ca="1" si="174"/>
        <v>1468800.5647840532</v>
      </c>
      <c r="BT185" s="136">
        <f t="shared" ca="1" si="175"/>
        <v>313875.48750981234</v>
      </c>
      <c r="BU185" s="136">
        <f t="shared" ca="1" si="176"/>
        <v>1000.5647840531561</v>
      </c>
    </row>
    <row r="186" spans="1:73" x14ac:dyDescent="0.2">
      <c r="A186" s="87" t="str">
        <f>'Etape 2'!A183</f>
        <v/>
      </c>
      <c r="B186" s="87">
        <f>'Etape 2'!B183</f>
        <v>171</v>
      </c>
      <c r="C186" s="87">
        <f ca="1">'Etape 2'!C183</f>
        <v>130</v>
      </c>
      <c r="D186" s="87"/>
      <c r="E186" s="61">
        <f ca="1">RANK(BU186,BU$16:BU$315,0)+COUNTIF(BU$16:BU186,BU186)-1</f>
        <v>130</v>
      </c>
      <c r="F186" s="87" t="str">
        <f>'Etape 2'!D183</f>
        <v/>
      </c>
      <c r="G186" s="87" t="str">
        <f>'Etape 2'!E183</f>
        <v/>
      </c>
      <c r="H186" s="87" t="str">
        <f>'Etape 2'!F183</f>
        <v/>
      </c>
      <c r="I186" s="87" t="str">
        <f>'Etape 2'!G183</f>
        <v/>
      </c>
      <c r="J186" s="87" t="str">
        <f>'Etape 2'!H183</f>
        <v/>
      </c>
      <c r="K186" s="87" t="str">
        <f>'Etape 2'!I183</f>
        <v/>
      </c>
      <c r="L186" s="87">
        <f ca="1">'Etape 2'!J183</f>
        <v>999999</v>
      </c>
      <c r="M186" s="87">
        <f>'Etape 2'!K183</f>
        <v>999</v>
      </c>
      <c r="N186" s="87">
        <f ca="1">'Etape 2'!L183</f>
        <v>171</v>
      </c>
      <c r="O186" s="259">
        <f t="shared" si="159"/>
        <v>0.3</v>
      </c>
      <c r="P186" s="259">
        <f t="shared" si="160"/>
        <v>1.1000000000000001</v>
      </c>
      <c r="Q186" s="260">
        <f t="shared" si="161"/>
        <v>0</v>
      </c>
      <c r="R186" s="261">
        <f t="shared" si="187"/>
        <v>0</v>
      </c>
      <c r="S186" s="87">
        <f>IF(ISBLANK('Etape 2'!N183),0,VLOOKUP('Etape 2'!N183,Matrix_Uebersetzung,2,FALSE))</f>
        <v>0</v>
      </c>
      <c r="T186" s="87">
        <f>IF(ISBLANK('Etape 2'!O183),0,VLOOKUP('Etape 2'!O183,Matrix_Uebersetzung,2,FALSE))</f>
        <v>0</v>
      </c>
      <c r="U186" s="87">
        <f>IF(ISBLANK('Etape 2'!P183),0,VLOOKUP('Etape 2'!P183,Matrix_Uebersetzung,2,FALSE))</f>
        <v>0</v>
      </c>
      <c r="V186" s="87" t="str">
        <f>'Etape 2'!Q183</f>
        <v/>
      </c>
      <c r="W186" s="87">
        <f>'Etape 2'!R183</f>
        <v>0</v>
      </c>
      <c r="X186" s="87" t="str">
        <f>'Etape 2'!S183</f>
        <v/>
      </c>
      <c r="Y186" s="89" t="str">
        <f>'Etape 2'!T183</f>
        <v/>
      </c>
      <c r="Z186" s="87">
        <f>'Etape 2'!U183</f>
        <v>0</v>
      </c>
      <c r="AA186" s="87" t="str">
        <f>'Etape 2'!V183</f>
        <v/>
      </c>
      <c r="AB186" s="87">
        <f>IF(ISNUMBER('Etape 2'!W183),'Etape 2'!W183,0)</f>
        <v>0</v>
      </c>
      <c r="AC186" s="87">
        <f>IF(ISNUMBER('Etape 2'!X183),'Etape 2'!X183,0)</f>
        <v>0</v>
      </c>
      <c r="AD186" s="87">
        <f>IF(ISNUMBER('Etape 2'!Y183),'Etape 2'!Y183,0)</f>
        <v>0</v>
      </c>
      <c r="AE186" s="87">
        <f>IF(ISNUMBER('Etape 2'!Z183),'Etape 2'!Z183,0)</f>
        <v>0</v>
      </c>
      <c r="AF186" s="86">
        <f t="shared" si="177"/>
        <v>999</v>
      </c>
      <c r="AG186" s="288">
        <f t="shared" si="178"/>
        <v>0.25</v>
      </c>
      <c r="AH186" s="181" t="e">
        <f t="shared" si="162"/>
        <v>#VALUE!</v>
      </c>
      <c r="AI186" s="181" t="e">
        <f t="shared" si="190"/>
        <v>#VALUE!</v>
      </c>
      <c r="AJ186" s="86">
        <f t="shared" si="163"/>
        <v>200</v>
      </c>
      <c r="AK186" s="91" t="e">
        <f t="shared" si="164"/>
        <v>#N/A</v>
      </c>
      <c r="AL186" s="91" t="e">
        <f t="shared" si="191"/>
        <v>#N/A</v>
      </c>
      <c r="AM186" s="91">
        <f t="shared" si="109"/>
        <v>6</v>
      </c>
      <c r="AN186" s="91" t="e">
        <f t="shared" si="192"/>
        <v>#N/A</v>
      </c>
      <c r="AO186" s="91" t="e">
        <f t="shared" si="193"/>
        <v>#N/A</v>
      </c>
      <c r="AP186" s="21" t="e">
        <f t="shared" si="194"/>
        <v>#N/A</v>
      </c>
      <c r="AQ186" s="21" t="e">
        <f t="shared" si="195"/>
        <v>#N/A</v>
      </c>
      <c r="AR186" s="92" t="str">
        <f t="shared" si="179"/>
        <v/>
      </c>
      <c r="AS186" s="21" t="str">
        <f t="shared" si="180"/>
        <v/>
      </c>
      <c r="AT186" s="59" t="str">
        <f t="shared" si="165"/>
        <v/>
      </c>
      <c r="AU186" s="105">
        <f t="shared" si="113"/>
        <v>1</v>
      </c>
      <c r="AV186" s="105">
        <f t="shared" si="196"/>
        <v>1</v>
      </c>
      <c r="AW186" s="58">
        <f t="shared" si="197"/>
        <v>2</v>
      </c>
      <c r="AX186" s="58">
        <f t="shared" si="198"/>
        <v>3</v>
      </c>
      <c r="AY186" s="58" t="str">
        <f t="shared" si="199"/>
        <v>avec vannes</v>
      </c>
      <c r="AZ186" s="58" t="str">
        <f t="shared" si="200"/>
        <v>fermé</v>
      </c>
      <c r="BA186" s="60">
        <f t="shared" si="189"/>
        <v>0</v>
      </c>
      <c r="BB186" s="60">
        <f t="shared" si="189"/>
        <v>0</v>
      </c>
      <c r="BC186" s="60">
        <f t="shared" si="189"/>
        <v>0</v>
      </c>
      <c r="BD186" s="60">
        <f t="shared" si="189"/>
        <v>0</v>
      </c>
      <c r="BE186" s="286" t="str">
        <f t="shared" si="166"/>
        <v/>
      </c>
      <c r="BF186" s="58" t="str">
        <f t="shared" si="181"/>
        <v/>
      </c>
      <c r="BG186" s="59" t="str">
        <f t="shared" si="167"/>
        <v/>
      </c>
      <c r="BH186" s="158">
        <f t="shared" ca="1" si="168"/>
        <v>1</v>
      </c>
      <c r="BI186" s="60">
        <f t="shared" ca="1" si="169"/>
        <v>0.15</v>
      </c>
      <c r="BJ186" s="60">
        <f t="shared" si="170"/>
        <v>0.2</v>
      </c>
      <c r="BK186" s="60" t="str">
        <f t="shared" si="182"/>
        <v/>
      </c>
      <c r="BL186" s="21" t="str">
        <f t="shared" si="183"/>
        <v/>
      </c>
      <c r="BM186" s="264" t="str">
        <f t="shared" si="171"/>
        <v/>
      </c>
      <c r="BN186" s="60" t="str">
        <f t="shared" si="184"/>
        <v/>
      </c>
      <c r="BO186" s="136">
        <f t="shared" si="185"/>
        <v>0</v>
      </c>
      <c r="BP186" s="59">
        <f t="shared" si="186"/>
        <v>0</v>
      </c>
      <c r="BQ186" s="136">
        <f t="shared" ca="1" si="172"/>
        <v>1371</v>
      </c>
      <c r="BR186" s="136">
        <f t="shared" ca="1" si="173"/>
        <v>1000.5681063122923</v>
      </c>
      <c r="BS186" s="136">
        <f t="shared" ca="1" si="174"/>
        <v>1468800.5681063123</v>
      </c>
      <c r="BT186" s="136">
        <f t="shared" ca="1" si="175"/>
        <v>313875.49083207152</v>
      </c>
      <c r="BU186" s="136">
        <f t="shared" ca="1" si="176"/>
        <v>1000.5681063122923</v>
      </c>
    </row>
    <row r="187" spans="1:73" x14ac:dyDescent="0.2">
      <c r="A187" s="87" t="str">
        <f>'Etape 2'!A184</f>
        <v/>
      </c>
      <c r="B187" s="87">
        <f>'Etape 2'!B184</f>
        <v>172</v>
      </c>
      <c r="C187" s="87">
        <f ca="1">'Etape 2'!C184</f>
        <v>129</v>
      </c>
      <c r="D187" s="87"/>
      <c r="E187" s="61">
        <f ca="1">RANK(BU187,BU$16:BU$315,0)+COUNTIF(BU$16:BU187,BU187)-1</f>
        <v>129</v>
      </c>
      <c r="F187" s="87" t="str">
        <f>'Etape 2'!D184</f>
        <v/>
      </c>
      <c r="G187" s="87" t="str">
        <f>'Etape 2'!E184</f>
        <v/>
      </c>
      <c r="H187" s="87" t="str">
        <f>'Etape 2'!F184</f>
        <v/>
      </c>
      <c r="I187" s="87" t="str">
        <f>'Etape 2'!G184</f>
        <v/>
      </c>
      <c r="J187" s="87" t="str">
        <f>'Etape 2'!H184</f>
        <v/>
      </c>
      <c r="K187" s="87" t="str">
        <f>'Etape 2'!I184</f>
        <v/>
      </c>
      <c r="L187" s="87">
        <f ca="1">'Etape 2'!J184</f>
        <v>999999</v>
      </c>
      <c r="M187" s="87">
        <f>'Etape 2'!K184</f>
        <v>999</v>
      </c>
      <c r="N187" s="87">
        <f ca="1">'Etape 2'!L184</f>
        <v>172</v>
      </c>
      <c r="O187" s="259">
        <f t="shared" si="159"/>
        <v>0.3</v>
      </c>
      <c r="P187" s="259">
        <f t="shared" si="160"/>
        <v>1.1000000000000001</v>
      </c>
      <c r="Q187" s="260">
        <f t="shared" si="161"/>
        <v>0</v>
      </c>
      <c r="R187" s="261">
        <f t="shared" si="187"/>
        <v>0</v>
      </c>
      <c r="S187" s="87">
        <f>IF(ISBLANK('Etape 2'!N184),0,VLOOKUP('Etape 2'!N184,Matrix_Uebersetzung,2,FALSE))</f>
        <v>0</v>
      </c>
      <c r="T187" s="87">
        <f>IF(ISBLANK('Etape 2'!O184),0,VLOOKUP('Etape 2'!O184,Matrix_Uebersetzung,2,FALSE))</f>
        <v>0</v>
      </c>
      <c r="U187" s="87">
        <f>IF(ISBLANK('Etape 2'!P184),0,VLOOKUP('Etape 2'!P184,Matrix_Uebersetzung,2,FALSE))</f>
        <v>0</v>
      </c>
      <c r="V187" s="87" t="str">
        <f>'Etape 2'!Q184</f>
        <v/>
      </c>
      <c r="W187" s="87">
        <f>'Etape 2'!R184</f>
        <v>0</v>
      </c>
      <c r="X187" s="87" t="str">
        <f>'Etape 2'!S184</f>
        <v/>
      </c>
      <c r="Y187" s="89" t="str">
        <f>'Etape 2'!T184</f>
        <v/>
      </c>
      <c r="Z187" s="87">
        <f>'Etape 2'!U184</f>
        <v>0</v>
      </c>
      <c r="AA187" s="87" t="str">
        <f>'Etape 2'!V184</f>
        <v/>
      </c>
      <c r="AB187" s="87">
        <f>IF(ISNUMBER('Etape 2'!W184),'Etape 2'!W184,0)</f>
        <v>0</v>
      </c>
      <c r="AC187" s="87">
        <f>IF(ISNUMBER('Etape 2'!X184),'Etape 2'!X184,0)</f>
        <v>0</v>
      </c>
      <c r="AD187" s="87">
        <f>IF(ISNUMBER('Etape 2'!Y184),'Etape 2'!Y184,0)</f>
        <v>0</v>
      </c>
      <c r="AE187" s="87">
        <f>IF(ISNUMBER('Etape 2'!Z184),'Etape 2'!Z184,0)</f>
        <v>0</v>
      </c>
      <c r="AF187" s="86">
        <f t="shared" si="177"/>
        <v>999</v>
      </c>
      <c r="AG187" s="288">
        <f t="shared" si="178"/>
        <v>0.25</v>
      </c>
      <c r="AH187" s="181" t="e">
        <f t="shared" si="162"/>
        <v>#VALUE!</v>
      </c>
      <c r="AI187" s="181" t="e">
        <f t="shared" si="190"/>
        <v>#VALUE!</v>
      </c>
      <c r="AJ187" s="86">
        <f t="shared" si="163"/>
        <v>200</v>
      </c>
      <c r="AK187" s="91" t="e">
        <f t="shared" si="164"/>
        <v>#N/A</v>
      </c>
      <c r="AL187" s="91" t="e">
        <f t="shared" si="191"/>
        <v>#N/A</v>
      </c>
      <c r="AM187" s="91">
        <f t="shared" si="109"/>
        <v>6</v>
      </c>
      <c r="AN187" s="91" t="e">
        <f t="shared" si="192"/>
        <v>#N/A</v>
      </c>
      <c r="AO187" s="91" t="e">
        <f t="shared" si="193"/>
        <v>#N/A</v>
      </c>
      <c r="AP187" s="21" t="e">
        <f t="shared" si="194"/>
        <v>#N/A</v>
      </c>
      <c r="AQ187" s="21" t="e">
        <f t="shared" si="195"/>
        <v>#N/A</v>
      </c>
      <c r="AR187" s="92" t="str">
        <f t="shared" si="179"/>
        <v/>
      </c>
      <c r="AS187" s="21" t="str">
        <f t="shared" si="180"/>
        <v/>
      </c>
      <c r="AT187" s="59" t="str">
        <f t="shared" si="165"/>
        <v/>
      </c>
      <c r="AU187" s="105">
        <f t="shared" si="113"/>
        <v>1</v>
      </c>
      <c r="AV187" s="105">
        <f t="shared" si="196"/>
        <v>1</v>
      </c>
      <c r="AW187" s="58">
        <f t="shared" si="197"/>
        <v>2</v>
      </c>
      <c r="AX187" s="58">
        <f t="shared" si="198"/>
        <v>3</v>
      </c>
      <c r="AY187" s="58" t="str">
        <f t="shared" si="199"/>
        <v>avec vannes</v>
      </c>
      <c r="AZ187" s="58" t="str">
        <f t="shared" si="200"/>
        <v>fermé</v>
      </c>
      <c r="BA187" s="60">
        <f t="shared" si="189"/>
        <v>0</v>
      </c>
      <c r="BB187" s="60">
        <f t="shared" si="189"/>
        <v>0</v>
      </c>
      <c r="BC187" s="60">
        <f t="shared" si="189"/>
        <v>0</v>
      </c>
      <c r="BD187" s="60">
        <f t="shared" si="189"/>
        <v>0</v>
      </c>
      <c r="BE187" s="286" t="str">
        <f t="shared" si="166"/>
        <v/>
      </c>
      <c r="BF187" s="58" t="str">
        <f t="shared" si="181"/>
        <v/>
      </c>
      <c r="BG187" s="59" t="str">
        <f t="shared" si="167"/>
        <v/>
      </c>
      <c r="BH187" s="158">
        <f t="shared" ca="1" si="168"/>
        <v>1</v>
      </c>
      <c r="BI187" s="60">
        <f t="shared" ca="1" si="169"/>
        <v>0.15</v>
      </c>
      <c r="BJ187" s="60">
        <f t="shared" si="170"/>
        <v>0.2</v>
      </c>
      <c r="BK187" s="60" t="str">
        <f t="shared" si="182"/>
        <v/>
      </c>
      <c r="BL187" s="21" t="str">
        <f t="shared" si="183"/>
        <v/>
      </c>
      <c r="BM187" s="264" t="str">
        <f t="shared" si="171"/>
        <v/>
      </c>
      <c r="BN187" s="60" t="str">
        <f t="shared" si="184"/>
        <v/>
      </c>
      <c r="BO187" s="136">
        <f t="shared" si="185"/>
        <v>0</v>
      </c>
      <c r="BP187" s="59">
        <f t="shared" si="186"/>
        <v>0</v>
      </c>
      <c r="BQ187" s="136">
        <f t="shared" ca="1" si="172"/>
        <v>1372</v>
      </c>
      <c r="BR187" s="136">
        <f t="shared" ca="1" si="173"/>
        <v>1000.5714285714286</v>
      </c>
      <c r="BS187" s="136">
        <f t="shared" ca="1" si="174"/>
        <v>1468800.5714285714</v>
      </c>
      <c r="BT187" s="136">
        <f t="shared" ca="1" si="175"/>
        <v>313875.49415433063</v>
      </c>
      <c r="BU187" s="136">
        <f t="shared" ca="1" si="176"/>
        <v>1000.5714285714286</v>
      </c>
    </row>
    <row r="188" spans="1:73" x14ac:dyDescent="0.2">
      <c r="A188" s="87" t="str">
        <f>'Etape 2'!A185</f>
        <v/>
      </c>
      <c r="B188" s="87">
        <f>'Etape 2'!B185</f>
        <v>173</v>
      </c>
      <c r="C188" s="87">
        <f ca="1">'Etape 2'!C185</f>
        <v>128</v>
      </c>
      <c r="D188" s="87"/>
      <c r="E188" s="61">
        <f ca="1">RANK(BU188,BU$16:BU$315,0)+COUNTIF(BU$16:BU188,BU188)-1</f>
        <v>128</v>
      </c>
      <c r="F188" s="87" t="str">
        <f>'Etape 2'!D185</f>
        <v/>
      </c>
      <c r="G188" s="87" t="str">
        <f>'Etape 2'!E185</f>
        <v/>
      </c>
      <c r="H188" s="87" t="str">
        <f>'Etape 2'!F185</f>
        <v/>
      </c>
      <c r="I188" s="87" t="str">
        <f>'Etape 2'!G185</f>
        <v/>
      </c>
      <c r="J188" s="87" t="str">
        <f>'Etape 2'!H185</f>
        <v/>
      </c>
      <c r="K188" s="87" t="str">
        <f>'Etape 2'!I185</f>
        <v/>
      </c>
      <c r="L188" s="87">
        <f ca="1">'Etape 2'!J185</f>
        <v>999999</v>
      </c>
      <c r="M188" s="87">
        <f>'Etape 2'!K185</f>
        <v>999</v>
      </c>
      <c r="N188" s="87">
        <f ca="1">'Etape 2'!L185</f>
        <v>173</v>
      </c>
      <c r="O188" s="259">
        <f t="shared" si="159"/>
        <v>0.3</v>
      </c>
      <c r="P188" s="259">
        <f t="shared" si="160"/>
        <v>1.1000000000000001</v>
      </c>
      <c r="Q188" s="260">
        <f t="shared" si="161"/>
        <v>0</v>
      </c>
      <c r="R188" s="261">
        <f t="shared" si="187"/>
        <v>0</v>
      </c>
      <c r="S188" s="87">
        <f>IF(ISBLANK('Etape 2'!N185),0,VLOOKUP('Etape 2'!N185,Matrix_Uebersetzung,2,FALSE))</f>
        <v>0</v>
      </c>
      <c r="T188" s="87">
        <f>IF(ISBLANK('Etape 2'!O185),0,VLOOKUP('Etape 2'!O185,Matrix_Uebersetzung,2,FALSE))</f>
        <v>0</v>
      </c>
      <c r="U188" s="87">
        <f>IF(ISBLANK('Etape 2'!P185),0,VLOOKUP('Etape 2'!P185,Matrix_Uebersetzung,2,FALSE))</f>
        <v>0</v>
      </c>
      <c r="V188" s="87" t="str">
        <f>'Etape 2'!Q185</f>
        <v/>
      </c>
      <c r="W188" s="87">
        <f>'Etape 2'!R185</f>
        <v>0</v>
      </c>
      <c r="X188" s="87" t="str">
        <f>'Etape 2'!S185</f>
        <v/>
      </c>
      <c r="Y188" s="89" t="str">
        <f>'Etape 2'!T185</f>
        <v/>
      </c>
      <c r="Z188" s="87">
        <f>'Etape 2'!U185</f>
        <v>0</v>
      </c>
      <c r="AA188" s="87" t="str">
        <f>'Etape 2'!V185</f>
        <v/>
      </c>
      <c r="AB188" s="87">
        <f>IF(ISNUMBER('Etape 2'!W185),'Etape 2'!W185,0)</f>
        <v>0</v>
      </c>
      <c r="AC188" s="87">
        <f>IF(ISNUMBER('Etape 2'!X185),'Etape 2'!X185,0)</f>
        <v>0</v>
      </c>
      <c r="AD188" s="87">
        <f>IF(ISNUMBER('Etape 2'!Y185),'Etape 2'!Y185,0)</f>
        <v>0</v>
      </c>
      <c r="AE188" s="87">
        <f>IF(ISNUMBER('Etape 2'!Z185),'Etape 2'!Z185,0)</f>
        <v>0</v>
      </c>
      <c r="AF188" s="86">
        <f t="shared" si="177"/>
        <v>999</v>
      </c>
      <c r="AG188" s="288">
        <f t="shared" si="178"/>
        <v>0.25</v>
      </c>
      <c r="AH188" s="181" t="e">
        <f t="shared" si="162"/>
        <v>#VALUE!</v>
      </c>
      <c r="AI188" s="181" t="e">
        <f t="shared" si="190"/>
        <v>#VALUE!</v>
      </c>
      <c r="AJ188" s="86">
        <f t="shared" si="163"/>
        <v>200</v>
      </c>
      <c r="AK188" s="91" t="e">
        <f t="shared" si="164"/>
        <v>#N/A</v>
      </c>
      <c r="AL188" s="91" t="e">
        <f t="shared" si="191"/>
        <v>#N/A</v>
      </c>
      <c r="AM188" s="91">
        <f t="shared" si="109"/>
        <v>6</v>
      </c>
      <c r="AN188" s="91" t="e">
        <f t="shared" si="192"/>
        <v>#N/A</v>
      </c>
      <c r="AO188" s="91" t="e">
        <f t="shared" si="193"/>
        <v>#N/A</v>
      </c>
      <c r="AP188" s="21" t="e">
        <f t="shared" si="194"/>
        <v>#N/A</v>
      </c>
      <c r="AQ188" s="21" t="e">
        <f t="shared" si="195"/>
        <v>#N/A</v>
      </c>
      <c r="AR188" s="92" t="str">
        <f t="shared" si="179"/>
        <v/>
      </c>
      <c r="AS188" s="21" t="str">
        <f t="shared" si="180"/>
        <v/>
      </c>
      <c r="AT188" s="59" t="str">
        <f t="shared" si="165"/>
        <v/>
      </c>
      <c r="AU188" s="105">
        <f t="shared" si="113"/>
        <v>1</v>
      </c>
      <c r="AV188" s="105">
        <f t="shared" si="196"/>
        <v>1</v>
      </c>
      <c r="AW188" s="58">
        <f t="shared" si="197"/>
        <v>2</v>
      </c>
      <c r="AX188" s="58">
        <f t="shared" si="198"/>
        <v>3</v>
      </c>
      <c r="AY188" s="58" t="str">
        <f t="shared" si="199"/>
        <v>avec vannes</v>
      </c>
      <c r="AZ188" s="58" t="str">
        <f t="shared" si="200"/>
        <v>fermé</v>
      </c>
      <c r="BA188" s="60">
        <f t="shared" si="189"/>
        <v>0</v>
      </c>
      <c r="BB188" s="60">
        <f t="shared" si="189"/>
        <v>0</v>
      </c>
      <c r="BC188" s="60">
        <f t="shared" si="189"/>
        <v>0</v>
      </c>
      <c r="BD188" s="60">
        <f t="shared" si="189"/>
        <v>0</v>
      </c>
      <c r="BE188" s="286" t="str">
        <f t="shared" si="166"/>
        <v/>
      </c>
      <c r="BF188" s="58" t="str">
        <f t="shared" si="181"/>
        <v/>
      </c>
      <c r="BG188" s="59" t="str">
        <f t="shared" si="167"/>
        <v/>
      </c>
      <c r="BH188" s="158">
        <f t="shared" ca="1" si="168"/>
        <v>1</v>
      </c>
      <c r="BI188" s="60">
        <f t="shared" ca="1" si="169"/>
        <v>0.15</v>
      </c>
      <c r="BJ188" s="60">
        <f t="shared" si="170"/>
        <v>0.2</v>
      </c>
      <c r="BK188" s="60" t="str">
        <f t="shared" si="182"/>
        <v/>
      </c>
      <c r="BL188" s="21" t="str">
        <f t="shared" si="183"/>
        <v/>
      </c>
      <c r="BM188" s="264" t="str">
        <f t="shared" si="171"/>
        <v/>
      </c>
      <c r="BN188" s="60" t="str">
        <f t="shared" si="184"/>
        <v/>
      </c>
      <c r="BO188" s="136">
        <f t="shared" si="185"/>
        <v>0</v>
      </c>
      <c r="BP188" s="59">
        <f t="shared" si="186"/>
        <v>0</v>
      </c>
      <c r="BQ188" s="136">
        <f t="shared" ca="1" si="172"/>
        <v>1373</v>
      </c>
      <c r="BR188" s="136">
        <f t="shared" ca="1" si="173"/>
        <v>1000.5747508305648</v>
      </c>
      <c r="BS188" s="136">
        <f t="shared" ca="1" si="174"/>
        <v>1468800.5747508307</v>
      </c>
      <c r="BT188" s="136">
        <f t="shared" ca="1" si="175"/>
        <v>313875.49747658975</v>
      </c>
      <c r="BU188" s="136">
        <f t="shared" ca="1" si="176"/>
        <v>1000.5747508305648</v>
      </c>
    </row>
    <row r="189" spans="1:73" x14ac:dyDescent="0.2">
      <c r="A189" s="87" t="str">
        <f>'Etape 2'!A186</f>
        <v/>
      </c>
      <c r="B189" s="87">
        <f>'Etape 2'!B186</f>
        <v>174</v>
      </c>
      <c r="C189" s="87">
        <f ca="1">'Etape 2'!C186</f>
        <v>127</v>
      </c>
      <c r="D189" s="87"/>
      <c r="E189" s="61">
        <f ca="1">RANK(BU189,BU$16:BU$315,0)+COUNTIF(BU$16:BU189,BU189)-1</f>
        <v>127</v>
      </c>
      <c r="F189" s="87" t="str">
        <f>'Etape 2'!D186</f>
        <v/>
      </c>
      <c r="G189" s="87" t="str">
        <f>'Etape 2'!E186</f>
        <v/>
      </c>
      <c r="H189" s="87" t="str">
        <f>'Etape 2'!F186</f>
        <v/>
      </c>
      <c r="I189" s="87" t="str">
        <f>'Etape 2'!G186</f>
        <v/>
      </c>
      <c r="J189" s="87" t="str">
        <f>'Etape 2'!H186</f>
        <v/>
      </c>
      <c r="K189" s="87" t="str">
        <f>'Etape 2'!I186</f>
        <v/>
      </c>
      <c r="L189" s="87">
        <f ca="1">'Etape 2'!J186</f>
        <v>999999</v>
      </c>
      <c r="M189" s="87">
        <f>'Etape 2'!K186</f>
        <v>999</v>
      </c>
      <c r="N189" s="87">
        <f ca="1">'Etape 2'!L186</f>
        <v>174</v>
      </c>
      <c r="O189" s="259">
        <f t="shared" si="159"/>
        <v>0.3</v>
      </c>
      <c r="P189" s="259">
        <f t="shared" si="160"/>
        <v>1.1000000000000001</v>
      </c>
      <c r="Q189" s="260">
        <f t="shared" si="161"/>
        <v>0</v>
      </c>
      <c r="R189" s="261">
        <f t="shared" si="187"/>
        <v>0</v>
      </c>
      <c r="S189" s="87">
        <f>IF(ISBLANK('Etape 2'!N186),0,VLOOKUP('Etape 2'!N186,Matrix_Uebersetzung,2,FALSE))</f>
        <v>0</v>
      </c>
      <c r="T189" s="87">
        <f>IF(ISBLANK('Etape 2'!O186),0,VLOOKUP('Etape 2'!O186,Matrix_Uebersetzung,2,FALSE))</f>
        <v>0</v>
      </c>
      <c r="U189" s="87">
        <f>IF(ISBLANK('Etape 2'!P186),0,VLOOKUP('Etape 2'!P186,Matrix_Uebersetzung,2,FALSE))</f>
        <v>0</v>
      </c>
      <c r="V189" s="87" t="str">
        <f>'Etape 2'!Q186</f>
        <v/>
      </c>
      <c r="W189" s="87">
        <f>'Etape 2'!R186</f>
        <v>0</v>
      </c>
      <c r="X189" s="87" t="str">
        <f>'Etape 2'!S186</f>
        <v/>
      </c>
      <c r="Y189" s="89" t="str">
        <f>'Etape 2'!T186</f>
        <v/>
      </c>
      <c r="Z189" s="87">
        <f>'Etape 2'!U186</f>
        <v>0</v>
      </c>
      <c r="AA189" s="87" t="str">
        <f>'Etape 2'!V186</f>
        <v/>
      </c>
      <c r="AB189" s="87">
        <f>IF(ISNUMBER('Etape 2'!W186),'Etape 2'!W186,0)</f>
        <v>0</v>
      </c>
      <c r="AC189" s="87">
        <f>IF(ISNUMBER('Etape 2'!X186),'Etape 2'!X186,0)</f>
        <v>0</v>
      </c>
      <c r="AD189" s="87">
        <f>IF(ISNUMBER('Etape 2'!Y186),'Etape 2'!Y186,0)</f>
        <v>0</v>
      </c>
      <c r="AE189" s="87">
        <f>IF(ISNUMBER('Etape 2'!Z186),'Etape 2'!Z186,0)</f>
        <v>0</v>
      </c>
      <c r="AF189" s="86">
        <f t="shared" si="177"/>
        <v>999</v>
      </c>
      <c r="AG189" s="288">
        <f t="shared" si="178"/>
        <v>0.25</v>
      </c>
      <c r="AH189" s="181" t="e">
        <f t="shared" si="162"/>
        <v>#VALUE!</v>
      </c>
      <c r="AI189" s="181" t="e">
        <f t="shared" si="190"/>
        <v>#VALUE!</v>
      </c>
      <c r="AJ189" s="86">
        <f t="shared" si="163"/>
        <v>200</v>
      </c>
      <c r="AK189" s="91" t="e">
        <f t="shared" si="164"/>
        <v>#N/A</v>
      </c>
      <c r="AL189" s="91" t="e">
        <f t="shared" si="191"/>
        <v>#N/A</v>
      </c>
      <c r="AM189" s="91">
        <f t="shared" si="109"/>
        <v>6</v>
      </c>
      <c r="AN189" s="91" t="e">
        <f t="shared" si="192"/>
        <v>#N/A</v>
      </c>
      <c r="AO189" s="91" t="e">
        <f t="shared" si="193"/>
        <v>#N/A</v>
      </c>
      <c r="AP189" s="21" t="e">
        <f t="shared" si="194"/>
        <v>#N/A</v>
      </c>
      <c r="AQ189" s="21" t="e">
        <f t="shared" si="195"/>
        <v>#N/A</v>
      </c>
      <c r="AR189" s="92" t="str">
        <f t="shared" si="179"/>
        <v/>
      </c>
      <c r="AS189" s="21" t="str">
        <f t="shared" si="180"/>
        <v/>
      </c>
      <c r="AT189" s="59" t="str">
        <f t="shared" si="165"/>
        <v/>
      </c>
      <c r="AU189" s="105">
        <f t="shared" si="113"/>
        <v>1</v>
      </c>
      <c r="AV189" s="105">
        <f t="shared" si="196"/>
        <v>1</v>
      </c>
      <c r="AW189" s="58">
        <f t="shared" si="197"/>
        <v>2</v>
      </c>
      <c r="AX189" s="58">
        <f t="shared" si="198"/>
        <v>3</v>
      </c>
      <c r="AY189" s="58" t="str">
        <f t="shared" si="199"/>
        <v>avec vannes</v>
      </c>
      <c r="AZ189" s="58" t="str">
        <f t="shared" si="200"/>
        <v>fermé</v>
      </c>
      <c r="BA189" s="60">
        <f t="shared" si="189"/>
        <v>0</v>
      </c>
      <c r="BB189" s="60">
        <f t="shared" si="189"/>
        <v>0</v>
      </c>
      <c r="BC189" s="60">
        <f t="shared" si="189"/>
        <v>0</v>
      </c>
      <c r="BD189" s="60">
        <f t="shared" si="189"/>
        <v>0</v>
      </c>
      <c r="BE189" s="286" t="str">
        <f t="shared" si="166"/>
        <v/>
      </c>
      <c r="BF189" s="58" t="str">
        <f t="shared" si="181"/>
        <v/>
      </c>
      <c r="BG189" s="59" t="str">
        <f t="shared" si="167"/>
        <v/>
      </c>
      <c r="BH189" s="158">
        <f t="shared" ca="1" si="168"/>
        <v>1</v>
      </c>
      <c r="BI189" s="60">
        <f t="shared" ca="1" si="169"/>
        <v>0.15</v>
      </c>
      <c r="BJ189" s="60">
        <f t="shared" si="170"/>
        <v>0.2</v>
      </c>
      <c r="BK189" s="60" t="str">
        <f t="shared" si="182"/>
        <v/>
      </c>
      <c r="BL189" s="21" t="str">
        <f t="shared" si="183"/>
        <v/>
      </c>
      <c r="BM189" s="264" t="str">
        <f t="shared" si="171"/>
        <v/>
      </c>
      <c r="BN189" s="60" t="str">
        <f t="shared" si="184"/>
        <v/>
      </c>
      <c r="BO189" s="136">
        <f t="shared" si="185"/>
        <v>0</v>
      </c>
      <c r="BP189" s="59">
        <f t="shared" si="186"/>
        <v>0</v>
      </c>
      <c r="BQ189" s="136">
        <f t="shared" ca="1" si="172"/>
        <v>1374</v>
      </c>
      <c r="BR189" s="136">
        <f t="shared" ca="1" si="173"/>
        <v>1000.578073089701</v>
      </c>
      <c r="BS189" s="136">
        <f t="shared" ca="1" si="174"/>
        <v>1468800.5780730897</v>
      </c>
      <c r="BT189" s="136">
        <f t="shared" ca="1" si="175"/>
        <v>313875.50079884892</v>
      </c>
      <c r="BU189" s="136">
        <f t="shared" ca="1" si="176"/>
        <v>1000.578073089701</v>
      </c>
    </row>
    <row r="190" spans="1:73" x14ac:dyDescent="0.2">
      <c r="A190" s="87" t="str">
        <f>'Etape 2'!A187</f>
        <v/>
      </c>
      <c r="B190" s="87">
        <f>'Etape 2'!B187</f>
        <v>175</v>
      </c>
      <c r="C190" s="87">
        <f ca="1">'Etape 2'!C187</f>
        <v>126</v>
      </c>
      <c r="D190" s="87"/>
      <c r="E190" s="61">
        <f ca="1">RANK(BU190,BU$16:BU$315,0)+COUNTIF(BU$16:BU190,BU190)-1</f>
        <v>126</v>
      </c>
      <c r="F190" s="87" t="str">
        <f>'Etape 2'!D187</f>
        <v/>
      </c>
      <c r="G190" s="87" t="str">
        <f>'Etape 2'!E187</f>
        <v/>
      </c>
      <c r="H190" s="87" t="str">
        <f>'Etape 2'!F187</f>
        <v/>
      </c>
      <c r="I190" s="87" t="str">
        <f>'Etape 2'!G187</f>
        <v/>
      </c>
      <c r="J190" s="87" t="str">
        <f>'Etape 2'!H187</f>
        <v/>
      </c>
      <c r="K190" s="87" t="str">
        <f>'Etape 2'!I187</f>
        <v/>
      </c>
      <c r="L190" s="87">
        <f ca="1">'Etape 2'!J187</f>
        <v>999999</v>
      </c>
      <c r="M190" s="87">
        <f>'Etape 2'!K187</f>
        <v>999</v>
      </c>
      <c r="N190" s="87">
        <f ca="1">'Etape 2'!L187</f>
        <v>175</v>
      </c>
      <c r="O190" s="259">
        <f t="shared" si="159"/>
        <v>0.3</v>
      </c>
      <c r="P190" s="259">
        <f t="shared" si="160"/>
        <v>1.1000000000000001</v>
      </c>
      <c r="Q190" s="260">
        <f t="shared" si="161"/>
        <v>0</v>
      </c>
      <c r="R190" s="261">
        <f t="shared" si="187"/>
        <v>0</v>
      </c>
      <c r="S190" s="87">
        <f>IF(ISBLANK('Etape 2'!N187),0,VLOOKUP('Etape 2'!N187,Matrix_Uebersetzung,2,FALSE))</f>
        <v>0</v>
      </c>
      <c r="T190" s="87">
        <f>IF(ISBLANK('Etape 2'!O187),0,VLOOKUP('Etape 2'!O187,Matrix_Uebersetzung,2,FALSE))</f>
        <v>0</v>
      </c>
      <c r="U190" s="87">
        <f>IF(ISBLANK('Etape 2'!P187),0,VLOOKUP('Etape 2'!P187,Matrix_Uebersetzung,2,FALSE))</f>
        <v>0</v>
      </c>
      <c r="V190" s="87" t="str">
        <f>'Etape 2'!Q187</f>
        <v/>
      </c>
      <c r="W190" s="87">
        <f>'Etape 2'!R187</f>
        <v>0</v>
      </c>
      <c r="X190" s="87" t="str">
        <f>'Etape 2'!S187</f>
        <v/>
      </c>
      <c r="Y190" s="89" t="str">
        <f>'Etape 2'!T187</f>
        <v/>
      </c>
      <c r="Z190" s="87">
        <f>'Etape 2'!U187</f>
        <v>0</v>
      </c>
      <c r="AA190" s="87" t="str">
        <f>'Etape 2'!V187</f>
        <v/>
      </c>
      <c r="AB190" s="87">
        <f>IF(ISNUMBER('Etape 2'!W187),'Etape 2'!W187,0)</f>
        <v>0</v>
      </c>
      <c r="AC190" s="87">
        <f>IF(ISNUMBER('Etape 2'!X187),'Etape 2'!X187,0)</f>
        <v>0</v>
      </c>
      <c r="AD190" s="87">
        <f>IF(ISNUMBER('Etape 2'!Y187),'Etape 2'!Y187,0)</f>
        <v>0</v>
      </c>
      <c r="AE190" s="87">
        <f>IF(ISNUMBER('Etape 2'!Z187),'Etape 2'!Z187,0)</f>
        <v>0</v>
      </c>
      <c r="AF190" s="86">
        <f t="shared" si="177"/>
        <v>999</v>
      </c>
      <c r="AG190" s="288">
        <f t="shared" si="178"/>
        <v>0.25</v>
      </c>
      <c r="AH190" s="181" t="e">
        <f t="shared" si="162"/>
        <v>#VALUE!</v>
      </c>
      <c r="AI190" s="181" t="e">
        <f t="shared" si="190"/>
        <v>#VALUE!</v>
      </c>
      <c r="AJ190" s="86">
        <f t="shared" si="163"/>
        <v>200</v>
      </c>
      <c r="AK190" s="91" t="e">
        <f t="shared" si="164"/>
        <v>#N/A</v>
      </c>
      <c r="AL190" s="91" t="e">
        <f t="shared" si="191"/>
        <v>#N/A</v>
      </c>
      <c r="AM190" s="91">
        <f t="shared" si="109"/>
        <v>6</v>
      </c>
      <c r="AN190" s="91" t="e">
        <f t="shared" si="192"/>
        <v>#N/A</v>
      </c>
      <c r="AO190" s="91" t="e">
        <f t="shared" si="193"/>
        <v>#N/A</v>
      </c>
      <c r="AP190" s="21" t="e">
        <f t="shared" si="194"/>
        <v>#N/A</v>
      </c>
      <c r="AQ190" s="21" t="e">
        <f t="shared" si="195"/>
        <v>#N/A</v>
      </c>
      <c r="AR190" s="92" t="str">
        <f t="shared" si="179"/>
        <v/>
      </c>
      <c r="AS190" s="21" t="str">
        <f t="shared" si="180"/>
        <v/>
      </c>
      <c r="AT190" s="59" t="str">
        <f t="shared" si="165"/>
        <v/>
      </c>
      <c r="AU190" s="105">
        <f t="shared" si="113"/>
        <v>1</v>
      </c>
      <c r="AV190" s="105">
        <f t="shared" si="196"/>
        <v>1</v>
      </c>
      <c r="AW190" s="58">
        <f t="shared" si="197"/>
        <v>2</v>
      </c>
      <c r="AX190" s="58">
        <f t="shared" si="198"/>
        <v>3</v>
      </c>
      <c r="AY190" s="58" t="str">
        <f t="shared" si="199"/>
        <v>avec vannes</v>
      </c>
      <c r="AZ190" s="58" t="str">
        <f t="shared" si="200"/>
        <v>fermé</v>
      </c>
      <c r="BA190" s="60">
        <f t="shared" si="189"/>
        <v>0</v>
      </c>
      <c r="BB190" s="60">
        <f t="shared" si="189"/>
        <v>0</v>
      </c>
      <c r="BC190" s="60">
        <f t="shared" si="189"/>
        <v>0</v>
      </c>
      <c r="BD190" s="60">
        <f t="shared" si="189"/>
        <v>0</v>
      </c>
      <c r="BE190" s="286" t="str">
        <f t="shared" si="166"/>
        <v/>
      </c>
      <c r="BF190" s="58" t="str">
        <f t="shared" si="181"/>
        <v/>
      </c>
      <c r="BG190" s="59" t="str">
        <f t="shared" si="167"/>
        <v/>
      </c>
      <c r="BH190" s="158">
        <f t="shared" ca="1" si="168"/>
        <v>1</v>
      </c>
      <c r="BI190" s="60">
        <f t="shared" ca="1" si="169"/>
        <v>0.15</v>
      </c>
      <c r="BJ190" s="60">
        <f t="shared" si="170"/>
        <v>0.2</v>
      </c>
      <c r="BK190" s="60" t="str">
        <f t="shared" si="182"/>
        <v/>
      </c>
      <c r="BL190" s="21" t="str">
        <f t="shared" si="183"/>
        <v/>
      </c>
      <c r="BM190" s="264" t="str">
        <f t="shared" si="171"/>
        <v/>
      </c>
      <c r="BN190" s="60" t="str">
        <f t="shared" si="184"/>
        <v/>
      </c>
      <c r="BO190" s="136">
        <f t="shared" si="185"/>
        <v>0</v>
      </c>
      <c r="BP190" s="59">
        <f t="shared" si="186"/>
        <v>0</v>
      </c>
      <c r="BQ190" s="136">
        <f t="shared" ca="1" si="172"/>
        <v>1375</v>
      </c>
      <c r="BR190" s="136">
        <f t="shared" ca="1" si="173"/>
        <v>1000.5813953488372</v>
      </c>
      <c r="BS190" s="136">
        <f t="shared" ca="1" si="174"/>
        <v>1468800.5813953488</v>
      </c>
      <c r="BT190" s="136">
        <f t="shared" ca="1" si="175"/>
        <v>313875.50412110804</v>
      </c>
      <c r="BU190" s="136">
        <f t="shared" ca="1" si="176"/>
        <v>1000.5813953488372</v>
      </c>
    </row>
    <row r="191" spans="1:73" x14ac:dyDescent="0.2">
      <c r="A191" s="87" t="str">
        <f>'Etape 2'!A188</f>
        <v/>
      </c>
      <c r="B191" s="87">
        <f>'Etape 2'!B188</f>
        <v>176</v>
      </c>
      <c r="C191" s="87">
        <f ca="1">'Etape 2'!C188</f>
        <v>125</v>
      </c>
      <c r="D191" s="87"/>
      <c r="E191" s="61">
        <f ca="1">RANK(BU191,BU$16:BU$315,0)+COUNTIF(BU$16:BU191,BU191)-1</f>
        <v>125</v>
      </c>
      <c r="F191" s="87" t="str">
        <f>'Etape 2'!D188</f>
        <v/>
      </c>
      <c r="G191" s="87" t="str">
        <f>'Etape 2'!E188</f>
        <v/>
      </c>
      <c r="H191" s="87" t="str">
        <f>'Etape 2'!F188</f>
        <v/>
      </c>
      <c r="I191" s="87" t="str">
        <f>'Etape 2'!G188</f>
        <v/>
      </c>
      <c r="J191" s="87" t="str">
        <f>'Etape 2'!H188</f>
        <v/>
      </c>
      <c r="K191" s="87" t="str">
        <f>'Etape 2'!I188</f>
        <v/>
      </c>
      <c r="L191" s="87">
        <f ca="1">'Etape 2'!J188</f>
        <v>999999</v>
      </c>
      <c r="M191" s="87">
        <f>'Etape 2'!K188</f>
        <v>999</v>
      </c>
      <c r="N191" s="87">
        <f ca="1">'Etape 2'!L188</f>
        <v>176</v>
      </c>
      <c r="O191" s="259">
        <f t="shared" si="159"/>
        <v>0.3</v>
      </c>
      <c r="P191" s="259">
        <f t="shared" si="160"/>
        <v>1.1000000000000001</v>
      </c>
      <c r="Q191" s="260">
        <f t="shared" si="161"/>
        <v>0</v>
      </c>
      <c r="R191" s="261">
        <f t="shared" si="187"/>
        <v>0</v>
      </c>
      <c r="S191" s="87">
        <f>IF(ISBLANK('Etape 2'!N188),0,VLOOKUP('Etape 2'!N188,Matrix_Uebersetzung,2,FALSE))</f>
        <v>0</v>
      </c>
      <c r="T191" s="87">
        <f>IF(ISBLANK('Etape 2'!O188),0,VLOOKUP('Etape 2'!O188,Matrix_Uebersetzung,2,FALSE))</f>
        <v>0</v>
      </c>
      <c r="U191" s="87">
        <f>IF(ISBLANK('Etape 2'!P188),0,VLOOKUP('Etape 2'!P188,Matrix_Uebersetzung,2,FALSE))</f>
        <v>0</v>
      </c>
      <c r="V191" s="87" t="str">
        <f>'Etape 2'!Q188</f>
        <v/>
      </c>
      <c r="W191" s="87">
        <f>'Etape 2'!R188</f>
        <v>0</v>
      </c>
      <c r="X191" s="87" t="str">
        <f>'Etape 2'!S188</f>
        <v/>
      </c>
      <c r="Y191" s="89" t="str">
        <f>'Etape 2'!T188</f>
        <v/>
      </c>
      <c r="Z191" s="87">
        <f>'Etape 2'!U188</f>
        <v>0</v>
      </c>
      <c r="AA191" s="87" t="str">
        <f>'Etape 2'!V188</f>
        <v/>
      </c>
      <c r="AB191" s="87">
        <f>IF(ISNUMBER('Etape 2'!W188),'Etape 2'!W188,0)</f>
        <v>0</v>
      </c>
      <c r="AC191" s="87">
        <f>IF(ISNUMBER('Etape 2'!X188),'Etape 2'!X188,0)</f>
        <v>0</v>
      </c>
      <c r="AD191" s="87">
        <f>IF(ISNUMBER('Etape 2'!Y188),'Etape 2'!Y188,0)</f>
        <v>0</v>
      </c>
      <c r="AE191" s="87">
        <f>IF(ISNUMBER('Etape 2'!Z188),'Etape 2'!Z188,0)</f>
        <v>0</v>
      </c>
      <c r="AF191" s="86">
        <f t="shared" si="177"/>
        <v>999</v>
      </c>
      <c r="AG191" s="288">
        <f t="shared" si="178"/>
        <v>0.25</v>
      </c>
      <c r="AH191" s="181" t="e">
        <f t="shared" si="162"/>
        <v>#VALUE!</v>
      </c>
      <c r="AI191" s="181" t="e">
        <f t="shared" si="190"/>
        <v>#VALUE!</v>
      </c>
      <c r="AJ191" s="86">
        <f t="shared" si="163"/>
        <v>200</v>
      </c>
      <c r="AK191" s="91" t="e">
        <f t="shared" si="164"/>
        <v>#N/A</v>
      </c>
      <c r="AL191" s="91" t="e">
        <f t="shared" si="191"/>
        <v>#N/A</v>
      </c>
      <c r="AM191" s="91">
        <f t="shared" si="109"/>
        <v>6</v>
      </c>
      <c r="AN191" s="91" t="e">
        <f t="shared" si="192"/>
        <v>#N/A</v>
      </c>
      <c r="AO191" s="91" t="e">
        <f t="shared" si="193"/>
        <v>#N/A</v>
      </c>
      <c r="AP191" s="21" t="e">
        <f t="shared" si="194"/>
        <v>#N/A</v>
      </c>
      <c r="AQ191" s="21" t="e">
        <f t="shared" si="195"/>
        <v>#N/A</v>
      </c>
      <c r="AR191" s="92" t="str">
        <f t="shared" si="179"/>
        <v/>
      </c>
      <c r="AS191" s="21" t="str">
        <f t="shared" si="180"/>
        <v/>
      </c>
      <c r="AT191" s="59" t="str">
        <f t="shared" si="165"/>
        <v/>
      </c>
      <c r="AU191" s="105">
        <f t="shared" si="113"/>
        <v>1</v>
      </c>
      <c r="AV191" s="105">
        <f t="shared" si="196"/>
        <v>1</v>
      </c>
      <c r="AW191" s="58">
        <f t="shared" si="197"/>
        <v>2</v>
      </c>
      <c r="AX191" s="58">
        <f t="shared" si="198"/>
        <v>3</v>
      </c>
      <c r="AY191" s="58" t="str">
        <f t="shared" si="199"/>
        <v>avec vannes</v>
      </c>
      <c r="AZ191" s="58" t="str">
        <f t="shared" si="200"/>
        <v>fermé</v>
      </c>
      <c r="BA191" s="60">
        <f t="shared" si="189"/>
        <v>0</v>
      </c>
      <c r="BB191" s="60">
        <f t="shared" si="189"/>
        <v>0</v>
      </c>
      <c r="BC191" s="60">
        <f t="shared" si="189"/>
        <v>0</v>
      </c>
      <c r="BD191" s="60">
        <f t="shared" si="189"/>
        <v>0</v>
      </c>
      <c r="BE191" s="286" t="str">
        <f t="shared" si="166"/>
        <v/>
      </c>
      <c r="BF191" s="58" t="str">
        <f t="shared" si="181"/>
        <v/>
      </c>
      <c r="BG191" s="59" t="str">
        <f t="shared" si="167"/>
        <v/>
      </c>
      <c r="BH191" s="158">
        <f t="shared" ca="1" si="168"/>
        <v>1</v>
      </c>
      <c r="BI191" s="60">
        <f t="shared" ca="1" si="169"/>
        <v>0.15</v>
      </c>
      <c r="BJ191" s="60">
        <f t="shared" si="170"/>
        <v>0.2</v>
      </c>
      <c r="BK191" s="60" t="str">
        <f t="shared" si="182"/>
        <v/>
      </c>
      <c r="BL191" s="21" t="str">
        <f t="shared" si="183"/>
        <v/>
      </c>
      <c r="BM191" s="264" t="str">
        <f t="shared" si="171"/>
        <v/>
      </c>
      <c r="BN191" s="60" t="str">
        <f t="shared" si="184"/>
        <v/>
      </c>
      <c r="BO191" s="136">
        <f t="shared" si="185"/>
        <v>0</v>
      </c>
      <c r="BP191" s="59">
        <f t="shared" si="186"/>
        <v>0</v>
      </c>
      <c r="BQ191" s="136">
        <f t="shared" ca="1" si="172"/>
        <v>1376</v>
      </c>
      <c r="BR191" s="136">
        <f t="shared" ca="1" si="173"/>
        <v>1000.5847176079734</v>
      </c>
      <c r="BS191" s="136">
        <f t="shared" ca="1" si="174"/>
        <v>1468800.5847176081</v>
      </c>
      <c r="BT191" s="136">
        <f t="shared" ca="1" si="175"/>
        <v>313875.50744336721</v>
      </c>
      <c r="BU191" s="136">
        <f t="shared" ca="1" si="176"/>
        <v>1000.5847176079734</v>
      </c>
    </row>
    <row r="192" spans="1:73" x14ac:dyDescent="0.2">
      <c r="A192" s="87" t="str">
        <f>'Etape 2'!A189</f>
        <v/>
      </c>
      <c r="B192" s="87">
        <f>'Etape 2'!B189</f>
        <v>177</v>
      </c>
      <c r="C192" s="87">
        <f ca="1">'Etape 2'!C189</f>
        <v>124</v>
      </c>
      <c r="D192" s="87"/>
      <c r="E192" s="61">
        <f ca="1">RANK(BU192,BU$16:BU$315,0)+COUNTIF(BU$16:BU192,BU192)-1</f>
        <v>124</v>
      </c>
      <c r="F192" s="87" t="str">
        <f>'Etape 2'!D189</f>
        <v/>
      </c>
      <c r="G192" s="87" t="str">
        <f>'Etape 2'!E189</f>
        <v/>
      </c>
      <c r="H192" s="87" t="str">
        <f>'Etape 2'!F189</f>
        <v/>
      </c>
      <c r="I192" s="87" t="str">
        <f>'Etape 2'!G189</f>
        <v/>
      </c>
      <c r="J192" s="87" t="str">
        <f>'Etape 2'!H189</f>
        <v/>
      </c>
      <c r="K192" s="87" t="str">
        <f>'Etape 2'!I189</f>
        <v/>
      </c>
      <c r="L192" s="87">
        <f ca="1">'Etape 2'!J189</f>
        <v>999999</v>
      </c>
      <c r="M192" s="87">
        <f>'Etape 2'!K189</f>
        <v>999</v>
      </c>
      <c r="N192" s="87">
        <f ca="1">'Etape 2'!L189</f>
        <v>177</v>
      </c>
      <c r="O192" s="259">
        <f t="shared" si="159"/>
        <v>0.3</v>
      </c>
      <c r="P192" s="259">
        <f t="shared" si="160"/>
        <v>1.1000000000000001</v>
      </c>
      <c r="Q192" s="260">
        <f t="shared" si="161"/>
        <v>0</v>
      </c>
      <c r="R192" s="261">
        <f t="shared" si="187"/>
        <v>0</v>
      </c>
      <c r="S192" s="87">
        <f>IF(ISBLANK('Etape 2'!N189),0,VLOOKUP('Etape 2'!N189,Matrix_Uebersetzung,2,FALSE))</f>
        <v>0</v>
      </c>
      <c r="T192" s="87">
        <f>IF(ISBLANK('Etape 2'!O189),0,VLOOKUP('Etape 2'!O189,Matrix_Uebersetzung,2,FALSE))</f>
        <v>0</v>
      </c>
      <c r="U192" s="87">
        <f>IF(ISBLANK('Etape 2'!P189),0,VLOOKUP('Etape 2'!P189,Matrix_Uebersetzung,2,FALSE))</f>
        <v>0</v>
      </c>
      <c r="V192" s="87" t="str">
        <f>'Etape 2'!Q189</f>
        <v/>
      </c>
      <c r="W192" s="87">
        <f>'Etape 2'!R189</f>
        <v>0</v>
      </c>
      <c r="X192" s="87" t="str">
        <f>'Etape 2'!S189</f>
        <v/>
      </c>
      <c r="Y192" s="89" t="str">
        <f>'Etape 2'!T189</f>
        <v/>
      </c>
      <c r="Z192" s="87">
        <f>'Etape 2'!U189</f>
        <v>0</v>
      </c>
      <c r="AA192" s="87" t="str">
        <f>'Etape 2'!V189</f>
        <v/>
      </c>
      <c r="AB192" s="87">
        <f>IF(ISNUMBER('Etape 2'!W189),'Etape 2'!W189,0)</f>
        <v>0</v>
      </c>
      <c r="AC192" s="87">
        <f>IF(ISNUMBER('Etape 2'!X189),'Etape 2'!X189,0)</f>
        <v>0</v>
      </c>
      <c r="AD192" s="87">
        <f>IF(ISNUMBER('Etape 2'!Y189),'Etape 2'!Y189,0)</f>
        <v>0</v>
      </c>
      <c r="AE192" s="87">
        <f>IF(ISNUMBER('Etape 2'!Z189),'Etape 2'!Z189,0)</f>
        <v>0</v>
      </c>
      <c r="AF192" s="86">
        <f t="shared" si="177"/>
        <v>999</v>
      </c>
      <c r="AG192" s="288">
        <f t="shared" si="178"/>
        <v>0.25</v>
      </c>
      <c r="AH192" s="181" t="e">
        <f t="shared" si="162"/>
        <v>#VALUE!</v>
      </c>
      <c r="AI192" s="181" t="e">
        <f t="shared" si="190"/>
        <v>#VALUE!</v>
      </c>
      <c r="AJ192" s="86">
        <f t="shared" si="163"/>
        <v>200</v>
      </c>
      <c r="AK192" s="91" t="e">
        <f t="shared" si="164"/>
        <v>#N/A</v>
      </c>
      <c r="AL192" s="91" t="e">
        <f t="shared" si="191"/>
        <v>#N/A</v>
      </c>
      <c r="AM192" s="91">
        <f t="shared" si="109"/>
        <v>6</v>
      </c>
      <c r="AN192" s="91" t="e">
        <f t="shared" si="192"/>
        <v>#N/A</v>
      </c>
      <c r="AO192" s="91" t="e">
        <f t="shared" si="193"/>
        <v>#N/A</v>
      </c>
      <c r="AP192" s="21" t="e">
        <f t="shared" si="194"/>
        <v>#N/A</v>
      </c>
      <c r="AQ192" s="21" t="e">
        <f t="shared" si="195"/>
        <v>#N/A</v>
      </c>
      <c r="AR192" s="92" t="str">
        <f t="shared" si="179"/>
        <v/>
      </c>
      <c r="AS192" s="21" t="str">
        <f t="shared" si="180"/>
        <v/>
      </c>
      <c r="AT192" s="59" t="str">
        <f t="shared" si="165"/>
        <v/>
      </c>
      <c r="AU192" s="105">
        <f t="shared" si="113"/>
        <v>1</v>
      </c>
      <c r="AV192" s="105">
        <f t="shared" si="196"/>
        <v>1</v>
      </c>
      <c r="AW192" s="58">
        <f t="shared" si="197"/>
        <v>2</v>
      </c>
      <c r="AX192" s="58">
        <f t="shared" si="198"/>
        <v>3</v>
      </c>
      <c r="AY192" s="58" t="str">
        <f t="shared" si="199"/>
        <v>avec vannes</v>
      </c>
      <c r="AZ192" s="58" t="str">
        <f t="shared" si="200"/>
        <v>fermé</v>
      </c>
      <c r="BA192" s="60">
        <f t="shared" si="189"/>
        <v>0</v>
      </c>
      <c r="BB192" s="60">
        <f t="shared" si="189"/>
        <v>0</v>
      </c>
      <c r="BC192" s="60">
        <f t="shared" si="189"/>
        <v>0</v>
      </c>
      <c r="BD192" s="60">
        <f t="shared" si="189"/>
        <v>0</v>
      </c>
      <c r="BE192" s="286" t="str">
        <f t="shared" si="166"/>
        <v/>
      </c>
      <c r="BF192" s="58" t="str">
        <f t="shared" si="181"/>
        <v/>
      </c>
      <c r="BG192" s="59" t="str">
        <f t="shared" si="167"/>
        <v/>
      </c>
      <c r="BH192" s="158">
        <f t="shared" ca="1" si="168"/>
        <v>1</v>
      </c>
      <c r="BI192" s="60">
        <f t="shared" ca="1" si="169"/>
        <v>0.15</v>
      </c>
      <c r="BJ192" s="60">
        <f t="shared" si="170"/>
        <v>0.2</v>
      </c>
      <c r="BK192" s="60" t="str">
        <f t="shared" si="182"/>
        <v/>
      </c>
      <c r="BL192" s="21" t="str">
        <f t="shared" si="183"/>
        <v/>
      </c>
      <c r="BM192" s="264" t="str">
        <f t="shared" si="171"/>
        <v/>
      </c>
      <c r="BN192" s="60" t="str">
        <f t="shared" si="184"/>
        <v/>
      </c>
      <c r="BO192" s="136">
        <f t="shared" si="185"/>
        <v>0</v>
      </c>
      <c r="BP192" s="59">
        <f t="shared" si="186"/>
        <v>0</v>
      </c>
      <c r="BQ192" s="136">
        <f t="shared" ca="1" si="172"/>
        <v>1377</v>
      </c>
      <c r="BR192" s="136">
        <f t="shared" ca="1" si="173"/>
        <v>1000.5880398671096</v>
      </c>
      <c r="BS192" s="136">
        <f t="shared" ca="1" si="174"/>
        <v>1468800.5880398671</v>
      </c>
      <c r="BT192" s="136">
        <f t="shared" ca="1" si="175"/>
        <v>313875.51076562633</v>
      </c>
      <c r="BU192" s="136">
        <f t="shared" ca="1" si="176"/>
        <v>1000.5880398671096</v>
      </c>
    </row>
    <row r="193" spans="1:73" x14ac:dyDescent="0.2">
      <c r="A193" s="87" t="str">
        <f>'Etape 2'!A190</f>
        <v/>
      </c>
      <c r="B193" s="87">
        <f>'Etape 2'!B190</f>
        <v>178</v>
      </c>
      <c r="C193" s="87">
        <f ca="1">'Etape 2'!C190</f>
        <v>123</v>
      </c>
      <c r="D193" s="87"/>
      <c r="E193" s="61">
        <f ca="1">RANK(BU193,BU$16:BU$315,0)+COUNTIF(BU$16:BU193,BU193)-1</f>
        <v>123</v>
      </c>
      <c r="F193" s="87" t="str">
        <f>'Etape 2'!D190</f>
        <v/>
      </c>
      <c r="G193" s="87" t="str">
        <f>'Etape 2'!E190</f>
        <v/>
      </c>
      <c r="H193" s="87" t="str">
        <f>'Etape 2'!F190</f>
        <v/>
      </c>
      <c r="I193" s="87" t="str">
        <f>'Etape 2'!G190</f>
        <v/>
      </c>
      <c r="J193" s="87" t="str">
        <f>'Etape 2'!H190</f>
        <v/>
      </c>
      <c r="K193" s="87" t="str">
        <f>'Etape 2'!I190</f>
        <v/>
      </c>
      <c r="L193" s="87">
        <f ca="1">'Etape 2'!J190</f>
        <v>999999</v>
      </c>
      <c r="M193" s="87">
        <f>'Etape 2'!K190</f>
        <v>999</v>
      </c>
      <c r="N193" s="87">
        <f ca="1">'Etape 2'!L190</f>
        <v>178</v>
      </c>
      <c r="O193" s="259">
        <f t="shared" si="159"/>
        <v>0.3</v>
      </c>
      <c r="P193" s="259">
        <f t="shared" si="160"/>
        <v>1.1000000000000001</v>
      </c>
      <c r="Q193" s="260">
        <f t="shared" si="161"/>
        <v>0</v>
      </c>
      <c r="R193" s="261">
        <f t="shared" si="187"/>
        <v>0</v>
      </c>
      <c r="S193" s="87">
        <f>IF(ISBLANK('Etape 2'!N190),0,VLOOKUP('Etape 2'!N190,Matrix_Uebersetzung,2,FALSE))</f>
        <v>0</v>
      </c>
      <c r="T193" s="87">
        <f>IF(ISBLANK('Etape 2'!O190),0,VLOOKUP('Etape 2'!O190,Matrix_Uebersetzung,2,FALSE))</f>
        <v>0</v>
      </c>
      <c r="U193" s="87">
        <f>IF(ISBLANK('Etape 2'!P190),0,VLOOKUP('Etape 2'!P190,Matrix_Uebersetzung,2,FALSE))</f>
        <v>0</v>
      </c>
      <c r="V193" s="87" t="str">
        <f>'Etape 2'!Q190</f>
        <v/>
      </c>
      <c r="W193" s="87">
        <f>'Etape 2'!R190</f>
        <v>0</v>
      </c>
      <c r="X193" s="87" t="str">
        <f>'Etape 2'!S190</f>
        <v/>
      </c>
      <c r="Y193" s="89" t="str">
        <f>'Etape 2'!T190</f>
        <v/>
      </c>
      <c r="Z193" s="87">
        <f>'Etape 2'!U190</f>
        <v>0</v>
      </c>
      <c r="AA193" s="87" t="str">
        <f>'Etape 2'!V190</f>
        <v/>
      </c>
      <c r="AB193" s="87">
        <f>IF(ISNUMBER('Etape 2'!W190),'Etape 2'!W190,0)</f>
        <v>0</v>
      </c>
      <c r="AC193" s="87">
        <f>IF(ISNUMBER('Etape 2'!X190),'Etape 2'!X190,0)</f>
        <v>0</v>
      </c>
      <c r="AD193" s="87">
        <f>IF(ISNUMBER('Etape 2'!Y190),'Etape 2'!Y190,0)</f>
        <v>0</v>
      </c>
      <c r="AE193" s="87">
        <f>IF(ISNUMBER('Etape 2'!Z190),'Etape 2'!Z190,0)</f>
        <v>0</v>
      </c>
      <c r="AF193" s="86">
        <f t="shared" si="177"/>
        <v>999</v>
      </c>
      <c r="AG193" s="288">
        <f t="shared" si="178"/>
        <v>0.25</v>
      </c>
      <c r="AH193" s="181" t="e">
        <f t="shared" si="162"/>
        <v>#VALUE!</v>
      </c>
      <c r="AI193" s="181" t="e">
        <f t="shared" si="190"/>
        <v>#VALUE!</v>
      </c>
      <c r="AJ193" s="86">
        <f t="shared" si="163"/>
        <v>200</v>
      </c>
      <c r="AK193" s="91" t="e">
        <f t="shared" si="164"/>
        <v>#N/A</v>
      </c>
      <c r="AL193" s="91" t="e">
        <f t="shared" si="191"/>
        <v>#N/A</v>
      </c>
      <c r="AM193" s="91">
        <f t="shared" si="109"/>
        <v>6</v>
      </c>
      <c r="AN193" s="91" t="e">
        <f t="shared" si="192"/>
        <v>#N/A</v>
      </c>
      <c r="AO193" s="91" t="e">
        <f t="shared" si="193"/>
        <v>#N/A</v>
      </c>
      <c r="AP193" s="21" t="e">
        <f t="shared" si="194"/>
        <v>#N/A</v>
      </c>
      <c r="AQ193" s="21" t="e">
        <f t="shared" si="195"/>
        <v>#N/A</v>
      </c>
      <c r="AR193" s="92" t="str">
        <f t="shared" si="179"/>
        <v/>
      </c>
      <c r="AS193" s="21" t="str">
        <f t="shared" si="180"/>
        <v/>
      </c>
      <c r="AT193" s="59" t="str">
        <f t="shared" si="165"/>
        <v/>
      </c>
      <c r="AU193" s="105">
        <f t="shared" si="113"/>
        <v>1</v>
      </c>
      <c r="AV193" s="105">
        <f t="shared" si="196"/>
        <v>1</v>
      </c>
      <c r="AW193" s="58">
        <f t="shared" si="197"/>
        <v>2</v>
      </c>
      <c r="AX193" s="58">
        <f t="shared" si="198"/>
        <v>3</v>
      </c>
      <c r="AY193" s="58" t="str">
        <f t="shared" si="199"/>
        <v>avec vannes</v>
      </c>
      <c r="AZ193" s="58" t="str">
        <f t="shared" si="200"/>
        <v>fermé</v>
      </c>
      <c r="BA193" s="60">
        <f t="shared" si="189"/>
        <v>0</v>
      </c>
      <c r="BB193" s="60">
        <f t="shared" si="189"/>
        <v>0</v>
      </c>
      <c r="BC193" s="60">
        <f t="shared" si="189"/>
        <v>0</v>
      </c>
      <c r="BD193" s="60">
        <f t="shared" si="189"/>
        <v>0</v>
      </c>
      <c r="BE193" s="286" t="str">
        <f t="shared" si="166"/>
        <v/>
      </c>
      <c r="BF193" s="58" t="str">
        <f t="shared" si="181"/>
        <v/>
      </c>
      <c r="BG193" s="59" t="str">
        <f t="shared" si="167"/>
        <v/>
      </c>
      <c r="BH193" s="158">
        <f t="shared" ca="1" si="168"/>
        <v>1</v>
      </c>
      <c r="BI193" s="60">
        <f t="shared" ca="1" si="169"/>
        <v>0.15</v>
      </c>
      <c r="BJ193" s="60">
        <f t="shared" si="170"/>
        <v>0.2</v>
      </c>
      <c r="BK193" s="60" t="str">
        <f t="shared" si="182"/>
        <v/>
      </c>
      <c r="BL193" s="21" t="str">
        <f t="shared" si="183"/>
        <v/>
      </c>
      <c r="BM193" s="264" t="str">
        <f t="shared" si="171"/>
        <v/>
      </c>
      <c r="BN193" s="60" t="str">
        <f t="shared" si="184"/>
        <v/>
      </c>
      <c r="BO193" s="136">
        <f t="shared" si="185"/>
        <v>0</v>
      </c>
      <c r="BP193" s="59">
        <f t="shared" si="186"/>
        <v>0</v>
      </c>
      <c r="BQ193" s="136">
        <f t="shared" ca="1" si="172"/>
        <v>1378</v>
      </c>
      <c r="BR193" s="136">
        <f t="shared" ca="1" si="173"/>
        <v>1000.5913621262458</v>
      </c>
      <c r="BS193" s="136">
        <f t="shared" ca="1" si="174"/>
        <v>1468800.5913621262</v>
      </c>
      <c r="BT193" s="136">
        <f t="shared" ca="1" si="175"/>
        <v>313875.51408788544</v>
      </c>
      <c r="BU193" s="136">
        <f t="shared" ca="1" si="176"/>
        <v>1000.5913621262458</v>
      </c>
    </row>
    <row r="194" spans="1:73" x14ac:dyDescent="0.2">
      <c r="A194" s="87" t="str">
        <f>'Etape 2'!A191</f>
        <v/>
      </c>
      <c r="B194" s="87">
        <f>'Etape 2'!B191</f>
        <v>179</v>
      </c>
      <c r="C194" s="87">
        <f ca="1">'Etape 2'!C191</f>
        <v>122</v>
      </c>
      <c r="D194" s="87"/>
      <c r="E194" s="61">
        <f ca="1">RANK(BU194,BU$16:BU$315,0)+COUNTIF(BU$16:BU194,BU194)-1</f>
        <v>122</v>
      </c>
      <c r="F194" s="87" t="str">
        <f>'Etape 2'!D191</f>
        <v/>
      </c>
      <c r="G194" s="87" t="str">
        <f>'Etape 2'!E191</f>
        <v/>
      </c>
      <c r="H194" s="87" t="str">
        <f>'Etape 2'!F191</f>
        <v/>
      </c>
      <c r="I194" s="87" t="str">
        <f>'Etape 2'!G191</f>
        <v/>
      </c>
      <c r="J194" s="87" t="str">
        <f>'Etape 2'!H191</f>
        <v/>
      </c>
      <c r="K194" s="87" t="str">
        <f>'Etape 2'!I191</f>
        <v/>
      </c>
      <c r="L194" s="87">
        <f ca="1">'Etape 2'!J191</f>
        <v>999999</v>
      </c>
      <c r="M194" s="87">
        <f>'Etape 2'!K191</f>
        <v>999</v>
      </c>
      <c r="N194" s="87">
        <f ca="1">'Etape 2'!L191</f>
        <v>179</v>
      </c>
      <c r="O194" s="259">
        <f t="shared" si="159"/>
        <v>0.3</v>
      </c>
      <c r="P194" s="259">
        <f t="shared" si="160"/>
        <v>1.1000000000000001</v>
      </c>
      <c r="Q194" s="260">
        <f t="shared" si="161"/>
        <v>0</v>
      </c>
      <c r="R194" s="261">
        <f t="shared" si="187"/>
        <v>0</v>
      </c>
      <c r="S194" s="87">
        <f>IF(ISBLANK('Etape 2'!N191),0,VLOOKUP('Etape 2'!N191,Matrix_Uebersetzung,2,FALSE))</f>
        <v>0</v>
      </c>
      <c r="T194" s="87">
        <f>IF(ISBLANK('Etape 2'!O191),0,VLOOKUP('Etape 2'!O191,Matrix_Uebersetzung,2,FALSE))</f>
        <v>0</v>
      </c>
      <c r="U194" s="87">
        <f>IF(ISBLANK('Etape 2'!P191),0,VLOOKUP('Etape 2'!P191,Matrix_Uebersetzung,2,FALSE))</f>
        <v>0</v>
      </c>
      <c r="V194" s="87" t="str">
        <f>'Etape 2'!Q191</f>
        <v/>
      </c>
      <c r="W194" s="87">
        <f>'Etape 2'!R191</f>
        <v>0</v>
      </c>
      <c r="X194" s="87" t="str">
        <f>'Etape 2'!S191</f>
        <v/>
      </c>
      <c r="Y194" s="89" t="str">
        <f>'Etape 2'!T191</f>
        <v/>
      </c>
      <c r="Z194" s="87">
        <f>'Etape 2'!U191</f>
        <v>0</v>
      </c>
      <c r="AA194" s="87" t="str">
        <f>'Etape 2'!V191</f>
        <v/>
      </c>
      <c r="AB194" s="87">
        <f>IF(ISNUMBER('Etape 2'!W191),'Etape 2'!W191,0)</f>
        <v>0</v>
      </c>
      <c r="AC194" s="87">
        <f>IF(ISNUMBER('Etape 2'!X191),'Etape 2'!X191,0)</f>
        <v>0</v>
      </c>
      <c r="AD194" s="87">
        <f>IF(ISNUMBER('Etape 2'!Y191),'Etape 2'!Y191,0)</f>
        <v>0</v>
      </c>
      <c r="AE194" s="87">
        <f>IF(ISNUMBER('Etape 2'!Z191),'Etape 2'!Z191,0)</f>
        <v>0</v>
      </c>
      <c r="AF194" s="86">
        <f t="shared" si="177"/>
        <v>999</v>
      </c>
      <c r="AG194" s="288">
        <f t="shared" si="178"/>
        <v>0.25</v>
      </c>
      <c r="AH194" s="181" t="e">
        <f t="shared" si="162"/>
        <v>#VALUE!</v>
      </c>
      <c r="AI194" s="181" t="e">
        <f t="shared" si="190"/>
        <v>#VALUE!</v>
      </c>
      <c r="AJ194" s="86">
        <f t="shared" si="163"/>
        <v>200</v>
      </c>
      <c r="AK194" s="91" t="e">
        <f t="shared" si="164"/>
        <v>#N/A</v>
      </c>
      <c r="AL194" s="91" t="e">
        <f t="shared" si="191"/>
        <v>#N/A</v>
      </c>
      <c r="AM194" s="91">
        <f t="shared" si="109"/>
        <v>6</v>
      </c>
      <c r="AN194" s="91" t="e">
        <f t="shared" si="192"/>
        <v>#N/A</v>
      </c>
      <c r="AO194" s="91" t="e">
        <f t="shared" si="193"/>
        <v>#N/A</v>
      </c>
      <c r="AP194" s="21" t="e">
        <f t="shared" si="194"/>
        <v>#N/A</v>
      </c>
      <c r="AQ194" s="21" t="e">
        <f t="shared" si="195"/>
        <v>#N/A</v>
      </c>
      <c r="AR194" s="92" t="str">
        <f t="shared" si="179"/>
        <v/>
      </c>
      <c r="AS194" s="21" t="str">
        <f t="shared" si="180"/>
        <v/>
      </c>
      <c r="AT194" s="59" t="str">
        <f t="shared" si="165"/>
        <v/>
      </c>
      <c r="AU194" s="105">
        <f t="shared" si="113"/>
        <v>1</v>
      </c>
      <c r="AV194" s="105">
        <f t="shared" si="196"/>
        <v>1</v>
      </c>
      <c r="AW194" s="58">
        <f t="shared" si="197"/>
        <v>2</v>
      </c>
      <c r="AX194" s="58">
        <f t="shared" si="198"/>
        <v>3</v>
      </c>
      <c r="AY194" s="58" t="str">
        <f t="shared" si="199"/>
        <v>avec vannes</v>
      </c>
      <c r="AZ194" s="58" t="str">
        <f t="shared" si="200"/>
        <v>fermé</v>
      </c>
      <c r="BA194" s="60">
        <f t="shared" si="189"/>
        <v>0</v>
      </c>
      <c r="BB194" s="60">
        <f t="shared" si="189"/>
        <v>0</v>
      </c>
      <c r="BC194" s="60">
        <f t="shared" si="189"/>
        <v>0</v>
      </c>
      <c r="BD194" s="60">
        <f t="shared" si="189"/>
        <v>0</v>
      </c>
      <c r="BE194" s="286" t="str">
        <f t="shared" si="166"/>
        <v/>
      </c>
      <c r="BF194" s="58" t="str">
        <f t="shared" si="181"/>
        <v/>
      </c>
      <c r="BG194" s="59" t="str">
        <f t="shared" si="167"/>
        <v/>
      </c>
      <c r="BH194" s="158">
        <f t="shared" ca="1" si="168"/>
        <v>1</v>
      </c>
      <c r="BI194" s="60">
        <f t="shared" ca="1" si="169"/>
        <v>0.15</v>
      </c>
      <c r="BJ194" s="60">
        <f t="shared" si="170"/>
        <v>0.2</v>
      </c>
      <c r="BK194" s="60" t="str">
        <f t="shared" si="182"/>
        <v/>
      </c>
      <c r="BL194" s="21" t="str">
        <f t="shared" si="183"/>
        <v/>
      </c>
      <c r="BM194" s="264" t="str">
        <f t="shared" si="171"/>
        <v/>
      </c>
      <c r="BN194" s="60" t="str">
        <f t="shared" si="184"/>
        <v/>
      </c>
      <c r="BO194" s="136">
        <f t="shared" si="185"/>
        <v>0</v>
      </c>
      <c r="BP194" s="59">
        <f t="shared" si="186"/>
        <v>0</v>
      </c>
      <c r="BQ194" s="136">
        <f t="shared" ca="1" si="172"/>
        <v>1379</v>
      </c>
      <c r="BR194" s="136">
        <f t="shared" ca="1" si="173"/>
        <v>1000.594684385382</v>
      </c>
      <c r="BS194" s="136">
        <f t="shared" ca="1" si="174"/>
        <v>1468800.5946843855</v>
      </c>
      <c r="BT194" s="136">
        <f t="shared" ca="1" si="175"/>
        <v>313875.51741014462</v>
      </c>
      <c r="BU194" s="136">
        <f t="shared" ca="1" si="176"/>
        <v>1000.594684385382</v>
      </c>
    </row>
    <row r="195" spans="1:73" x14ac:dyDescent="0.2">
      <c r="A195" s="87" t="str">
        <f>'Etape 2'!A192</f>
        <v/>
      </c>
      <c r="B195" s="87">
        <f>'Etape 2'!B192</f>
        <v>180</v>
      </c>
      <c r="C195" s="87">
        <f ca="1">'Etape 2'!C192</f>
        <v>121</v>
      </c>
      <c r="D195" s="87"/>
      <c r="E195" s="61">
        <f ca="1">RANK(BU195,BU$16:BU$315,0)+COUNTIF(BU$16:BU195,BU195)-1</f>
        <v>121</v>
      </c>
      <c r="F195" s="87" t="str">
        <f>'Etape 2'!D192</f>
        <v/>
      </c>
      <c r="G195" s="87" t="str">
        <f>'Etape 2'!E192</f>
        <v/>
      </c>
      <c r="H195" s="87" t="str">
        <f>'Etape 2'!F192</f>
        <v/>
      </c>
      <c r="I195" s="87" t="str">
        <f>'Etape 2'!G192</f>
        <v/>
      </c>
      <c r="J195" s="87" t="str">
        <f>'Etape 2'!H192</f>
        <v/>
      </c>
      <c r="K195" s="87" t="str">
        <f>'Etape 2'!I192</f>
        <v/>
      </c>
      <c r="L195" s="87">
        <f ca="1">'Etape 2'!J192</f>
        <v>999999</v>
      </c>
      <c r="M195" s="87">
        <f>'Etape 2'!K192</f>
        <v>999</v>
      </c>
      <c r="N195" s="87">
        <f ca="1">'Etape 2'!L192</f>
        <v>180</v>
      </c>
      <c r="O195" s="259">
        <f t="shared" si="159"/>
        <v>0.3</v>
      </c>
      <c r="P195" s="259">
        <f t="shared" si="160"/>
        <v>1.1000000000000001</v>
      </c>
      <c r="Q195" s="260">
        <f t="shared" si="161"/>
        <v>0</v>
      </c>
      <c r="R195" s="261">
        <f t="shared" si="187"/>
        <v>0</v>
      </c>
      <c r="S195" s="87">
        <f>IF(ISBLANK('Etape 2'!N192),0,VLOOKUP('Etape 2'!N192,Matrix_Uebersetzung,2,FALSE))</f>
        <v>0</v>
      </c>
      <c r="T195" s="87">
        <f>IF(ISBLANK('Etape 2'!O192),0,VLOOKUP('Etape 2'!O192,Matrix_Uebersetzung,2,FALSE))</f>
        <v>0</v>
      </c>
      <c r="U195" s="87">
        <f>IF(ISBLANK('Etape 2'!P192),0,VLOOKUP('Etape 2'!P192,Matrix_Uebersetzung,2,FALSE))</f>
        <v>0</v>
      </c>
      <c r="V195" s="87" t="str">
        <f>'Etape 2'!Q192</f>
        <v/>
      </c>
      <c r="W195" s="87">
        <f>'Etape 2'!R192</f>
        <v>0</v>
      </c>
      <c r="X195" s="87" t="str">
        <f>'Etape 2'!S192</f>
        <v/>
      </c>
      <c r="Y195" s="89" t="str">
        <f>'Etape 2'!T192</f>
        <v/>
      </c>
      <c r="Z195" s="87">
        <f>'Etape 2'!U192</f>
        <v>0</v>
      </c>
      <c r="AA195" s="87" t="str">
        <f>'Etape 2'!V192</f>
        <v/>
      </c>
      <c r="AB195" s="87">
        <f>IF(ISNUMBER('Etape 2'!W192),'Etape 2'!W192,0)</f>
        <v>0</v>
      </c>
      <c r="AC195" s="87">
        <f>IF(ISNUMBER('Etape 2'!X192),'Etape 2'!X192,0)</f>
        <v>0</v>
      </c>
      <c r="AD195" s="87">
        <f>IF(ISNUMBER('Etape 2'!Y192),'Etape 2'!Y192,0)</f>
        <v>0</v>
      </c>
      <c r="AE195" s="87">
        <f>IF(ISNUMBER('Etape 2'!Z192),'Etape 2'!Z192,0)</f>
        <v>0</v>
      </c>
      <c r="AF195" s="86">
        <f t="shared" si="177"/>
        <v>999</v>
      </c>
      <c r="AG195" s="288">
        <f t="shared" si="178"/>
        <v>0.25</v>
      </c>
      <c r="AH195" s="181" t="e">
        <f t="shared" si="162"/>
        <v>#VALUE!</v>
      </c>
      <c r="AI195" s="181" t="e">
        <f t="shared" si="190"/>
        <v>#VALUE!</v>
      </c>
      <c r="AJ195" s="86">
        <f t="shared" si="163"/>
        <v>200</v>
      </c>
      <c r="AK195" s="91" t="e">
        <f t="shared" si="164"/>
        <v>#N/A</v>
      </c>
      <c r="AL195" s="91" t="e">
        <f t="shared" si="191"/>
        <v>#N/A</v>
      </c>
      <c r="AM195" s="91">
        <f t="shared" si="109"/>
        <v>6</v>
      </c>
      <c r="AN195" s="91" t="e">
        <f t="shared" si="192"/>
        <v>#N/A</v>
      </c>
      <c r="AO195" s="91" t="e">
        <f t="shared" si="193"/>
        <v>#N/A</v>
      </c>
      <c r="AP195" s="21" t="e">
        <f t="shared" si="194"/>
        <v>#N/A</v>
      </c>
      <c r="AQ195" s="21" t="e">
        <f t="shared" si="195"/>
        <v>#N/A</v>
      </c>
      <c r="AR195" s="92" t="str">
        <f t="shared" si="179"/>
        <v/>
      </c>
      <c r="AS195" s="21" t="str">
        <f t="shared" si="180"/>
        <v/>
      </c>
      <c r="AT195" s="59" t="str">
        <f t="shared" si="165"/>
        <v/>
      </c>
      <c r="AU195" s="105">
        <f t="shared" si="113"/>
        <v>1</v>
      </c>
      <c r="AV195" s="105">
        <f t="shared" si="196"/>
        <v>1</v>
      </c>
      <c r="AW195" s="58">
        <f t="shared" si="197"/>
        <v>2</v>
      </c>
      <c r="AX195" s="58">
        <f t="shared" si="198"/>
        <v>3</v>
      </c>
      <c r="AY195" s="58" t="str">
        <f t="shared" si="199"/>
        <v>avec vannes</v>
      </c>
      <c r="AZ195" s="58" t="str">
        <f t="shared" si="200"/>
        <v>fermé</v>
      </c>
      <c r="BA195" s="60">
        <f t="shared" si="189"/>
        <v>0</v>
      </c>
      <c r="BB195" s="60">
        <f t="shared" si="189"/>
        <v>0</v>
      </c>
      <c r="BC195" s="60">
        <f t="shared" si="189"/>
        <v>0</v>
      </c>
      <c r="BD195" s="60">
        <f t="shared" si="189"/>
        <v>0</v>
      </c>
      <c r="BE195" s="286" t="str">
        <f t="shared" si="166"/>
        <v/>
      </c>
      <c r="BF195" s="58" t="str">
        <f t="shared" si="181"/>
        <v/>
      </c>
      <c r="BG195" s="59" t="str">
        <f t="shared" si="167"/>
        <v/>
      </c>
      <c r="BH195" s="158">
        <f t="shared" ca="1" si="168"/>
        <v>1</v>
      </c>
      <c r="BI195" s="60">
        <f t="shared" ca="1" si="169"/>
        <v>0.15</v>
      </c>
      <c r="BJ195" s="60">
        <f t="shared" si="170"/>
        <v>0.2</v>
      </c>
      <c r="BK195" s="60" t="str">
        <f t="shared" si="182"/>
        <v/>
      </c>
      <c r="BL195" s="21" t="str">
        <f t="shared" si="183"/>
        <v/>
      </c>
      <c r="BM195" s="264" t="str">
        <f t="shared" si="171"/>
        <v/>
      </c>
      <c r="BN195" s="60" t="str">
        <f t="shared" si="184"/>
        <v/>
      </c>
      <c r="BO195" s="136">
        <f t="shared" si="185"/>
        <v>0</v>
      </c>
      <c r="BP195" s="59">
        <f t="shared" si="186"/>
        <v>0</v>
      </c>
      <c r="BQ195" s="136">
        <f t="shared" ca="1" si="172"/>
        <v>1380</v>
      </c>
      <c r="BR195" s="136">
        <f t="shared" ca="1" si="173"/>
        <v>1000.5980066445183</v>
      </c>
      <c r="BS195" s="136">
        <f t="shared" ca="1" si="174"/>
        <v>1468800.5980066445</v>
      </c>
      <c r="BT195" s="136">
        <f t="shared" ca="1" si="175"/>
        <v>313875.52073240373</v>
      </c>
      <c r="BU195" s="136">
        <f t="shared" ca="1" si="176"/>
        <v>1000.5980066445183</v>
      </c>
    </row>
    <row r="196" spans="1:73" x14ac:dyDescent="0.2">
      <c r="A196" s="87" t="str">
        <f>'Etape 2'!A193</f>
        <v/>
      </c>
      <c r="B196" s="87">
        <f>'Etape 2'!B193</f>
        <v>181</v>
      </c>
      <c r="C196" s="87">
        <f ca="1">'Etape 2'!C193</f>
        <v>120</v>
      </c>
      <c r="D196" s="87"/>
      <c r="E196" s="61">
        <f ca="1">RANK(BU196,BU$16:BU$315,0)+COUNTIF(BU$16:BU196,BU196)-1</f>
        <v>120</v>
      </c>
      <c r="F196" s="87" t="str">
        <f>'Etape 2'!D193</f>
        <v/>
      </c>
      <c r="G196" s="87" t="str">
        <f>'Etape 2'!E193</f>
        <v/>
      </c>
      <c r="H196" s="87" t="str">
        <f>'Etape 2'!F193</f>
        <v/>
      </c>
      <c r="I196" s="87" t="str">
        <f>'Etape 2'!G193</f>
        <v/>
      </c>
      <c r="J196" s="87" t="str">
        <f>'Etape 2'!H193</f>
        <v/>
      </c>
      <c r="K196" s="87" t="str">
        <f>'Etape 2'!I193</f>
        <v/>
      </c>
      <c r="L196" s="87">
        <f ca="1">'Etape 2'!J193</f>
        <v>999999</v>
      </c>
      <c r="M196" s="87">
        <f>'Etape 2'!K193</f>
        <v>999</v>
      </c>
      <c r="N196" s="87">
        <f ca="1">'Etape 2'!L193</f>
        <v>181</v>
      </c>
      <c r="O196" s="259">
        <f t="shared" si="159"/>
        <v>0.3</v>
      </c>
      <c r="P196" s="259">
        <f t="shared" si="160"/>
        <v>1.1000000000000001</v>
      </c>
      <c r="Q196" s="260">
        <f t="shared" si="161"/>
        <v>0</v>
      </c>
      <c r="R196" s="261">
        <f t="shared" si="187"/>
        <v>0</v>
      </c>
      <c r="S196" s="87">
        <f>IF(ISBLANK('Etape 2'!N193),0,VLOOKUP('Etape 2'!N193,Matrix_Uebersetzung,2,FALSE))</f>
        <v>0</v>
      </c>
      <c r="T196" s="87">
        <f>IF(ISBLANK('Etape 2'!O193),0,VLOOKUP('Etape 2'!O193,Matrix_Uebersetzung,2,FALSE))</f>
        <v>0</v>
      </c>
      <c r="U196" s="87">
        <f>IF(ISBLANK('Etape 2'!P193),0,VLOOKUP('Etape 2'!P193,Matrix_Uebersetzung,2,FALSE))</f>
        <v>0</v>
      </c>
      <c r="V196" s="87" t="str">
        <f>'Etape 2'!Q193</f>
        <v/>
      </c>
      <c r="W196" s="87">
        <f>'Etape 2'!R193</f>
        <v>0</v>
      </c>
      <c r="X196" s="87" t="str">
        <f>'Etape 2'!S193</f>
        <v/>
      </c>
      <c r="Y196" s="89" t="str">
        <f>'Etape 2'!T193</f>
        <v/>
      </c>
      <c r="Z196" s="87">
        <f>'Etape 2'!U193</f>
        <v>0</v>
      </c>
      <c r="AA196" s="87" t="str">
        <f>'Etape 2'!V193</f>
        <v/>
      </c>
      <c r="AB196" s="87">
        <f>IF(ISNUMBER('Etape 2'!W193),'Etape 2'!W193,0)</f>
        <v>0</v>
      </c>
      <c r="AC196" s="87">
        <f>IF(ISNUMBER('Etape 2'!X193),'Etape 2'!X193,0)</f>
        <v>0</v>
      </c>
      <c r="AD196" s="87">
        <f>IF(ISNUMBER('Etape 2'!Y193),'Etape 2'!Y193,0)</f>
        <v>0</v>
      </c>
      <c r="AE196" s="87">
        <f>IF(ISNUMBER('Etape 2'!Z193),'Etape 2'!Z193,0)</f>
        <v>0</v>
      </c>
      <c r="AF196" s="86">
        <f t="shared" si="177"/>
        <v>999</v>
      </c>
      <c r="AG196" s="288">
        <f t="shared" si="178"/>
        <v>0.25</v>
      </c>
      <c r="AH196" s="181" t="e">
        <f t="shared" si="162"/>
        <v>#VALUE!</v>
      </c>
      <c r="AI196" s="181" t="e">
        <f t="shared" si="190"/>
        <v>#VALUE!</v>
      </c>
      <c r="AJ196" s="86">
        <f t="shared" si="163"/>
        <v>200</v>
      </c>
      <c r="AK196" s="91" t="e">
        <f t="shared" si="164"/>
        <v>#N/A</v>
      </c>
      <c r="AL196" s="91" t="e">
        <f t="shared" si="191"/>
        <v>#N/A</v>
      </c>
      <c r="AM196" s="91">
        <f t="shared" si="109"/>
        <v>6</v>
      </c>
      <c r="AN196" s="91" t="e">
        <f t="shared" si="192"/>
        <v>#N/A</v>
      </c>
      <c r="AO196" s="91" t="e">
        <f t="shared" si="193"/>
        <v>#N/A</v>
      </c>
      <c r="AP196" s="21" t="e">
        <f t="shared" si="194"/>
        <v>#N/A</v>
      </c>
      <c r="AQ196" s="21" t="e">
        <f t="shared" si="195"/>
        <v>#N/A</v>
      </c>
      <c r="AR196" s="92" t="str">
        <f t="shared" si="179"/>
        <v/>
      </c>
      <c r="AS196" s="21" t="str">
        <f t="shared" si="180"/>
        <v/>
      </c>
      <c r="AT196" s="59" t="str">
        <f t="shared" si="165"/>
        <v/>
      </c>
      <c r="AU196" s="105">
        <f t="shared" si="113"/>
        <v>1</v>
      </c>
      <c r="AV196" s="105">
        <f t="shared" si="196"/>
        <v>1</v>
      </c>
      <c r="AW196" s="58">
        <f t="shared" si="197"/>
        <v>2</v>
      </c>
      <c r="AX196" s="58">
        <f t="shared" si="198"/>
        <v>3</v>
      </c>
      <c r="AY196" s="58" t="str">
        <f t="shared" si="199"/>
        <v>avec vannes</v>
      </c>
      <c r="AZ196" s="58" t="str">
        <f t="shared" si="200"/>
        <v>fermé</v>
      </c>
      <c r="BA196" s="60">
        <f t="shared" ref="BA196:BD215" si="201">IF(BA$15/$AG196&gt;1,0,VLOOKUP(BA$15/$AG196,Matrix_Regelung.Teilvolumenstrom.Einsparpotential.ID,$AX196,0))</f>
        <v>0</v>
      </c>
      <c r="BB196" s="60">
        <f t="shared" si="201"/>
        <v>0</v>
      </c>
      <c r="BC196" s="60">
        <f t="shared" si="201"/>
        <v>0</v>
      </c>
      <c r="BD196" s="60">
        <f t="shared" si="201"/>
        <v>0</v>
      </c>
      <c r="BE196" s="286" t="str">
        <f t="shared" si="166"/>
        <v/>
      </c>
      <c r="BF196" s="58" t="str">
        <f t="shared" si="181"/>
        <v/>
      </c>
      <c r="BG196" s="59" t="str">
        <f t="shared" si="167"/>
        <v/>
      </c>
      <c r="BH196" s="158">
        <f t="shared" ca="1" si="168"/>
        <v>1</v>
      </c>
      <c r="BI196" s="60">
        <f t="shared" ca="1" si="169"/>
        <v>0.15</v>
      </c>
      <c r="BJ196" s="60">
        <f t="shared" si="170"/>
        <v>0.2</v>
      </c>
      <c r="BK196" s="60" t="str">
        <f t="shared" si="182"/>
        <v/>
      </c>
      <c r="BL196" s="21" t="str">
        <f t="shared" si="183"/>
        <v/>
      </c>
      <c r="BM196" s="264" t="str">
        <f t="shared" si="171"/>
        <v/>
      </c>
      <c r="BN196" s="60" t="str">
        <f t="shared" si="184"/>
        <v/>
      </c>
      <c r="BO196" s="136">
        <f t="shared" si="185"/>
        <v>0</v>
      </c>
      <c r="BP196" s="59">
        <f t="shared" si="186"/>
        <v>0</v>
      </c>
      <c r="BQ196" s="136">
        <f t="shared" ca="1" si="172"/>
        <v>1381</v>
      </c>
      <c r="BR196" s="136">
        <f t="shared" ca="1" si="173"/>
        <v>1000.6013289036545</v>
      </c>
      <c r="BS196" s="136">
        <f t="shared" ca="1" si="174"/>
        <v>1468800.6013289036</v>
      </c>
      <c r="BT196" s="136">
        <f t="shared" ca="1" si="175"/>
        <v>313875.52405466285</v>
      </c>
      <c r="BU196" s="136">
        <f t="shared" ca="1" si="176"/>
        <v>1000.6013289036545</v>
      </c>
    </row>
    <row r="197" spans="1:73" x14ac:dyDescent="0.2">
      <c r="A197" s="87" t="str">
        <f>'Etape 2'!A194</f>
        <v/>
      </c>
      <c r="B197" s="87">
        <f>'Etape 2'!B194</f>
        <v>182</v>
      </c>
      <c r="C197" s="87">
        <f ca="1">'Etape 2'!C194</f>
        <v>119</v>
      </c>
      <c r="D197" s="87"/>
      <c r="E197" s="61">
        <f ca="1">RANK(BU197,BU$16:BU$315,0)+COUNTIF(BU$16:BU197,BU197)-1</f>
        <v>119</v>
      </c>
      <c r="F197" s="87" t="str">
        <f>'Etape 2'!D194</f>
        <v/>
      </c>
      <c r="G197" s="87" t="str">
        <f>'Etape 2'!E194</f>
        <v/>
      </c>
      <c r="H197" s="87" t="str">
        <f>'Etape 2'!F194</f>
        <v/>
      </c>
      <c r="I197" s="87" t="str">
        <f>'Etape 2'!G194</f>
        <v/>
      </c>
      <c r="J197" s="87" t="str">
        <f>'Etape 2'!H194</f>
        <v/>
      </c>
      <c r="K197" s="87" t="str">
        <f>'Etape 2'!I194</f>
        <v/>
      </c>
      <c r="L197" s="87">
        <f ca="1">'Etape 2'!J194</f>
        <v>999999</v>
      </c>
      <c r="M197" s="87">
        <f>'Etape 2'!K194</f>
        <v>999</v>
      </c>
      <c r="N197" s="87">
        <f ca="1">'Etape 2'!L194</f>
        <v>182</v>
      </c>
      <c r="O197" s="259">
        <f t="shared" si="159"/>
        <v>0.3</v>
      </c>
      <c r="P197" s="259">
        <f t="shared" si="160"/>
        <v>1.1000000000000001</v>
      </c>
      <c r="Q197" s="260">
        <f t="shared" si="161"/>
        <v>0</v>
      </c>
      <c r="R197" s="261">
        <f t="shared" si="187"/>
        <v>0</v>
      </c>
      <c r="S197" s="87">
        <f>IF(ISBLANK('Etape 2'!N194),0,VLOOKUP('Etape 2'!N194,Matrix_Uebersetzung,2,FALSE))</f>
        <v>0</v>
      </c>
      <c r="T197" s="87">
        <f>IF(ISBLANK('Etape 2'!O194),0,VLOOKUP('Etape 2'!O194,Matrix_Uebersetzung,2,FALSE))</f>
        <v>0</v>
      </c>
      <c r="U197" s="87">
        <f>IF(ISBLANK('Etape 2'!P194),0,VLOOKUP('Etape 2'!P194,Matrix_Uebersetzung,2,FALSE))</f>
        <v>0</v>
      </c>
      <c r="V197" s="87" t="str">
        <f>'Etape 2'!Q194</f>
        <v/>
      </c>
      <c r="W197" s="87">
        <f>'Etape 2'!R194</f>
        <v>0</v>
      </c>
      <c r="X197" s="87" t="str">
        <f>'Etape 2'!S194</f>
        <v/>
      </c>
      <c r="Y197" s="89" t="str">
        <f>'Etape 2'!T194</f>
        <v/>
      </c>
      <c r="Z197" s="87">
        <f>'Etape 2'!U194</f>
        <v>0</v>
      </c>
      <c r="AA197" s="87" t="str">
        <f>'Etape 2'!V194</f>
        <v/>
      </c>
      <c r="AB197" s="87">
        <f>IF(ISNUMBER('Etape 2'!W194),'Etape 2'!W194,0)</f>
        <v>0</v>
      </c>
      <c r="AC197" s="87">
        <f>IF(ISNUMBER('Etape 2'!X194),'Etape 2'!X194,0)</f>
        <v>0</v>
      </c>
      <c r="AD197" s="87">
        <f>IF(ISNUMBER('Etape 2'!Y194),'Etape 2'!Y194,0)</f>
        <v>0</v>
      </c>
      <c r="AE197" s="87">
        <f>IF(ISNUMBER('Etape 2'!Z194),'Etape 2'!Z194,0)</f>
        <v>0</v>
      </c>
      <c r="AF197" s="86">
        <f t="shared" si="177"/>
        <v>999</v>
      </c>
      <c r="AG197" s="288">
        <f t="shared" si="178"/>
        <v>0.25</v>
      </c>
      <c r="AH197" s="181" t="e">
        <f t="shared" si="162"/>
        <v>#VALUE!</v>
      </c>
      <c r="AI197" s="181" t="e">
        <f t="shared" si="190"/>
        <v>#VALUE!</v>
      </c>
      <c r="AJ197" s="86">
        <f t="shared" si="163"/>
        <v>200</v>
      </c>
      <c r="AK197" s="91" t="e">
        <f t="shared" si="164"/>
        <v>#N/A</v>
      </c>
      <c r="AL197" s="91" t="e">
        <f t="shared" si="191"/>
        <v>#N/A</v>
      </c>
      <c r="AM197" s="91">
        <f t="shared" si="109"/>
        <v>6</v>
      </c>
      <c r="AN197" s="91" t="e">
        <f t="shared" si="192"/>
        <v>#N/A</v>
      </c>
      <c r="AO197" s="91" t="e">
        <f t="shared" si="193"/>
        <v>#N/A</v>
      </c>
      <c r="AP197" s="21" t="e">
        <f t="shared" si="194"/>
        <v>#N/A</v>
      </c>
      <c r="AQ197" s="21" t="e">
        <f t="shared" si="195"/>
        <v>#N/A</v>
      </c>
      <c r="AR197" s="92" t="str">
        <f t="shared" si="179"/>
        <v/>
      </c>
      <c r="AS197" s="21" t="str">
        <f t="shared" si="180"/>
        <v/>
      </c>
      <c r="AT197" s="59" t="str">
        <f t="shared" si="165"/>
        <v/>
      </c>
      <c r="AU197" s="105">
        <f t="shared" si="113"/>
        <v>1</v>
      </c>
      <c r="AV197" s="105">
        <f t="shared" si="196"/>
        <v>1</v>
      </c>
      <c r="AW197" s="58">
        <f t="shared" si="197"/>
        <v>2</v>
      </c>
      <c r="AX197" s="58">
        <f t="shared" si="198"/>
        <v>3</v>
      </c>
      <c r="AY197" s="58" t="str">
        <f t="shared" si="199"/>
        <v>avec vannes</v>
      </c>
      <c r="AZ197" s="58" t="str">
        <f t="shared" si="200"/>
        <v>fermé</v>
      </c>
      <c r="BA197" s="60">
        <f t="shared" si="201"/>
        <v>0</v>
      </c>
      <c r="BB197" s="60">
        <f t="shared" si="201"/>
        <v>0</v>
      </c>
      <c r="BC197" s="60">
        <f t="shared" si="201"/>
        <v>0</v>
      </c>
      <c r="BD197" s="60">
        <f t="shared" si="201"/>
        <v>0</v>
      </c>
      <c r="BE197" s="286" t="str">
        <f t="shared" si="166"/>
        <v/>
      </c>
      <c r="BF197" s="58" t="str">
        <f t="shared" si="181"/>
        <v/>
      </c>
      <c r="BG197" s="59" t="str">
        <f t="shared" si="167"/>
        <v/>
      </c>
      <c r="BH197" s="158">
        <f t="shared" ca="1" si="168"/>
        <v>1</v>
      </c>
      <c r="BI197" s="60">
        <f t="shared" ca="1" si="169"/>
        <v>0.15</v>
      </c>
      <c r="BJ197" s="60">
        <f t="shared" si="170"/>
        <v>0.2</v>
      </c>
      <c r="BK197" s="60" t="str">
        <f t="shared" si="182"/>
        <v/>
      </c>
      <c r="BL197" s="21" t="str">
        <f t="shared" si="183"/>
        <v/>
      </c>
      <c r="BM197" s="264" t="str">
        <f t="shared" si="171"/>
        <v/>
      </c>
      <c r="BN197" s="60" t="str">
        <f t="shared" si="184"/>
        <v/>
      </c>
      <c r="BO197" s="136">
        <f t="shared" si="185"/>
        <v>0</v>
      </c>
      <c r="BP197" s="59">
        <f t="shared" si="186"/>
        <v>0</v>
      </c>
      <c r="BQ197" s="136">
        <f t="shared" ca="1" si="172"/>
        <v>1382</v>
      </c>
      <c r="BR197" s="136">
        <f t="shared" ca="1" si="173"/>
        <v>1000.6046511627907</v>
      </c>
      <c r="BS197" s="136">
        <f t="shared" ca="1" si="174"/>
        <v>1468800.6046511629</v>
      </c>
      <c r="BT197" s="136">
        <f t="shared" ca="1" si="175"/>
        <v>313875.52737692202</v>
      </c>
      <c r="BU197" s="136">
        <f t="shared" ca="1" si="176"/>
        <v>1000.6046511627907</v>
      </c>
    </row>
    <row r="198" spans="1:73" x14ac:dyDescent="0.2">
      <c r="A198" s="87" t="str">
        <f>'Etape 2'!A195</f>
        <v/>
      </c>
      <c r="B198" s="87">
        <f>'Etape 2'!B195</f>
        <v>183</v>
      </c>
      <c r="C198" s="87">
        <f ca="1">'Etape 2'!C195</f>
        <v>118</v>
      </c>
      <c r="D198" s="87"/>
      <c r="E198" s="61">
        <f ca="1">RANK(BU198,BU$16:BU$315,0)+COUNTIF(BU$16:BU198,BU198)-1</f>
        <v>118</v>
      </c>
      <c r="F198" s="87" t="str">
        <f>'Etape 2'!D195</f>
        <v/>
      </c>
      <c r="G198" s="87" t="str">
        <f>'Etape 2'!E195</f>
        <v/>
      </c>
      <c r="H198" s="87" t="str">
        <f>'Etape 2'!F195</f>
        <v/>
      </c>
      <c r="I198" s="87" t="str">
        <f>'Etape 2'!G195</f>
        <v/>
      </c>
      <c r="J198" s="87" t="str">
        <f>'Etape 2'!H195</f>
        <v/>
      </c>
      <c r="K198" s="87" t="str">
        <f>'Etape 2'!I195</f>
        <v/>
      </c>
      <c r="L198" s="87">
        <f ca="1">'Etape 2'!J195</f>
        <v>999999</v>
      </c>
      <c r="M198" s="87">
        <f>'Etape 2'!K195</f>
        <v>999</v>
      </c>
      <c r="N198" s="87">
        <f ca="1">'Etape 2'!L195</f>
        <v>183</v>
      </c>
      <c r="O198" s="259">
        <f t="shared" si="159"/>
        <v>0.3</v>
      </c>
      <c r="P198" s="259">
        <f t="shared" si="160"/>
        <v>1.1000000000000001</v>
      </c>
      <c r="Q198" s="260">
        <f t="shared" si="161"/>
        <v>0</v>
      </c>
      <c r="R198" s="261">
        <f t="shared" si="187"/>
        <v>0</v>
      </c>
      <c r="S198" s="87">
        <f>IF(ISBLANK('Etape 2'!N195),0,VLOOKUP('Etape 2'!N195,Matrix_Uebersetzung,2,FALSE))</f>
        <v>0</v>
      </c>
      <c r="T198" s="87">
        <f>IF(ISBLANK('Etape 2'!O195),0,VLOOKUP('Etape 2'!O195,Matrix_Uebersetzung,2,FALSE))</f>
        <v>0</v>
      </c>
      <c r="U198" s="87">
        <f>IF(ISBLANK('Etape 2'!P195),0,VLOOKUP('Etape 2'!P195,Matrix_Uebersetzung,2,FALSE))</f>
        <v>0</v>
      </c>
      <c r="V198" s="87" t="str">
        <f>'Etape 2'!Q195</f>
        <v/>
      </c>
      <c r="W198" s="87">
        <f>'Etape 2'!R195</f>
        <v>0</v>
      </c>
      <c r="X198" s="87" t="str">
        <f>'Etape 2'!S195</f>
        <v/>
      </c>
      <c r="Y198" s="89" t="str">
        <f>'Etape 2'!T195</f>
        <v/>
      </c>
      <c r="Z198" s="87">
        <f>'Etape 2'!U195</f>
        <v>0</v>
      </c>
      <c r="AA198" s="87" t="str">
        <f>'Etape 2'!V195</f>
        <v/>
      </c>
      <c r="AB198" s="87">
        <f>IF(ISNUMBER('Etape 2'!W195),'Etape 2'!W195,0)</f>
        <v>0</v>
      </c>
      <c r="AC198" s="87">
        <f>IF(ISNUMBER('Etape 2'!X195),'Etape 2'!X195,0)</f>
        <v>0</v>
      </c>
      <c r="AD198" s="87">
        <f>IF(ISNUMBER('Etape 2'!Y195),'Etape 2'!Y195,0)</f>
        <v>0</v>
      </c>
      <c r="AE198" s="87">
        <f>IF(ISNUMBER('Etape 2'!Z195),'Etape 2'!Z195,0)</f>
        <v>0</v>
      </c>
      <c r="AF198" s="86">
        <f t="shared" si="177"/>
        <v>999</v>
      </c>
      <c r="AG198" s="288">
        <f t="shared" si="178"/>
        <v>0.25</v>
      </c>
      <c r="AH198" s="181" t="e">
        <f t="shared" si="162"/>
        <v>#VALUE!</v>
      </c>
      <c r="AI198" s="181" t="e">
        <f t="shared" si="190"/>
        <v>#VALUE!</v>
      </c>
      <c r="AJ198" s="86">
        <f t="shared" si="163"/>
        <v>200</v>
      </c>
      <c r="AK198" s="91" t="e">
        <f t="shared" si="164"/>
        <v>#N/A</v>
      </c>
      <c r="AL198" s="91" t="e">
        <f t="shared" si="191"/>
        <v>#N/A</v>
      </c>
      <c r="AM198" s="91">
        <f t="shared" si="109"/>
        <v>6</v>
      </c>
      <c r="AN198" s="91" t="e">
        <f t="shared" si="192"/>
        <v>#N/A</v>
      </c>
      <c r="AO198" s="91" t="e">
        <f t="shared" si="193"/>
        <v>#N/A</v>
      </c>
      <c r="AP198" s="21" t="e">
        <f t="shared" si="194"/>
        <v>#N/A</v>
      </c>
      <c r="AQ198" s="21" t="e">
        <f t="shared" si="195"/>
        <v>#N/A</v>
      </c>
      <c r="AR198" s="92" t="str">
        <f t="shared" si="179"/>
        <v/>
      </c>
      <c r="AS198" s="21" t="str">
        <f t="shared" si="180"/>
        <v/>
      </c>
      <c r="AT198" s="59" t="str">
        <f t="shared" si="165"/>
        <v/>
      </c>
      <c r="AU198" s="105">
        <f t="shared" si="113"/>
        <v>1</v>
      </c>
      <c r="AV198" s="105">
        <f t="shared" si="196"/>
        <v>1</v>
      </c>
      <c r="AW198" s="58">
        <f t="shared" si="197"/>
        <v>2</v>
      </c>
      <c r="AX198" s="58">
        <f t="shared" si="198"/>
        <v>3</v>
      </c>
      <c r="AY198" s="58" t="str">
        <f t="shared" si="199"/>
        <v>avec vannes</v>
      </c>
      <c r="AZ198" s="58" t="str">
        <f t="shared" si="200"/>
        <v>fermé</v>
      </c>
      <c r="BA198" s="60">
        <f t="shared" si="201"/>
        <v>0</v>
      </c>
      <c r="BB198" s="60">
        <f t="shared" si="201"/>
        <v>0</v>
      </c>
      <c r="BC198" s="60">
        <f t="shared" si="201"/>
        <v>0</v>
      </c>
      <c r="BD198" s="60">
        <f t="shared" si="201"/>
        <v>0</v>
      </c>
      <c r="BE198" s="286" t="str">
        <f t="shared" si="166"/>
        <v/>
      </c>
      <c r="BF198" s="58" t="str">
        <f t="shared" si="181"/>
        <v/>
      </c>
      <c r="BG198" s="59" t="str">
        <f t="shared" si="167"/>
        <v/>
      </c>
      <c r="BH198" s="158">
        <f t="shared" ca="1" si="168"/>
        <v>1</v>
      </c>
      <c r="BI198" s="60">
        <f t="shared" ca="1" si="169"/>
        <v>0.15</v>
      </c>
      <c r="BJ198" s="60">
        <f t="shared" si="170"/>
        <v>0.2</v>
      </c>
      <c r="BK198" s="60" t="str">
        <f t="shared" si="182"/>
        <v/>
      </c>
      <c r="BL198" s="21" t="str">
        <f t="shared" si="183"/>
        <v/>
      </c>
      <c r="BM198" s="264" t="str">
        <f t="shared" si="171"/>
        <v/>
      </c>
      <c r="BN198" s="60" t="str">
        <f t="shared" si="184"/>
        <v/>
      </c>
      <c r="BO198" s="136">
        <f t="shared" si="185"/>
        <v>0</v>
      </c>
      <c r="BP198" s="59">
        <f t="shared" si="186"/>
        <v>0</v>
      </c>
      <c r="BQ198" s="136">
        <f t="shared" ca="1" si="172"/>
        <v>1383</v>
      </c>
      <c r="BR198" s="136">
        <f t="shared" ca="1" si="173"/>
        <v>1000.6079734219269</v>
      </c>
      <c r="BS198" s="136">
        <f t="shared" ca="1" si="174"/>
        <v>1468800.6079734219</v>
      </c>
      <c r="BT198" s="136">
        <f t="shared" ca="1" si="175"/>
        <v>313875.53069918114</v>
      </c>
      <c r="BU198" s="136">
        <f t="shared" ca="1" si="176"/>
        <v>1000.6079734219269</v>
      </c>
    </row>
    <row r="199" spans="1:73" x14ac:dyDescent="0.2">
      <c r="A199" s="87" t="str">
        <f>'Etape 2'!A196</f>
        <v/>
      </c>
      <c r="B199" s="87">
        <f>'Etape 2'!B196</f>
        <v>184</v>
      </c>
      <c r="C199" s="87">
        <f ca="1">'Etape 2'!C196</f>
        <v>117</v>
      </c>
      <c r="D199" s="87"/>
      <c r="E199" s="61">
        <f ca="1">RANK(BU199,BU$16:BU$315,0)+COUNTIF(BU$16:BU199,BU199)-1</f>
        <v>117</v>
      </c>
      <c r="F199" s="87" t="str">
        <f>'Etape 2'!D196</f>
        <v/>
      </c>
      <c r="G199" s="87" t="str">
        <f>'Etape 2'!E196</f>
        <v/>
      </c>
      <c r="H199" s="87" t="str">
        <f>'Etape 2'!F196</f>
        <v/>
      </c>
      <c r="I199" s="87" t="str">
        <f>'Etape 2'!G196</f>
        <v/>
      </c>
      <c r="J199" s="87" t="str">
        <f>'Etape 2'!H196</f>
        <v/>
      </c>
      <c r="K199" s="87" t="str">
        <f>'Etape 2'!I196</f>
        <v/>
      </c>
      <c r="L199" s="87">
        <f ca="1">'Etape 2'!J196</f>
        <v>999999</v>
      </c>
      <c r="M199" s="87">
        <f>'Etape 2'!K196</f>
        <v>999</v>
      </c>
      <c r="N199" s="87">
        <f ca="1">'Etape 2'!L196</f>
        <v>184</v>
      </c>
      <c r="O199" s="259">
        <f t="shared" si="159"/>
        <v>0.3</v>
      </c>
      <c r="P199" s="259">
        <f t="shared" si="160"/>
        <v>1.1000000000000001</v>
      </c>
      <c r="Q199" s="260">
        <f t="shared" si="161"/>
        <v>0</v>
      </c>
      <c r="R199" s="261">
        <f t="shared" si="187"/>
        <v>0</v>
      </c>
      <c r="S199" s="87">
        <f>IF(ISBLANK('Etape 2'!N196),0,VLOOKUP('Etape 2'!N196,Matrix_Uebersetzung,2,FALSE))</f>
        <v>0</v>
      </c>
      <c r="T199" s="87">
        <f>IF(ISBLANK('Etape 2'!O196),0,VLOOKUP('Etape 2'!O196,Matrix_Uebersetzung,2,FALSE))</f>
        <v>0</v>
      </c>
      <c r="U199" s="87">
        <f>IF(ISBLANK('Etape 2'!P196),0,VLOOKUP('Etape 2'!P196,Matrix_Uebersetzung,2,FALSE))</f>
        <v>0</v>
      </c>
      <c r="V199" s="87" t="str">
        <f>'Etape 2'!Q196</f>
        <v/>
      </c>
      <c r="W199" s="87">
        <f>'Etape 2'!R196</f>
        <v>0</v>
      </c>
      <c r="X199" s="87" t="str">
        <f>'Etape 2'!S196</f>
        <v/>
      </c>
      <c r="Y199" s="89" t="str">
        <f>'Etape 2'!T196</f>
        <v/>
      </c>
      <c r="Z199" s="87">
        <f>'Etape 2'!U196</f>
        <v>0</v>
      </c>
      <c r="AA199" s="87" t="str">
        <f>'Etape 2'!V196</f>
        <v/>
      </c>
      <c r="AB199" s="87">
        <f>IF(ISNUMBER('Etape 2'!W196),'Etape 2'!W196,0)</f>
        <v>0</v>
      </c>
      <c r="AC199" s="87">
        <f>IF(ISNUMBER('Etape 2'!X196),'Etape 2'!X196,0)</f>
        <v>0</v>
      </c>
      <c r="AD199" s="87">
        <f>IF(ISNUMBER('Etape 2'!Y196),'Etape 2'!Y196,0)</f>
        <v>0</v>
      </c>
      <c r="AE199" s="87">
        <f>IF(ISNUMBER('Etape 2'!Z196),'Etape 2'!Z196,0)</f>
        <v>0</v>
      </c>
      <c r="AF199" s="86">
        <f t="shared" si="177"/>
        <v>999</v>
      </c>
      <c r="AG199" s="288">
        <f t="shared" si="178"/>
        <v>0.25</v>
      </c>
      <c r="AH199" s="181" t="e">
        <f t="shared" si="162"/>
        <v>#VALUE!</v>
      </c>
      <c r="AI199" s="181" t="e">
        <f t="shared" si="190"/>
        <v>#VALUE!</v>
      </c>
      <c r="AJ199" s="86">
        <f t="shared" si="163"/>
        <v>200</v>
      </c>
      <c r="AK199" s="91" t="e">
        <f t="shared" si="164"/>
        <v>#N/A</v>
      </c>
      <c r="AL199" s="91" t="e">
        <f t="shared" si="191"/>
        <v>#N/A</v>
      </c>
      <c r="AM199" s="91">
        <f t="shared" si="109"/>
        <v>6</v>
      </c>
      <c r="AN199" s="91" t="e">
        <f t="shared" si="192"/>
        <v>#N/A</v>
      </c>
      <c r="AO199" s="91" t="e">
        <f t="shared" si="193"/>
        <v>#N/A</v>
      </c>
      <c r="AP199" s="21" t="e">
        <f t="shared" si="194"/>
        <v>#N/A</v>
      </c>
      <c r="AQ199" s="21" t="e">
        <f t="shared" si="195"/>
        <v>#N/A</v>
      </c>
      <c r="AR199" s="92" t="str">
        <f t="shared" si="179"/>
        <v/>
      </c>
      <c r="AS199" s="21" t="str">
        <f t="shared" si="180"/>
        <v/>
      </c>
      <c r="AT199" s="59" t="str">
        <f t="shared" si="165"/>
        <v/>
      </c>
      <c r="AU199" s="105">
        <f t="shared" si="113"/>
        <v>1</v>
      </c>
      <c r="AV199" s="105">
        <f t="shared" si="196"/>
        <v>1</v>
      </c>
      <c r="AW199" s="58">
        <f t="shared" si="197"/>
        <v>2</v>
      </c>
      <c r="AX199" s="58">
        <f t="shared" si="198"/>
        <v>3</v>
      </c>
      <c r="AY199" s="58" t="str">
        <f t="shared" si="199"/>
        <v>avec vannes</v>
      </c>
      <c r="AZ199" s="58" t="str">
        <f t="shared" si="200"/>
        <v>fermé</v>
      </c>
      <c r="BA199" s="60">
        <f t="shared" si="201"/>
        <v>0</v>
      </c>
      <c r="BB199" s="60">
        <f t="shared" si="201"/>
        <v>0</v>
      </c>
      <c r="BC199" s="60">
        <f t="shared" si="201"/>
        <v>0</v>
      </c>
      <c r="BD199" s="60">
        <f t="shared" si="201"/>
        <v>0</v>
      </c>
      <c r="BE199" s="286" t="str">
        <f t="shared" si="166"/>
        <v/>
      </c>
      <c r="BF199" s="58" t="str">
        <f t="shared" si="181"/>
        <v/>
      </c>
      <c r="BG199" s="59" t="str">
        <f t="shared" si="167"/>
        <v/>
      </c>
      <c r="BH199" s="158">
        <f t="shared" ca="1" si="168"/>
        <v>1</v>
      </c>
      <c r="BI199" s="60">
        <f t="shared" ca="1" si="169"/>
        <v>0.15</v>
      </c>
      <c r="BJ199" s="60">
        <f t="shared" si="170"/>
        <v>0.2</v>
      </c>
      <c r="BK199" s="60" t="str">
        <f t="shared" si="182"/>
        <v/>
      </c>
      <c r="BL199" s="21" t="str">
        <f t="shared" si="183"/>
        <v/>
      </c>
      <c r="BM199" s="264" t="str">
        <f t="shared" si="171"/>
        <v/>
      </c>
      <c r="BN199" s="60" t="str">
        <f t="shared" si="184"/>
        <v/>
      </c>
      <c r="BO199" s="136">
        <f t="shared" si="185"/>
        <v>0</v>
      </c>
      <c r="BP199" s="59">
        <f t="shared" si="186"/>
        <v>0</v>
      </c>
      <c r="BQ199" s="136">
        <f t="shared" ca="1" si="172"/>
        <v>1384</v>
      </c>
      <c r="BR199" s="136">
        <f t="shared" ca="1" si="173"/>
        <v>1000.6112956810631</v>
      </c>
      <c r="BS199" s="136">
        <f t="shared" ca="1" si="174"/>
        <v>1468800.611295681</v>
      </c>
      <c r="BT199" s="136">
        <f t="shared" ca="1" si="175"/>
        <v>313875.53402144025</v>
      </c>
      <c r="BU199" s="136">
        <f t="shared" ca="1" si="176"/>
        <v>1000.6112956810631</v>
      </c>
    </row>
    <row r="200" spans="1:73" x14ac:dyDescent="0.2">
      <c r="A200" s="87" t="str">
        <f>'Etape 2'!A197</f>
        <v/>
      </c>
      <c r="B200" s="87">
        <f>'Etape 2'!B197</f>
        <v>185</v>
      </c>
      <c r="C200" s="87">
        <f ca="1">'Etape 2'!C197</f>
        <v>116</v>
      </c>
      <c r="D200" s="87"/>
      <c r="E200" s="61">
        <f ca="1">RANK(BU200,BU$16:BU$315,0)+COUNTIF(BU$16:BU200,BU200)-1</f>
        <v>116</v>
      </c>
      <c r="F200" s="87" t="str">
        <f>'Etape 2'!D197</f>
        <v/>
      </c>
      <c r="G200" s="87" t="str">
        <f>'Etape 2'!E197</f>
        <v/>
      </c>
      <c r="H200" s="87" t="str">
        <f>'Etape 2'!F197</f>
        <v/>
      </c>
      <c r="I200" s="87" t="str">
        <f>'Etape 2'!G197</f>
        <v/>
      </c>
      <c r="J200" s="87" t="str">
        <f>'Etape 2'!H197</f>
        <v/>
      </c>
      <c r="K200" s="87" t="str">
        <f>'Etape 2'!I197</f>
        <v/>
      </c>
      <c r="L200" s="87">
        <f ca="1">'Etape 2'!J197</f>
        <v>999999</v>
      </c>
      <c r="M200" s="87">
        <f>'Etape 2'!K197</f>
        <v>999</v>
      </c>
      <c r="N200" s="87">
        <f ca="1">'Etape 2'!L197</f>
        <v>185</v>
      </c>
      <c r="O200" s="259">
        <f t="shared" si="159"/>
        <v>0.3</v>
      </c>
      <c r="P200" s="259">
        <f t="shared" si="160"/>
        <v>1.1000000000000001</v>
      </c>
      <c r="Q200" s="260">
        <f t="shared" si="161"/>
        <v>0</v>
      </c>
      <c r="R200" s="261">
        <f t="shared" si="187"/>
        <v>0</v>
      </c>
      <c r="S200" s="87">
        <f>IF(ISBLANK('Etape 2'!N197),0,VLOOKUP('Etape 2'!N197,Matrix_Uebersetzung,2,FALSE))</f>
        <v>0</v>
      </c>
      <c r="T200" s="87">
        <f>IF(ISBLANK('Etape 2'!O197),0,VLOOKUP('Etape 2'!O197,Matrix_Uebersetzung,2,FALSE))</f>
        <v>0</v>
      </c>
      <c r="U200" s="87">
        <f>IF(ISBLANK('Etape 2'!P197),0,VLOOKUP('Etape 2'!P197,Matrix_Uebersetzung,2,FALSE))</f>
        <v>0</v>
      </c>
      <c r="V200" s="87" t="str">
        <f>'Etape 2'!Q197</f>
        <v/>
      </c>
      <c r="W200" s="87">
        <f>'Etape 2'!R197</f>
        <v>0</v>
      </c>
      <c r="X200" s="87" t="str">
        <f>'Etape 2'!S197</f>
        <v/>
      </c>
      <c r="Y200" s="89" t="str">
        <f>'Etape 2'!T197</f>
        <v/>
      </c>
      <c r="Z200" s="87">
        <f>'Etape 2'!U197</f>
        <v>0</v>
      </c>
      <c r="AA200" s="87" t="str">
        <f>'Etape 2'!V197</f>
        <v/>
      </c>
      <c r="AB200" s="87">
        <f>IF(ISNUMBER('Etape 2'!W197),'Etape 2'!W197,0)</f>
        <v>0</v>
      </c>
      <c r="AC200" s="87">
        <f>IF(ISNUMBER('Etape 2'!X197),'Etape 2'!X197,0)</f>
        <v>0</v>
      </c>
      <c r="AD200" s="87">
        <f>IF(ISNUMBER('Etape 2'!Y197),'Etape 2'!Y197,0)</f>
        <v>0</v>
      </c>
      <c r="AE200" s="87">
        <f>IF(ISNUMBER('Etape 2'!Z197),'Etape 2'!Z197,0)</f>
        <v>0</v>
      </c>
      <c r="AF200" s="86">
        <f t="shared" si="177"/>
        <v>999</v>
      </c>
      <c r="AG200" s="288">
        <f t="shared" si="178"/>
        <v>0.25</v>
      </c>
      <c r="AH200" s="181" t="e">
        <f t="shared" si="162"/>
        <v>#VALUE!</v>
      </c>
      <c r="AI200" s="181" t="e">
        <f t="shared" si="190"/>
        <v>#VALUE!</v>
      </c>
      <c r="AJ200" s="86">
        <f t="shared" si="163"/>
        <v>200</v>
      </c>
      <c r="AK200" s="91" t="e">
        <f t="shared" si="164"/>
        <v>#N/A</v>
      </c>
      <c r="AL200" s="91" t="e">
        <f t="shared" si="191"/>
        <v>#N/A</v>
      </c>
      <c r="AM200" s="91">
        <f t="shared" si="109"/>
        <v>6</v>
      </c>
      <c r="AN200" s="91" t="e">
        <f t="shared" si="192"/>
        <v>#N/A</v>
      </c>
      <c r="AO200" s="91" t="e">
        <f t="shared" si="193"/>
        <v>#N/A</v>
      </c>
      <c r="AP200" s="21" t="e">
        <f t="shared" si="194"/>
        <v>#N/A</v>
      </c>
      <c r="AQ200" s="21" t="e">
        <f t="shared" si="195"/>
        <v>#N/A</v>
      </c>
      <c r="AR200" s="92" t="str">
        <f t="shared" si="179"/>
        <v/>
      </c>
      <c r="AS200" s="21" t="str">
        <f t="shared" si="180"/>
        <v/>
      </c>
      <c r="AT200" s="59" t="str">
        <f t="shared" si="165"/>
        <v/>
      </c>
      <c r="AU200" s="105">
        <f t="shared" si="113"/>
        <v>1</v>
      </c>
      <c r="AV200" s="105">
        <f t="shared" si="196"/>
        <v>1</v>
      </c>
      <c r="AW200" s="58">
        <f t="shared" si="197"/>
        <v>2</v>
      </c>
      <c r="AX200" s="58">
        <f t="shared" si="198"/>
        <v>3</v>
      </c>
      <c r="AY200" s="58" t="str">
        <f t="shared" si="199"/>
        <v>avec vannes</v>
      </c>
      <c r="AZ200" s="58" t="str">
        <f t="shared" si="200"/>
        <v>fermé</v>
      </c>
      <c r="BA200" s="60">
        <f t="shared" si="201"/>
        <v>0</v>
      </c>
      <c r="BB200" s="60">
        <f t="shared" si="201"/>
        <v>0</v>
      </c>
      <c r="BC200" s="60">
        <f t="shared" si="201"/>
        <v>0</v>
      </c>
      <c r="BD200" s="60">
        <f t="shared" si="201"/>
        <v>0</v>
      </c>
      <c r="BE200" s="286" t="str">
        <f t="shared" si="166"/>
        <v/>
      </c>
      <c r="BF200" s="58" t="str">
        <f t="shared" si="181"/>
        <v/>
      </c>
      <c r="BG200" s="59" t="str">
        <f t="shared" si="167"/>
        <v/>
      </c>
      <c r="BH200" s="158">
        <f t="shared" ca="1" si="168"/>
        <v>1</v>
      </c>
      <c r="BI200" s="60">
        <f t="shared" ca="1" si="169"/>
        <v>0.15</v>
      </c>
      <c r="BJ200" s="60">
        <f t="shared" si="170"/>
        <v>0.2</v>
      </c>
      <c r="BK200" s="60" t="str">
        <f t="shared" si="182"/>
        <v/>
      </c>
      <c r="BL200" s="21" t="str">
        <f t="shared" si="183"/>
        <v/>
      </c>
      <c r="BM200" s="264" t="str">
        <f t="shared" si="171"/>
        <v/>
      </c>
      <c r="BN200" s="60" t="str">
        <f t="shared" si="184"/>
        <v/>
      </c>
      <c r="BO200" s="136">
        <f t="shared" si="185"/>
        <v>0</v>
      </c>
      <c r="BP200" s="59">
        <f t="shared" si="186"/>
        <v>0</v>
      </c>
      <c r="BQ200" s="136">
        <f t="shared" ca="1" si="172"/>
        <v>1385</v>
      </c>
      <c r="BR200" s="136">
        <f t="shared" ca="1" si="173"/>
        <v>1000.6146179401993</v>
      </c>
      <c r="BS200" s="136">
        <f t="shared" ca="1" si="174"/>
        <v>1468800.6146179403</v>
      </c>
      <c r="BT200" s="136">
        <f t="shared" ca="1" si="175"/>
        <v>313875.53734369943</v>
      </c>
      <c r="BU200" s="136">
        <f t="shared" ca="1" si="176"/>
        <v>1000.6146179401993</v>
      </c>
    </row>
    <row r="201" spans="1:73" x14ac:dyDescent="0.2">
      <c r="A201" s="87" t="str">
        <f>'Etape 2'!A198</f>
        <v/>
      </c>
      <c r="B201" s="87">
        <f>'Etape 2'!B198</f>
        <v>186</v>
      </c>
      <c r="C201" s="87">
        <f ca="1">'Etape 2'!C198</f>
        <v>115</v>
      </c>
      <c r="D201" s="87"/>
      <c r="E201" s="61">
        <f ca="1">RANK(BU201,BU$16:BU$315,0)+COUNTIF(BU$16:BU201,BU201)-1</f>
        <v>115</v>
      </c>
      <c r="F201" s="87" t="str">
        <f>'Etape 2'!D198</f>
        <v/>
      </c>
      <c r="G201" s="87" t="str">
        <f>'Etape 2'!E198</f>
        <v/>
      </c>
      <c r="H201" s="87" t="str">
        <f>'Etape 2'!F198</f>
        <v/>
      </c>
      <c r="I201" s="87" t="str">
        <f>'Etape 2'!G198</f>
        <v/>
      </c>
      <c r="J201" s="87" t="str">
        <f>'Etape 2'!H198</f>
        <v/>
      </c>
      <c r="K201" s="87" t="str">
        <f>'Etape 2'!I198</f>
        <v/>
      </c>
      <c r="L201" s="87">
        <f ca="1">'Etape 2'!J198</f>
        <v>999999</v>
      </c>
      <c r="M201" s="87">
        <f>'Etape 2'!K198</f>
        <v>999</v>
      </c>
      <c r="N201" s="87">
        <f ca="1">'Etape 2'!L198</f>
        <v>186</v>
      </c>
      <c r="O201" s="259">
        <f t="shared" si="159"/>
        <v>0.3</v>
      </c>
      <c r="P201" s="259">
        <f t="shared" si="160"/>
        <v>1.1000000000000001</v>
      </c>
      <c r="Q201" s="260">
        <f t="shared" si="161"/>
        <v>0</v>
      </c>
      <c r="R201" s="261">
        <f t="shared" si="187"/>
        <v>0</v>
      </c>
      <c r="S201" s="87">
        <f>IF(ISBLANK('Etape 2'!N198),0,VLOOKUP('Etape 2'!N198,Matrix_Uebersetzung,2,FALSE))</f>
        <v>0</v>
      </c>
      <c r="T201" s="87">
        <f>IF(ISBLANK('Etape 2'!O198),0,VLOOKUP('Etape 2'!O198,Matrix_Uebersetzung,2,FALSE))</f>
        <v>0</v>
      </c>
      <c r="U201" s="87">
        <f>IF(ISBLANK('Etape 2'!P198),0,VLOOKUP('Etape 2'!P198,Matrix_Uebersetzung,2,FALSE))</f>
        <v>0</v>
      </c>
      <c r="V201" s="87" t="str">
        <f>'Etape 2'!Q198</f>
        <v/>
      </c>
      <c r="W201" s="87">
        <f>'Etape 2'!R198</f>
        <v>0</v>
      </c>
      <c r="X201" s="87" t="str">
        <f>'Etape 2'!S198</f>
        <v/>
      </c>
      <c r="Y201" s="89" t="str">
        <f>'Etape 2'!T198</f>
        <v/>
      </c>
      <c r="Z201" s="87">
        <f>'Etape 2'!U198</f>
        <v>0</v>
      </c>
      <c r="AA201" s="87" t="str">
        <f>'Etape 2'!V198</f>
        <v/>
      </c>
      <c r="AB201" s="87">
        <f>IF(ISNUMBER('Etape 2'!W198),'Etape 2'!W198,0)</f>
        <v>0</v>
      </c>
      <c r="AC201" s="87">
        <f>IF(ISNUMBER('Etape 2'!X198),'Etape 2'!X198,0)</f>
        <v>0</v>
      </c>
      <c r="AD201" s="87">
        <f>IF(ISNUMBER('Etape 2'!Y198),'Etape 2'!Y198,0)</f>
        <v>0</v>
      </c>
      <c r="AE201" s="87">
        <f>IF(ISNUMBER('Etape 2'!Z198),'Etape 2'!Z198,0)</f>
        <v>0</v>
      </c>
      <c r="AF201" s="86">
        <f t="shared" si="177"/>
        <v>999</v>
      </c>
      <c r="AG201" s="288">
        <f t="shared" si="178"/>
        <v>0.25</v>
      </c>
      <c r="AH201" s="181" t="e">
        <f t="shared" si="162"/>
        <v>#VALUE!</v>
      </c>
      <c r="AI201" s="181" t="e">
        <f t="shared" si="190"/>
        <v>#VALUE!</v>
      </c>
      <c r="AJ201" s="86">
        <f t="shared" si="163"/>
        <v>200</v>
      </c>
      <c r="AK201" s="91" t="e">
        <f t="shared" si="164"/>
        <v>#N/A</v>
      </c>
      <c r="AL201" s="91" t="e">
        <f t="shared" si="191"/>
        <v>#N/A</v>
      </c>
      <c r="AM201" s="91">
        <f t="shared" si="109"/>
        <v>6</v>
      </c>
      <c r="AN201" s="91" t="e">
        <f t="shared" si="192"/>
        <v>#N/A</v>
      </c>
      <c r="AO201" s="91" t="e">
        <f t="shared" si="193"/>
        <v>#N/A</v>
      </c>
      <c r="AP201" s="21" t="e">
        <f t="shared" si="194"/>
        <v>#N/A</v>
      </c>
      <c r="AQ201" s="21" t="e">
        <f t="shared" si="195"/>
        <v>#N/A</v>
      </c>
      <c r="AR201" s="92" t="str">
        <f t="shared" si="179"/>
        <v/>
      </c>
      <c r="AS201" s="21" t="str">
        <f t="shared" si="180"/>
        <v/>
      </c>
      <c r="AT201" s="59" t="str">
        <f t="shared" si="165"/>
        <v/>
      </c>
      <c r="AU201" s="105">
        <f t="shared" si="113"/>
        <v>1</v>
      </c>
      <c r="AV201" s="105">
        <f t="shared" si="196"/>
        <v>1</v>
      </c>
      <c r="AW201" s="58">
        <f t="shared" si="197"/>
        <v>2</v>
      </c>
      <c r="AX201" s="58">
        <f t="shared" si="198"/>
        <v>3</v>
      </c>
      <c r="AY201" s="58" t="str">
        <f t="shared" si="199"/>
        <v>avec vannes</v>
      </c>
      <c r="AZ201" s="58" t="str">
        <f t="shared" si="200"/>
        <v>fermé</v>
      </c>
      <c r="BA201" s="60">
        <f t="shared" si="201"/>
        <v>0</v>
      </c>
      <c r="BB201" s="60">
        <f t="shared" si="201"/>
        <v>0</v>
      </c>
      <c r="BC201" s="60">
        <f t="shared" si="201"/>
        <v>0</v>
      </c>
      <c r="BD201" s="60">
        <f t="shared" si="201"/>
        <v>0</v>
      </c>
      <c r="BE201" s="286" t="str">
        <f t="shared" si="166"/>
        <v/>
      </c>
      <c r="BF201" s="58" t="str">
        <f t="shared" si="181"/>
        <v/>
      </c>
      <c r="BG201" s="59" t="str">
        <f t="shared" si="167"/>
        <v/>
      </c>
      <c r="BH201" s="158">
        <f t="shared" ca="1" si="168"/>
        <v>1</v>
      </c>
      <c r="BI201" s="60">
        <f t="shared" ca="1" si="169"/>
        <v>0.15</v>
      </c>
      <c r="BJ201" s="60">
        <f t="shared" si="170"/>
        <v>0.2</v>
      </c>
      <c r="BK201" s="60" t="str">
        <f t="shared" si="182"/>
        <v/>
      </c>
      <c r="BL201" s="21" t="str">
        <f t="shared" si="183"/>
        <v/>
      </c>
      <c r="BM201" s="264" t="str">
        <f t="shared" si="171"/>
        <v/>
      </c>
      <c r="BN201" s="60" t="str">
        <f t="shared" si="184"/>
        <v/>
      </c>
      <c r="BO201" s="136">
        <f t="shared" si="185"/>
        <v>0</v>
      </c>
      <c r="BP201" s="59">
        <f t="shared" si="186"/>
        <v>0</v>
      </c>
      <c r="BQ201" s="136">
        <f t="shared" ca="1" si="172"/>
        <v>1386</v>
      </c>
      <c r="BR201" s="136">
        <f t="shared" ca="1" si="173"/>
        <v>1000.6179401993355</v>
      </c>
      <c r="BS201" s="136">
        <f t="shared" ca="1" si="174"/>
        <v>1468800.6179401993</v>
      </c>
      <c r="BT201" s="136">
        <f t="shared" ca="1" si="175"/>
        <v>313875.54066595854</v>
      </c>
      <c r="BU201" s="136">
        <f t="shared" ca="1" si="176"/>
        <v>1000.6179401993355</v>
      </c>
    </row>
    <row r="202" spans="1:73" x14ac:dyDescent="0.2">
      <c r="A202" s="87" t="str">
        <f>'Etape 2'!A199</f>
        <v/>
      </c>
      <c r="B202" s="87">
        <f>'Etape 2'!B199</f>
        <v>187</v>
      </c>
      <c r="C202" s="87">
        <f ca="1">'Etape 2'!C199</f>
        <v>114</v>
      </c>
      <c r="D202" s="87"/>
      <c r="E202" s="61">
        <f ca="1">RANK(BU202,BU$16:BU$315,0)+COUNTIF(BU$16:BU202,BU202)-1</f>
        <v>114</v>
      </c>
      <c r="F202" s="87" t="str">
        <f>'Etape 2'!D199</f>
        <v/>
      </c>
      <c r="G202" s="87" t="str">
        <f>'Etape 2'!E199</f>
        <v/>
      </c>
      <c r="H202" s="87" t="str">
        <f>'Etape 2'!F199</f>
        <v/>
      </c>
      <c r="I202" s="87" t="str">
        <f>'Etape 2'!G199</f>
        <v/>
      </c>
      <c r="J202" s="87" t="str">
        <f>'Etape 2'!H199</f>
        <v/>
      </c>
      <c r="K202" s="87" t="str">
        <f>'Etape 2'!I199</f>
        <v/>
      </c>
      <c r="L202" s="87">
        <f ca="1">'Etape 2'!J199</f>
        <v>999999</v>
      </c>
      <c r="M202" s="87">
        <f>'Etape 2'!K199</f>
        <v>999</v>
      </c>
      <c r="N202" s="87">
        <f ca="1">'Etape 2'!L199</f>
        <v>187</v>
      </c>
      <c r="O202" s="259">
        <f t="shared" si="159"/>
        <v>0.3</v>
      </c>
      <c r="P202" s="259">
        <f t="shared" si="160"/>
        <v>1.1000000000000001</v>
      </c>
      <c r="Q202" s="260">
        <f t="shared" si="161"/>
        <v>0</v>
      </c>
      <c r="R202" s="261">
        <f t="shared" si="187"/>
        <v>0</v>
      </c>
      <c r="S202" s="87">
        <f>IF(ISBLANK('Etape 2'!N199),0,VLOOKUP('Etape 2'!N199,Matrix_Uebersetzung,2,FALSE))</f>
        <v>0</v>
      </c>
      <c r="T202" s="87">
        <f>IF(ISBLANK('Etape 2'!O199),0,VLOOKUP('Etape 2'!O199,Matrix_Uebersetzung,2,FALSE))</f>
        <v>0</v>
      </c>
      <c r="U202" s="87">
        <f>IF(ISBLANK('Etape 2'!P199),0,VLOOKUP('Etape 2'!P199,Matrix_Uebersetzung,2,FALSE))</f>
        <v>0</v>
      </c>
      <c r="V202" s="87" t="str">
        <f>'Etape 2'!Q199</f>
        <v/>
      </c>
      <c r="W202" s="87">
        <f>'Etape 2'!R199</f>
        <v>0</v>
      </c>
      <c r="X202" s="87" t="str">
        <f>'Etape 2'!S199</f>
        <v/>
      </c>
      <c r="Y202" s="89" t="str">
        <f>'Etape 2'!T199</f>
        <v/>
      </c>
      <c r="Z202" s="87">
        <f>'Etape 2'!U199</f>
        <v>0</v>
      </c>
      <c r="AA202" s="87" t="str">
        <f>'Etape 2'!V199</f>
        <v/>
      </c>
      <c r="AB202" s="87">
        <f>IF(ISNUMBER('Etape 2'!W199),'Etape 2'!W199,0)</f>
        <v>0</v>
      </c>
      <c r="AC202" s="87">
        <f>IF(ISNUMBER('Etape 2'!X199),'Etape 2'!X199,0)</f>
        <v>0</v>
      </c>
      <c r="AD202" s="87">
        <f>IF(ISNUMBER('Etape 2'!Y199),'Etape 2'!Y199,0)</f>
        <v>0</v>
      </c>
      <c r="AE202" s="87">
        <f>IF(ISNUMBER('Etape 2'!Z199),'Etape 2'!Z199,0)</f>
        <v>0</v>
      </c>
      <c r="AF202" s="86">
        <f t="shared" si="177"/>
        <v>999</v>
      </c>
      <c r="AG202" s="288">
        <f t="shared" si="178"/>
        <v>0.25</v>
      </c>
      <c r="AH202" s="181" t="e">
        <f t="shared" si="162"/>
        <v>#VALUE!</v>
      </c>
      <c r="AI202" s="181" t="e">
        <f t="shared" si="190"/>
        <v>#VALUE!</v>
      </c>
      <c r="AJ202" s="86">
        <f t="shared" si="163"/>
        <v>200</v>
      </c>
      <c r="AK202" s="91" t="e">
        <f t="shared" si="164"/>
        <v>#N/A</v>
      </c>
      <c r="AL202" s="91" t="e">
        <f t="shared" si="191"/>
        <v>#N/A</v>
      </c>
      <c r="AM202" s="91">
        <f t="shared" si="109"/>
        <v>6</v>
      </c>
      <c r="AN202" s="91" t="e">
        <f t="shared" si="192"/>
        <v>#N/A</v>
      </c>
      <c r="AO202" s="91" t="e">
        <f t="shared" si="193"/>
        <v>#N/A</v>
      </c>
      <c r="AP202" s="21" t="e">
        <f t="shared" si="194"/>
        <v>#N/A</v>
      </c>
      <c r="AQ202" s="21" t="e">
        <f t="shared" si="195"/>
        <v>#N/A</v>
      </c>
      <c r="AR202" s="92" t="str">
        <f t="shared" si="179"/>
        <v/>
      </c>
      <c r="AS202" s="21" t="str">
        <f t="shared" si="180"/>
        <v/>
      </c>
      <c r="AT202" s="59" t="str">
        <f t="shared" si="165"/>
        <v/>
      </c>
      <c r="AU202" s="105">
        <f t="shared" si="113"/>
        <v>1</v>
      </c>
      <c r="AV202" s="105">
        <f t="shared" si="196"/>
        <v>1</v>
      </c>
      <c r="AW202" s="58">
        <f t="shared" si="197"/>
        <v>2</v>
      </c>
      <c r="AX202" s="58">
        <f t="shared" si="198"/>
        <v>3</v>
      </c>
      <c r="AY202" s="58" t="str">
        <f t="shared" si="199"/>
        <v>avec vannes</v>
      </c>
      <c r="AZ202" s="58" t="str">
        <f t="shared" si="200"/>
        <v>fermé</v>
      </c>
      <c r="BA202" s="60">
        <f t="shared" si="201"/>
        <v>0</v>
      </c>
      <c r="BB202" s="60">
        <f t="shared" si="201"/>
        <v>0</v>
      </c>
      <c r="BC202" s="60">
        <f t="shared" si="201"/>
        <v>0</v>
      </c>
      <c r="BD202" s="60">
        <f t="shared" si="201"/>
        <v>0</v>
      </c>
      <c r="BE202" s="286" t="str">
        <f t="shared" si="166"/>
        <v/>
      </c>
      <c r="BF202" s="58" t="str">
        <f t="shared" si="181"/>
        <v/>
      </c>
      <c r="BG202" s="59" t="str">
        <f t="shared" si="167"/>
        <v/>
      </c>
      <c r="BH202" s="158">
        <f t="shared" ca="1" si="168"/>
        <v>1</v>
      </c>
      <c r="BI202" s="60">
        <f t="shared" ca="1" si="169"/>
        <v>0.15</v>
      </c>
      <c r="BJ202" s="60">
        <f t="shared" si="170"/>
        <v>0.2</v>
      </c>
      <c r="BK202" s="60" t="str">
        <f t="shared" si="182"/>
        <v/>
      </c>
      <c r="BL202" s="21" t="str">
        <f t="shared" si="183"/>
        <v/>
      </c>
      <c r="BM202" s="264" t="str">
        <f t="shared" si="171"/>
        <v/>
      </c>
      <c r="BN202" s="60" t="str">
        <f t="shared" si="184"/>
        <v/>
      </c>
      <c r="BO202" s="136">
        <f t="shared" si="185"/>
        <v>0</v>
      </c>
      <c r="BP202" s="59">
        <f t="shared" si="186"/>
        <v>0</v>
      </c>
      <c r="BQ202" s="136">
        <f t="shared" ca="1" si="172"/>
        <v>1387</v>
      </c>
      <c r="BR202" s="136">
        <f t="shared" ca="1" si="173"/>
        <v>1000.6212624584717</v>
      </c>
      <c r="BS202" s="136">
        <f t="shared" ca="1" si="174"/>
        <v>1468800.6212624584</v>
      </c>
      <c r="BT202" s="136">
        <f t="shared" ca="1" si="175"/>
        <v>313875.54398821766</v>
      </c>
      <c r="BU202" s="136">
        <f t="shared" ca="1" si="176"/>
        <v>1000.6212624584717</v>
      </c>
    </row>
    <row r="203" spans="1:73" x14ac:dyDescent="0.2">
      <c r="A203" s="87" t="str">
        <f>'Etape 2'!A200</f>
        <v/>
      </c>
      <c r="B203" s="87">
        <f>'Etape 2'!B200</f>
        <v>188</v>
      </c>
      <c r="C203" s="87">
        <f ca="1">'Etape 2'!C200</f>
        <v>113</v>
      </c>
      <c r="D203" s="87"/>
      <c r="E203" s="61">
        <f ca="1">RANK(BU203,BU$16:BU$315,0)+COUNTIF(BU$16:BU203,BU203)-1</f>
        <v>113</v>
      </c>
      <c r="F203" s="87" t="str">
        <f>'Etape 2'!D200</f>
        <v/>
      </c>
      <c r="G203" s="87" t="str">
        <f>'Etape 2'!E200</f>
        <v/>
      </c>
      <c r="H203" s="87" t="str">
        <f>'Etape 2'!F200</f>
        <v/>
      </c>
      <c r="I203" s="87" t="str">
        <f>'Etape 2'!G200</f>
        <v/>
      </c>
      <c r="J203" s="87" t="str">
        <f>'Etape 2'!H200</f>
        <v/>
      </c>
      <c r="K203" s="87" t="str">
        <f>'Etape 2'!I200</f>
        <v/>
      </c>
      <c r="L203" s="87">
        <f ca="1">'Etape 2'!J200</f>
        <v>999999</v>
      </c>
      <c r="M203" s="87">
        <f>'Etape 2'!K200</f>
        <v>999</v>
      </c>
      <c r="N203" s="87">
        <f ca="1">'Etape 2'!L200</f>
        <v>188</v>
      </c>
      <c r="O203" s="259">
        <f t="shared" si="159"/>
        <v>0.3</v>
      </c>
      <c r="P203" s="259">
        <f t="shared" si="160"/>
        <v>1.1000000000000001</v>
      </c>
      <c r="Q203" s="260">
        <f t="shared" si="161"/>
        <v>0</v>
      </c>
      <c r="R203" s="261">
        <f t="shared" si="187"/>
        <v>0</v>
      </c>
      <c r="S203" s="87">
        <f>IF(ISBLANK('Etape 2'!N200),0,VLOOKUP('Etape 2'!N200,Matrix_Uebersetzung,2,FALSE))</f>
        <v>0</v>
      </c>
      <c r="T203" s="87">
        <f>IF(ISBLANK('Etape 2'!O200),0,VLOOKUP('Etape 2'!O200,Matrix_Uebersetzung,2,FALSE))</f>
        <v>0</v>
      </c>
      <c r="U203" s="87">
        <f>IF(ISBLANK('Etape 2'!P200),0,VLOOKUP('Etape 2'!P200,Matrix_Uebersetzung,2,FALSE))</f>
        <v>0</v>
      </c>
      <c r="V203" s="87" t="str">
        <f>'Etape 2'!Q200</f>
        <v/>
      </c>
      <c r="W203" s="87">
        <f>'Etape 2'!R200</f>
        <v>0</v>
      </c>
      <c r="X203" s="87" t="str">
        <f>'Etape 2'!S200</f>
        <v/>
      </c>
      <c r="Y203" s="89" t="str">
        <f>'Etape 2'!T200</f>
        <v/>
      </c>
      <c r="Z203" s="87">
        <f>'Etape 2'!U200</f>
        <v>0</v>
      </c>
      <c r="AA203" s="87" t="str">
        <f>'Etape 2'!V200</f>
        <v/>
      </c>
      <c r="AB203" s="87">
        <f>IF(ISNUMBER('Etape 2'!W200),'Etape 2'!W200,0)</f>
        <v>0</v>
      </c>
      <c r="AC203" s="87">
        <f>IF(ISNUMBER('Etape 2'!X200),'Etape 2'!X200,0)</f>
        <v>0</v>
      </c>
      <c r="AD203" s="87">
        <f>IF(ISNUMBER('Etape 2'!Y200),'Etape 2'!Y200,0)</f>
        <v>0</v>
      </c>
      <c r="AE203" s="87">
        <f>IF(ISNUMBER('Etape 2'!Z200),'Etape 2'!Z200,0)</f>
        <v>0</v>
      </c>
      <c r="AF203" s="86">
        <f t="shared" si="177"/>
        <v>999</v>
      </c>
      <c r="AG203" s="288">
        <f t="shared" si="178"/>
        <v>0.25</v>
      </c>
      <c r="AH203" s="181" t="e">
        <f t="shared" si="162"/>
        <v>#VALUE!</v>
      </c>
      <c r="AI203" s="181" t="e">
        <f t="shared" si="190"/>
        <v>#VALUE!</v>
      </c>
      <c r="AJ203" s="86">
        <f t="shared" si="163"/>
        <v>200</v>
      </c>
      <c r="AK203" s="91" t="e">
        <f t="shared" si="164"/>
        <v>#N/A</v>
      </c>
      <c r="AL203" s="91" t="e">
        <f t="shared" si="191"/>
        <v>#N/A</v>
      </c>
      <c r="AM203" s="91">
        <f t="shared" si="109"/>
        <v>6</v>
      </c>
      <c r="AN203" s="91" t="e">
        <f t="shared" si="192"/>
        <v>#N/A</v>
      </c>
      <c r="AO203" s="91" t="e">
        <f t="shared" si="193"/>
        <v>#N/A</v>
      </c>
      <c r="AP203" s="21" t="e">
        <f t="shared" si="194"/>
        <v>#N/A</v>
      </c>
      <c r="AQ203" s="21" t="e">
        <f t="shared" si="195"/>
        <v>#N/A</v>
      </c>
      <c r="AR203" s="92" t="str">
        <f t="shared" si="179"/>
        <v/>
      </c>
      <c r="AS203" s="21" t="str">
        <f t="shared" si="180"/>
        <v/>
      </c>
      <c r="AT203" s="59" t="str">
        <f t="shared" si="165"/>
        <v/>
      </c>
      <c r="AU203" s="105">
        <f t="shared" si="113"/>
        <v>1</v>
      </c>
      <c r="AV203" s="105">
        <f t="shared" si="196"/>
        <v>1</v>
      </c>
      <c r="AW203" s="58">
        <f t="shared" si="197"/>
        <v>2</v>
      </c>
      <c r="AX203" s="58">
        <f t="shared" si="198"/>
        <v>3</v>
      </c>
      <c r="AY203" s="58" t="str">
        <f t="shared" si="199"/>
        <v>avec vannes</v>
      </c>
      <c r="AZ203" s="58" t="str">
        <f t="shared" si="200"/>
        <v>fermé</v>
      </c>
      <c r="BA203" s="60">
        <f t="shared" si="201"/>
        <v>0</v>
      </c>
      <c r="BB203" s="60">
        <f t="shared" si="201"/>
        <v>0</v>
      </c>
      <c r="BC203" s="60">
        <f t="shared" si="201"/>
        <v>0</v>
      </c>
      <c r="BD203" s="60">
        <f t="shared" si="201"/>
        <v>0</v>
      </c>
      <c r="BE203" s="286" t="str">
        <f t="shared" si="166"/>
        <v/>
      </c>
      <c r="BF203" s="58" t="str">
        <f t="shared" si="181"/>
        <v/>
      </c>
      <c r="BG203" s="59" t="str">
        <f t="shared" si="167"/>
        <v/>
      </c>
      <c r="BH203" s="158">
        <f t="shared" ca="1" si="168"/>
        <v>1</v>
      </c>
      <c r="BI203" s="60">
        <f t="shared" ca="1" si="169"/>
        <v>0.15</v>
      </c>
      <c r="BJ203" s="60">
        <f t="shared" si="170"/>
        <v>0.2</v>
      </c>
      <c r="BK203" s="60" t="str">
        <f t="shared" si="182"/>
        <v/>
      </c>
      <c r="BL203" s="21" t="str">
        <f t="shared" si="183"/>
        <v/>
      </c>
      <c r="BM203" s="264" t="str">
        <f t="shared" si="171"/>
        <v/>
      </c>
      <c r="BN203" s="60" t="str">
        <f t="shared" si="184"/>
        <v/>
      </c>
      <c r="BO203" s="136">
        <f t="shared" si="185"/>
        <v>0</v>
      </c>
      <c r="BP203" s="59">
        <f t="shared" si="186"/>
        <v>0</v>
      </c>
      <c r="BQ203" s="136">
        <f t="shared" ca="1" si="172"/>
        <v>1388</v>
      </c>
      <c r="BR203" s="136">
        <f t="shared" ca="1" si="173"/>
        <v>1000.6245847176079</v>
      </c>
      <c r="BS203" s="136">
        <f t="shared" ca="1" si="174"/>
        <v>1468800.6245847177</v>
      </c>
      <c r="BT203" s="136">
        <f t="shared" ca="1" si="175"/>
        <v>313875.54731047683</v>
      </c>
      <c r="BU203" s="136">
        <f t="shared" ca="1" si="176"/>
        <v>1000.6245847176079</v>
      </c>
    </row>
    <row r="204" spans="1:73" x14ac:dyDescent="0.2">
      <c r="A204" s="87" t="str">
        <f>'Etape 2'!A201</f>
        <v/>
      </c>
      <c r="B204" s="87">
        <f>'Etape 2'!B201</f>
        <v>189</v>
      </c>
      <c r="C204" s="87">
        <f ca="1">'Etape 2'!C201</f>
        <v>112</v>
      </c>
      <c r="D204" s="87"/>
      <c r="E204" s="61">
        <f ca="1">RANK(BU204,BU$16:BU$315,0)+COUNTIF(BU$16:BU204,BU204)-1</f>
        <v>112</v>
      </c>
      <c r="F204" s="87" t="str">
        <f>'Etape 2'!D201</f>
        <v/>
      </c>
      <c r="G204" s="87" t="str">
        <f>'Etape 2'!E201</f>
        <v/>
      </c>
      <c r="H204" s="87" t="str">
        <f>'Etape 2'!F201</f>
        <v/>
      </c>
      <c r="I204" s="87" t="str">
        <f>'Etape 2'!G201</f>
        <v/>
      </c>
      <c r="J204" s="87" t="str">
        <f>'Etape 2'!H201</f>
        <v/>
      </c>
      <c r="K204" s="87" t="str">
        <f>'Etape 2'!I201</f>
        <v/>
      </c>
      <c r="L204" s="87">
        <f ca="1">'Etape 2'!J201</f>
        <v>999999</v>
      </c>
      <c r="M204" s="87">
        <f>'Etape 2'!K201</f>
        <v>999</v>
      </c>
      <c r="N204" s="87">
        <f ca="1">'Etape 2'!L201</f>
        <v>189</v>
      </c>
      <c r="O204" s="259">
        <f t="shared" si="159"/>
        <v>0.3</v>
      </c>
      <c r="P204" s="259">
        <f t="shared" si="160"/>
        <v>1.1000000000000001</v>
      </c>
      <c r="Q204" s="260">
        <f t="shared" si="161"/>
        <v>0</v>
      </c>
      <c r="R204" s="261">
        <f t="shared" si="187"/>
        <v>0</v>
      </c>
      <c r="S204" s="87">
        <f>IF(ISBLANK('Etape 2'!N201),0,VLOOKUP('Etape 2'!N201,Matrix_Uebersetzung,2,FALSE))</f>
        <v>0</v>
      </c>
      <c r="T204" s="87">
        <f>IF(ISBLANK('Etape 2'!O201),0,VLOOKUP('Etape 2'!O201,Matrix_Uebersetzung,2,FALSE))</f>
        <v>0</v>
      </c>
      <c r="U204" s="87">
        <f>IF(ISBLANK('Etape 2'!P201),0,VLOOKUP('Etape 2'!P201,Matrix_Uebersetzung,2,FALSE))</f>
        <v>0</v>
      </c>
      <c r="V204" s="87" t="str">
        <f>'Etape 2'!Q201</f>
        <v/>
      </c>
      <c r="W204" s="87">
        <f>'Etape 2'!R201</f>
        <v>0</v>
      </c>
      <c r="X204" s="87" t="str">
        <f>'Etape 2'!S201</f>
        <v/>
      </c>
      <c r="Y204" s="89" t="str">
        <f>'Etape 2'!T201</f>
        <v/>
      </c>
      <c r="Z204" s="87">
        <f>'Etape 2'!U201</f>
        <v>0</v>
      </c>
      <c r="AA204" s="87" t="str">
        <f>'Etape 2'!V201</f>
        <v/>
      </c>
      <c r="AB204" s="87">
        <f>IF(ISNUMBER('Etape 2'!W201),'Etape 2'!W201,0)</f>
        <v>0</v>
      </c>
      <c r="AC204" s="87">
        <f>IF(ISNUMBER('Etape 2'!X201),'Etape 2'!X201,0)</f>
        <v>0</v>
      </c>
      <c r="AD204" s="87">
        <f>IF(ISNUMBER('Etape 2'!Y201),'Etape 2'!Y201,0)</f>
        <v>0</v>
      </c>
      <c r="AE204" s="87">
        <f>IF(ISNUMBER('Etape 2'!Z201),'Etape 2'!Z201,0)</f>
        <v>0</v>
      </c>
      <c r="AF204" s="86">
        <f t="shared" si="177"/>
        <v>999</v>
      </c>
      <c r="AG204" s="288">
        <f t="shared" si="178"/>
        <v>0.25</v>
      </c>
      <c r="AH204" s="181" t="e">
        <f t="shared" si="162"/>
        <v>#VALUE!</v>
      </c>
      <c r="AI204" s="181" t="e">
        <f t="shared" si="190"/>
        <v>#VALUE!</v>
      </c>
      <c r="AJ204" s="86">
        <f t="shared" si="163"/>
        <v>200</v>
      </c>
      <c r="AK204" s="91" t="e">
        <f t="shared" si="164"/>
        <v>#N/A</v>
      </c>
      <c r="AL204" s="91" t="e">
        <f t="shared" si="191"/>
        <v>#N/A</v>
      </c>
      <c r="AM204" s="91">
        <f t="shared" si="109"/>
        <v>6</v>
      </c>
      <c r="AN204" s="91" t="e">
        <f t="shared" si="192"/>
        <v>#N/A</v>
      </c>
      <c r="AO204" s="91" t="e">
        <f t="shared" si="193"/>
        <v>#N/A</v>
      </c>
      <c r="AP204" s="21" t="e">
        <f t="shared" si="194"/>
        <v>#N/A</v>
      </c>
      <c r="AQ204" s="21" t="e">
        <f t="shared" si="195"/>
        <v>#N/A</v>
      </c>
      <c r="AR204" s="92" t="str">
        <f t="shared" si="179"/>
        <v/>
      </c>
      <c r="AS204" s="21" t="str">
        <f t="shared" si="180"/>
        <v/>
      </c>
      <c r="AT204" s="59" t="str">
        <f t="shared" si="165"/>
        <v/>
      </c>
      <c r="AU204" s="105">
        <f t="shared" si="113"/>
        <v>1</v>
      </c>
      <c r="AV204" s="105">
        <f t="shared" si="196"/>
        <v>1</v>
      </c>
      <c r="AW204" s="58">
        <f t="shared" si="197"/>
        <v>2</v>
      </c>
      <c r="AX204" s="58">
        <f t="shared" si="198"/>
        <v>3</v>
      </c>
      <c r="AY204" s="58" t="str">
        <f t="shared" si="199"/>
        <v>avec vannes</v>
      </c>
      <c r="AZ204" s="58" t="str">
        <f t="shared" si="200"/>
        <v>fermé</v>
      </c>
      <c r="BA204" s="60">
        <f t="shared" si="201"/>
        <v>0</v>
      </c>
      <c r="BB204" s="60">
        <f t="shared" si="201"/>
        <v>0</v>
      </c>
      <c r="BC204" s="60">
        <f t="shared" si="201"/>
        <v>0</v>
      </c>
      <c r="BD204" s="60">
        <f t="shared" si="201"/>
        <v>0</v>
      </c>
      <c r="BE204" s="286" t="str">
        <f t="shared" si="166"/>
        <v/>
      </c>
      <c r="BF204" s="58" t="str">
        <f t="shared" si="181"/>
        <v/>
      </c>
      <c r="BG204" s="59" t="str">
        <f t="shared" si="167"/>
        <v/>
      </c>
      <c r="BH204" s="158">
        <f t="shared" ca="1" si="168"/>
        <v>1</v>
      </c>
      <c r="BI204" s="60">
        <f t="shared" ca="1" si="169"/>
        <v>0.15</v>
      </c>
      <c r="BJ204" s="60">
        <f t="shared" si="170"/>
        <v>0.2</v>
      </c>
      <c r="BK204" s="60" t="str">
        <f t="shared" si="182"/>
        <v/>
      </c>
      <c r="BL204" s="21" t="str">
        <f t="shared" si="183"/>
        <v/>
      </c>
      <c r="BM204" s="264" t="str">
        <f t="shared" si="171"/>
        <v/>
      </c>
      <c r="BN204" s="60" t="str">
        <f t="shared" si="184"/>
        <v/>
      </c>
      <c r="BO204" s="136">
        <f t="shared" si="185"/>
        <v>0</v>
      </c>
      <c r="BP204" s="59">
        <f t="shared" si="186"/>
        <v>0</v>
      </c>
      <c r="BQ204" s="136">
        <f t="shared" ca="1" si="172"/>
        <v>1389</v>
      </c>
      <c r="BR204" s="136">
        <f t="shared" ca="1" si="173"/>
        <v>1000.6279069767442</v>
      </c>
      <c r="BS204" s="136">
        <f t="shared" ca="1" si="174"/>
        <v>1468800.6279069767</v>
      </c>
      <c r="BT204" s="136">
        <f t="shared" ca="1" si="175"/>
        <v>313875.55063273595</v>
      </c>
      <c r="BU204" s="136">
        <f t="shared" ca="1" si="176"/>
        <v>1000.6279069767442</v>
      </c>
    </row>
    <row r="205" spans="1:73" x14ac:dyDescent="0.2">
      <c r="A205" s="87" t="str">
        <f>'Etape 2'!A202</f>
        <v/>
      </c>
      <c r="B205" s="87">
        <f>'Etape 2'!B202</f>
        <v>190</v>
      </c>
      <c r="C205" s="87">
        <f ca="1">'Etape 2'!C202</f>
        <v>111</v>
      </c>
      <c r="D205" s="87"/>
      <c r="E205" s="61">
        <f ca="1">RANK(BU205,BU$16:BU$315,0)+COUNTIF(BU$16:BU205,BU205)-1</f>
        <v>111</v>
      </c>
      <c r="F205" s="87" t="str">
        <f>'Etape 2'!D202</f>
        <v/>
      </c>
      <c r="G205" s="87" t="str">
        <f>'Etape 2'!E202</f>
        <v/>
      </c>
      <c r="H205" s="87" t="str">
        <f>'Etape 2'!F202</f>
        <v/>
      </c>
      <c r="I205" s="87" t="str">
        <f>'Etape 2'!G202</f>
        <v/>
      </c>
      <c r="J205" s="87" t="str">
        <f>'Etape 2'!H202</f>
        <v/>
      </c>
      <c r="K205" s="87" t="str">
        <f>'Etape 2'!I202</f>
        <v/>
      </c>
      <c r="L205" s="87">
        <f ca="1">'Etape 2'!J202</f>
        <v>999999</v>
      </c>
      <c r="M205" s="87">
        <f>'Etape 2'!K202</f>
        <v>999</v>
      </c>
      <c r="N205" s="87">
        <f ca="1">'Etape 2'!L202</f>
        <v>190</v>
      </c>
      <c r="O205" s="259">
        <f t="shared" si="159"/>
        <v>0.3</v>
      </c>
      <c r="P205" s="259">
        <f t="shared" si="160"/>
        <v>1.1000000000000001</v>
      </c>
      <c r="Q205" s="260">
        <f t="shared" si="161"/>
        <v>0</v>
      </c>
      <c r="R205" s="261">
        <f t="shared" si="187"/>
        <v>0</v>
      </c>
      <c r="S205" s="87">
        <f>IF(ISBLANK('Etape 2'!N202),0,VLOOKUP('Etape 2'!N202,Matrix_Uebersetzung,2,FALSE))</f>
        <v>0</v>
      </c>
      <c r="T205" s="87">
        <f>IF(ISBLANK('Etape 2'!O202),0,VLOOKUP('Etape 2'!O202,Matrix_Uebersetzung,2,FALSE))</f>
        <v>0</v>
      </c>
      <c r="U205" s="87">
        <f>IF(ISBLANK('Etape 2'!P202),0,VLOOKUP('Etape 2'!P202,Matrix_Uebersetzung,2,FALSE))</f>
        <v>0</v>
      </c>
      <c r="V205" s="87" t="str">
        <f>'Etape 2'!Q202</f>
        <v/>
      </c>
      <c r="W205" s="87">
        <f>'Etape 2'!R202</f>
        <v>0</v>
      </c>
      <c r="X205" s="87" t="str">
        <f>'Etape 2'!S202</f>
        <v/>
      </c>
      <c r="Y205" s="89" t="str">
        <f>'Etape 2'!T202</f>
        <v/>
      </c>
      <c r="Z205" s="87">
        <f>'Etape 2'!U202</f>
        <v>0</v>
      </c>
      <c r="AA205" s="87" t="str">
        <f>'Etape 2'!V202</f>
        <v/>
      </c>
      <c r="AB205" s="87">
        <f>IF(ISNUMBER('Etape 2'!W202),'Etape 2'!W202,0)</f>
        <v>0</v>
      </c>
      <c r="AC205" s="87">
        <f>IF(ISNUMBER('Etape 2'!X202),'Etape 2'!X202,0)</f>
        <v>0</v>
      </c>
      <c r="AD205" s="87">
        <f>IF(ISNUMBER('Etape 2'!Y202),'Etape 2'!Y202,0)</f>
        <v>0</v>
      </c>
      <c r="AE205" s="87">
        <f>IF(ISNUMBER('Etape 2'!Z202),'Etape 2'!Z202,0)</f>
        <v>0</v>
      </c>
      <c r="AF205" s="86">
        <f t="shared" si="177"/>
        <v>999</v>
      </c>
      <c r="AG205" s="288">
        <f t="shared" si="178"/>
        <v>0.25</v>
      </c>
      <c r="AH205" s="181" t="e">
        <f t="shared" si="162"/>
        <v>#VALUE!</v>
      </c>
      <c r="AI205" s="181" t="e">
        <f t="shared" si="190"/>
        <v>#VALUE!</v>
      </c>
      <c r="AJ205" s="86">
        <f t="shared" si="163"/>
        <v>200</v>
      </c>
      <c r="AK205" s="91" t="e">
        <f t="shared" si="164"/>
        <v>#N/A</v>
      </c>
      <c r="AL205" s="91" t="e">
        <f t="shared" si="191"/>
        <v>#N/A</v>
      </c>
      <c r="AM205" s="91">
        <f t="shared" si="109"/>
        <v>6</v>
      </c>
      <c r="AN205" s="91" t="e">
        <f t="shared" si="192"/>
        <v>#N/A</v>
      </c>
      <c r="AO205" s="91" t="e">
        <f t="shared" si="193"/>
        <v>#N/A</v>
      </c>
      <c r="AP205" s="21" t="e">
        <f t="shared" si="194"/>
        <v>#N/A</v>
      </c>
      <c r="AQ205" s="21" t="e">
        <f t="shared" si="195"/>
        <v>#N/A</v>
      </c>
      <c r="AR205" s="92" t="str">
        <f t="shared" si="179"/>
        <v/>
      </c>
      <c r="AS205" s="21" t="str">
        <f t="shared" si="180"/>
        <v/>
      </c>
      <c r="AT205" s="59" t="str">
        <f t="shared" si="165"/>
        <v/>
      </c>
      <c r="AU205" s="105">
        <f t="shared" si="113"/>
        <v>1</v>
      </c>
      <c r="AV205" s="105">
        <f t="shared" si="196"/>
        <v>1</v>
      </c>
      <c r="AW205" s="58">
        <f t="shared" si="197"/>
        <v>2</v>
      </c>
      <c r="AX205" s="58">
        <f t="shared" si="198"/>
        <v>3</v>
      </c>
      <c r="AY205" s="58" t="str">
        <f t="shared" si="199"/>
        <v>avec vannes</v>
      </c>
      <c r="AZ205" s="58" t="str">
        <f t="shared" si="200"/>
        <v>fermé</v>
      </c>
      <c r="BA205" s="60">
        <f t="shared" si="201"/>
        <v>0</v>
      </c>
      <c r="BB205" s="60">
        <f t="shared" si="201"/>
        <v>0</v>
      </c>
      <c r="BC205" s="60">
        <f t="shared" si="201"/>
        <v>0</v>
      </c>
      <c r="BD205" s="60">
        <f t="shared" si="201"/>
        <v>0</v>
      </c>
      <c r="BE205" s="286" t="str">
        <f t="shared" si="166"/>
        <v/>
      </c>
      <c r="BF205" s="58" t="str">
        <f t="shared" si="181"/>
        <v/>
      </c>
      <c r="BG205" s="59" t="str">
        <f t="shared" si="167"/>
        <v/>
      </c>
      <c r="BH205" s="158">
        <f t="shared" ca="1" si="168"/>
        <v>1</v>
      </c>
      <c r="BI205" s="60">
        <f t="shared" ca="1" si="169"/>
        <v>0.15</v>
      </c>
      <c r="BJ205" s="60">
        <f t="shared" si="170"/>
        <v>0.2</v>
      </c>
      <c r="BK205" s="60" t="str">
        <f t="shared" si="182"/>
        <v/>
      </c>
      <c r="BL205" s="21" t="str">
        <f t="shared" si="183"/>
        <v/>
      </c>
      <c r="BM205" s="264" t="str">
        <f t="shared" si="171"/>
        <v/>
      </c>
      <c r="BN205" s="60" t="str">
        <f t="shared" si="184"/>
        <v/>
      </c>
      <c r="BO205" s="136">
        <f t="shared" si="185"/>
        <v>0</v>
      </c>
      <c r="BP205" s="59">
        <f t="shared" si="186"/>
        <v>0</v>
      </c>
      <c r="BQ205" s="136">
        <f t="shared" ca="1" si="172"/>
        <v>1390</v>
      </c>
      <c r="BR205" s="136">
        <f t="shared" ca="1" si="173"/>
        <v>1000.6312292358804</v>
      </c>
      <c r="BS205" s="136">
        <f t="shared" ca="1" si="174"/>
        <v>1468800.6312292358</v>
      </c>
      <c r="BT205" s="136">
        <f t="shared" ca="1" si="175"/>
        <v>313875.55395499512</v>
      </c>
      <c r="BU205" s="136">
        <f t="shared" ca="1" si="176"/>
        <v>1000.6312292358804</v>
      </c>
    </row>
    <row r="206" spans="1:73" x14ac:dyDescent="0.2">
      <c r="A206" s="87" t="str">
        <f>'Etape 2'!A203</f>
        <v/>
      </c>
      <c r="B206" s="87">
        <f>'Etape 2'!B203</f>
        <v>191</v>
      </c>
      <c r="C206" s="87">
        <f ca="1">'Etape 2'!C203</f>
        <v>110</v>
      </c>
      <c r="D206" s="87"/>
      <c r="E206" s="61">
        <f ca="1">RANK(BU206,BU$16:BU$315,0)+COUNTIF(BU$16:BU206,BU206)-1</f>
        <v>110</v>
      </c>
      <c r="F206" s="87" t="str">
        <f>'Etape 2'!D203</f>
        <v/>
      </c>
      <c r="G206" s="87" t="str">
        <f>'Etape 2'!E203</f>
        <v/>
      </c>
      <c r="H206" s="87" t="str">
        <f>'Etape 2'!F203</f>
        <v/>
      </c>
      <c r="I206" s="87" t="str">
        <f>'Etape 2'!G203</f>
        <v/>
      </c>
      <c r="J206" s="87" t="str">
        <f>'Etape 2'!H203</f>
        <v/>
      </c>
      <c r="K206" s="87" t="str">
        <f>'Etape 2'!I203</f>
        <v/>
      </c>
      <c r="L206" s="87">
        <f ca="1">'Etape 2'!J203</f>
        <v>999999</v>
      </c>
      <c r="M206" s="87">
        <f>'Etape 2'!K203</f>
        <v>999</v>
      </c>
      <c r="N206" s="87">
        <f ca="1">'Etape 2'!L203</f>
        <v>191</v>
      </c>
      <c r="O206" s="259">
        <f t="shared" si="159"/>
        <v>0.3</v>
      </c>
      <c r="P206" s="259">
        <f t="shared" si="160"/>
        <v>1.1000000000000001</v>
      </c>
      <c r="Q206" s="260">
        <f t="shared" si="161"/>
        <v>0</v>
      </c>
      <c r="R206" s="261">
        <f t="shared" si="187"/>
        <v>0</v>
      </c>
      <c r="S206" s="87">
        <f>IF(ISBLANK('Etape 2'!N203),0,VLOOKUP('Etape 2'!N203,Matrix_Uebersetzung,2,FALSE))</f>
        <v>0</v>
      </c>
      <c r="T206" s="87">
        <f>IF(ISBLANK('Etape 2'!O203),0,VLOOKUP('Etape 2'!O203,Matrix_Uebersetzung,2,FALSE))</f>
        <v>0</v>
      </c>
      <c r="U206" s="87">
        <f>IF(ISBLANK('Etape 2'!P203),0,VLOOKUP('Etape 2'!P203,Matrix_Uebersetzung,2,FALSE))</f>
        <v>0</v>
      </c>
      <c r="V206" s="87" t="str">
        <f>'Etape 2'!Q203</f>
        <v/>
      </c>
      <c r="W206" s="87">
        <f>'Etape 2'!R203</f>
        <v>0</v>
      </c>
      <c r="X206" s="87" t="str">
        <f>'Etape 2'!S203</f>
        <v/>
      </c>
      <c r="Y206" s="89" t="str">
        <f>'Etape 2'!T203</f>
        <v/>
      </c>
      <c r="Z206" s="87">
        <f>'Etape 2'!U203</f>
        <v>0</v>
      </c>
      <c r="AA206" s="87" t="str">
        <f>'Etape 2'!V203</f>
        <v/>
      </c>
      <c r="AB206" s="87">
        <f>IF(ISNUMBER('Etape 2'!W203),'Etape 2'!W203,0)</f>
        <v>0</v>
      </c>
      <c r="AC206" s="87">
        <f>IF(ISNUMBER('Etape 2'!X203),'Etape 2'!X203,0)</f>
        <v>0</v>
      </c>
      <c r="AD206" s="87">
        <f>IF(ISNUMBER('Etape 2'!Y203),'Etape 2'!Y203,0)</f>
        <v>0</v>
      </c>
      <c r="AE206" s="87">
        <f>IF(ISNUMBER('Etape 2'!Z203),'Etape 2'!Z203,0)</f>
        <v>0</v>
      </c>
      <c r="AF206" s="86">
        <f t="shared" si="177"/>
        <v>999</v>
      </c>
      <c r="AG206" s="288">
        <f t="shared" si="178"/>
        <v>0.25</v>
      </c>
      <c r="AH206" s="181" t="e">
        <f t="shared" si="162"/>
        <v>#VALUE!</v>
      </c>
      <c r="AI206" s="181" t="e">
        <f t="shared" si="190"/>
        <v>#VALUE!</v>
      </c>
      <c r="AJ206" s="86">
        <f t="shared" si="163"/>
        <v>200</v>
      </c>
      <c r="AK206" s="91" t="e">
        <f t="shared" si="164"/>
        <v>#N/A</v>
      </c>
      <c r="AL206" s="91" t="e">
        <f t="shared" si="191"/>
        <v>#N/A</v>
      </c>
      <c r="AM206" s="91">
        <f t="shared" si="109"/>
        <v>6</v>
      </c>
      <c r="AN206" s="91" t="e">
        <f t="shared" si="192"/>
        <v>#N/A</v>
      </c>
      <c r="AO206" s="91" t="e">
        <f t="shared" si="193"/>
        <v>#N/A</v>
      </c>
      <c r="AP206" s="21" t="e">
        <f t="shared" si="194"/>
        <v>#N/A</v>
      </c>
      <c r="AQ206" s="21" t="e">
        <f t="shared" si="195"/>
        <v>#N/A</v>
      </c>
      <c r="AR206" s="92" t="str">
        <f t="shared" si="179"/>
        <v/>
      </c>
      <c r="AS206" s="21" t="str">
        <f t="shared" si="180"/>
        <v/>
      </c>
      <c r="AT206" s="59" t="str">
        <f t="shared" si="165"/>
        <v/>
      </c>
      <c r="AU206" s="105">
        <f t="shared" si="113"/>
        <v>1</v>
      </c>
      <c r="AV206" s="105">
        <f t="shared" si="196"/>
        <v>1</v>
      </c>
      <c r="AW206" s="58">
        <f t="shared" si="197"/>
        <v>2</v>
      </c>
      <c r="AX206" s="58">
        <f t="shared" si="198"/>
        <v>3</v>
      </c>
      <c r="AY206" s="58" t="str">
        <f t="shared" si="199"/>
        <v>avec vannes</v>
      </c>
      <c r="AZ206" s="58" t="str">
        <f t="shared" si="200"/>
        <v>fermé</v>
      </c>
      <c r="BA206" s="60">
        <f t="shared" si="201"/>
        <v>0</v>
      </c>
      <c r="BB206" s="60">
        <f t="shared" si="201"/>
        <v>0</v>
      </c>
      <c r="BC206" s="60">
        <f t="shared" si="201"/>
        <v>0</v>
      </c>
      <c r="BD206" s="60">
        <f t="shared" si="201"/>
        <v>0</v>
      </c>
      <c r="BE206" s="286" t="str">
        <f t="shared" si="166"/>
        <v/>
      </c>
      <c r="BF206" s="58" t="str">
        <f t="shared" si="181"/>
        <v/>
      </c>
      <c r="BG206" s="59" t="str">
        <f t="shared" si="167"/>
        <v/>
      </c>
      <c r="BH206" s="158">
        <f t="shared" ca="1" si="168"/>
        <v>1</v>
      </c>
      <c r="BI206" s="60">
        <f t="shared" ca="1" si="169"/>
        <v>0.15</v>
      </c>
      <c r="BJ206" s="60">
        <f t="shared" si="170"/>
        <v>0.2</v>
      </c>
      <c r="BK206" s="60" t="str">
        <f t="shared" si="182"/>
        <v/>
      </c>
      <c r="BL206" s="21" t="str">
        <f t="shared" si="183"/>
        <v/>
      </c>
      <c r="BM206" s="264" t="str">
        <f t="shared" si="171"/>
        <v/>
      </c>
      <c r="BN206" s="60" t="str">
        <f t="shared" si="184"/>
        <v/>
      </c>
      <c r="BO206" s="136">
        <f t="shared" si="185"/>
        <v>0</v>
      </c>
      <c r="BP206" s="59">
        <f t="shared" si="186"/>
        <v>0</v>
      </c>
      <c r="BQ206" s="136">
        <f t="shared" ca="1" si="172"/>
        <v>1391</v>
      </c>
      <c r="BR206" s="136">
        <f t="shared" ca="1" si="173"/>
        <v>1000.6345514950166</v>
      </c>
      <c r="BS206" s="136">
        <f t="shared" ca="1" si="174"/>
        <v>1468800.6345514951</v>
      </c>
      <c r="BT206" s="136">
        <f t="shared" ca="1" si="175"/>
        <v>313875.55727725424</v>
      </c>
      <c r="BU206" s="136">
        <f t="shared" ca="1" si="176"/>
        <v>1000.6345514950166</v>
      </c>
    </row>
    <row r="207" spans="1:73" x14ac:dyDescent="0.2">
      <c r="A207" s="87" t="str">
        <f>'Etape 2'!A204</f>
        <v/>
      </c>
      <c r="B207" s="87">
        <f>'Etape 2'!B204</f>
        <v>192</v>
      </c>
      <c r="C207" s="87">
        <f ca="1">'Etape 2'!C204</f>
        <v>109</v>
      </c>
      <c r="D207" s="87"/>
      <c r="E207" s="61">
        <f ca="1">RANK(BU207,BU$16:BU$315,0)+COUNTIF(BU$16:BU207,BU207)-1</f>
        <v>109</v>
      </c>
      <c r="F207" s="87" t="str">
        <f>'Etape 2'!D204</f>
        <v/>
      </c>
      <c r="G207" s="87" t="str">
        <f>'Etape 2'!E204</f>
        <v/>
      </c>
      <c r="H207" s="87" t="str">
        <f>'Etape 2'!F204</f>
        <v/>
      </c>
      <c r="I207" s="87" t="str">
        <f>'Etape 2'!G204</f>
        <v/>
      </c>
      <c r="J207" s="87" t="str">
        <f>'Etape 2'!H204</f>
        <v/>
      </c>
      <c r="K207" s="87" t="str">
        <f>'Etape 2'!I204</f>
        <v/>
      </c>
      <c r="L207" s="87">
        <f ca="1">'Etape 2'!J204</f>
        <v>999999</v>
      </c>
      <c r="M207" s="87">
        <f>'Etape 2'!K204</f>
        <v>999</v>
      </c>
      <c r="N207" s="87">
        <f ca="1">'Etape 2'!L204</f>
        <v>192</v>
      </c>
      <c r="O207" s="259">
        <f t="shared" si="159"/>
        <v>0.3</v>
      </c>
      <c r="P207" s="259">
        <f t="shared" si="160"/>
        <v>1.1000000000000001</v>
      </c>
      <c r="Q207" s="260">
        <f t="shared" si="161"/>
        <v>0</v>
      </c>
      <c r="R207" s="261">
        <f t="shared" si="187"/>
        <v>0</v>
      </c>
      <c r="S207" s="87">
        <f>IF(ISBLANK('Etape 2'!N204),0,VLOOKUP('Etape 2'!N204,Matrix_Uebersetzung,2,FALSE))</f>
        <v>0</v>
      </c>
      <c r="T207" s="87">
        <f>IF(ISBLANK('Etape 2'!O204),0,VLOOKUP('Etape 2'!O204,Matrix_Uebersetzung,2,FALSE))</f>
        <v>0</v>
      </c>
      <c r="U207" s="87">
        <f>IF(ISBLANK('Etape 2'!P204),0,VLOOKUP('Etape 2'!P204,Matrix_Uebersetzung,2,FALSE))</f>
        <v>0</v>
      </c>
      <c r="V207" s="87" t="str">
        <f>'Etape 2'!Q204</f>
        <v/>
      </c>
      <c r="W207" s="87">
        <f>'Etape 2'!R204</f>
        <v>0</v>
      </c>
      <c r="X207" s="87" t="str">
        <f>'Etape 2'!S204</f>
        <v/>
      </c>
      <c r="Y207" s="89" t="str">
        <f>'Etape 2'!T204</f>
        <v/>
      </c>
      <c r="Z207" s="87">
        <f>'Etape 2'!U204</f>
        <v>0</v>
      </c>
      <c r="AA207" s="87" t="str">
        <f>'Etape 2'!V204</f>
        <v/>
      </c>
      <c r="AB207" s="87">
        <f>IF(ISNUMBER('Etape 2'!W204),'Etape 2'!W204,0)</f>
        <v>0</v>
      </c>
      <c r="AC207" s="87">
        <f>IF(ISNUMBER('Etape 2'!X204),'Etape 2'!X204,0)</f>
        <v>0</v>
      </c>
      <c r="AD207" s="87">
        <f>IF(ISNUMBER('Etape 2'!Y204),'Etape 2'!Y204,0)</f>
        <v>0</v>
      </c>
      <c r="AE207" s="87">
        <f>IF(ISNUMBER('Etape 2'!Z204),'Etape 2'!Z204,0)</f>
        <v>0</v>
      </c>
      <c r="AF207" s="86">
        <f t="shared" si="177"/>
        <v>999</v>
      </c>
      <c r="AG207" s="288">
        <f t="shared" si="178"/>
        <v>0.25</v>
      </c>
      <c r="AH207" s="181" t="e">
        <f t="shared" si="162"/>
        <v>#VALUE!</v>
      </c>
      <c r="AI207" s="181" t="e">
        <f t="shared" si="190"/>
        <v>#VALUE!</v>
      </c>
      <c r="AJ207" s="86">
        <f t="shared" si="163"/>
        <v>200</v>
      </c>
      <c r="AK207" s="91" t="e">
        <f t="shared" si="164"/>
        <v>#N/A</v>
      </c>
      <c r="AL207" s="91" t="e">
        <f t="shared" si="191"/>
        <v>#N/A</v>
      </c>
      <c r="AM207" s="91">
        <f t="shared" si="109"/>
        <v>6</v>
      </c>
      <c r="AN207" s="91" t="e">
        <f t="shared" si="192"/>
        <v>#N/A</v>
      </c>
      <c r="AO207" s="91" t="e">
        <f t="shared" si="193"/>
        <v>#N/A</v>
      </c>
      <c r="AP207" s="21" t="e">
        <f t="shared" si="194"/>
        <v>#N/A</v>
      </c>
      <c r="AQ207" s="21" t="e">
        <f t="shared" si="195"/>
        <v>#N/A</v>
      </c>
      <c r="AR207" s="92" t="str">
        <f t="shared" si="179"/>
        <v/>
      </c>
      <c r="AS207" s="21" t="str">
        <f t="shared" si="180"/>
        <v/>
      </c>
      <c r="AT207" s="59" t="str">
        <f t="shared" si="165"/>
        <v/>
      </c>
      <c r="AU207" s="105">
        <f t="shared" si="113"/>
        <v>1</v>
      </c>
      <c r="AV207" s="105">
        <f t="shared" si="196"/>
        <v>1</v>
      </c>
      <c r="AW207" s="58">
        <f t="shared" si="197"/>
        <v>2</v>
      </c>
      <c r="AX207" s="58">
        <f t="shared" si="198"/>
        <v>3</v>
      </c>
      <c r="AY207" s="58" t="str">
        <f t="shared" si="199"/>
        <v>avec vannes</v>
      </c>
      <c r="AZ207" s="58" t="str">
        <f t="shared" si="200"/>
        <v>fermé</v>
      </c>
      <c r="BA207" s="60">
        <f t="shared" si="201"/>
        <v>0</v>
      </c>
      <c r="BB207" s="60">
        <f t="shared" si="201"/>
        <v>0</v>
      </c>
      <c r="BC207" s="60">
        <f t="shared" si="201"/>
        <v>0</v>
      </c>
      <c r="BD207" s="60">
        <f t="shared" si="201"/>
        <v>0</v>
      </c>
      <c r="BE207" s="286" t="str">
        <f t="shared" si="166"/>
        <v/>
      </c>
      <c r="BF207" s="58" t="str">
        <f t="shared" si="181"/>
        <v/>
      </c>
      <c r="BG207" s="59" t="str">
        <f t="shared" si="167"/>
        <v/>
      </c>
      <c r="BH207" s="158">
        <f t="shared" ca="1" si="168"/>
        <v>1</v>
      </c>
      <c r="BI207" s="60">
        <f t="shared" ca="1" si="169"/>
        <v>0.15</v>
      </c>
      <c r="BJ207" s="60">
        <f t="shared" si="170"/>
        <v>0.2</v>
      </c>
      <c r="BK207" s="60" t="str">
        <f t="shared" si="182"/>
        <v/>
      </c>
      <c r="BL207" s="21" t="str">
        <f t="shared" si="183"/>
        <v/>
      </c>
      <c r="BM207" s="264" t="str">
        <f t="shared" si="171"/>
        <v/>
      </c>
      <c r="BN207" s="60" t="str">
        <f t="shared" si="184"/>
        <v/>
      </c>
      <c r="BO207" s="136">
        <f t="shared" si="185"/>
        <v>0</v>
      </c>
      <c r="BP207" s="59">
        <f t="shared" si="186"/>
        <v>0</v>
      </c>
      <c r="BQ207" s="136">
        <f t="shared" ca="1" si="172"/>
        <v>1392</v>
      </c>
      <c r="BR207" s="136">
        <f t="shared" ca="1" si="173"/>
        <v>1000.6378737541528</v>
      </c>
      <c r="BS207" s="136">
        <f t="shared" ca="1" si="174"/>
        <v>1468800.6378737541</v>
      </c>
      <c r="BT207" s="136">
        <f t="shared" ca="1" si="175"/>
        <v>313875.56059951335</v>
      </c>
      <c r="BU207" s="136">
        <f t="shared" ca="1" si="176"/>
        <v>1000.6378737541528</v>
      </c>
    </row>
    <row r="208" spans="1:73" x14ac:dyDescent="0.2">
      <c r="A208" s="87" t="str">
        <f>'Etape 2'!A205</f>
        <v/>
      </c>
      <c r="B208" s="87">
        <f>'Etape 2'!B205</f>
        <v>193</v>
      </c>
      <c r="C208" s="87">
        <f ca="1">'Etape 2'!C205</f>
        <v>108</v>
      </c>
      <c r="D208" s="87"/>
      <c r="E208" s="61">
        <f ca="1">RANK(BU208,BU$16:BU$315,0)+COUNTIF(BU$16:BU208,BU208)-1</f>
        <v>108</v>
      </c>
      <c r="F208" s="87" t="str">
        <f>'Etape 2'!D205</f>
        <v/>
      </c>
      <c r="G208" s="87" t="str">
        <f>'Etape 2'!E205</f>
        <v/>
      </c>
      <c r="H208" s="87" t="str">
        <f>'Etape 2'!F205</f>
        <v/>
      </c>
      <c r="I208" s="87" t="str">
        <f>'Etape 2'!G205</f>
        <v/>
      </c>
      <c r="J208" s="87" t="str">
        <f>'Etape 2'!H205</f>
        <v/>
      </c>
      <c r="K208" s="87" t="str">
        <f>'Etape 2'!I205</f>
        <v/>
      </c>
      <c r="L208" s="87">
        <f ca="1">'Etape 2'!J205</f>
        <v>999999</v>
      </c>
      <c r="M208" s="87">
        <f>'Etape 2'!K205</f>
        <v>999</v>
      </c>
      <c r="N208" s="87">
        <f ca="1">'Etape 2'!L205</f>
        <v>193</v>
      </c>
      <c r="O208" s="259">
        <f t="shared" ref="O208:O271" si="202">VLOOKUP(IF(U208=0,St.Wert_Regulierungsart,U208),Matrix_Regulierungsart.Einsparfaktor,3,FALSE)</f>
        <v>0.3</v>
      </c>
      <c r="P208" s="259">
        <f t="shared" ref="P208:P271" si="203">VLOOKUP(IF(U208=0,St.Wert_Regulierungsart,U208),Matrix_Regulierungsart.Einsparfaktor,4,FALSE)</f>
        <v>1.1000000000000001</v>
      </c>
      <c r="Q208" s="260">
        <f t="shared" ref="Q208:Q271" si="204">IF(AE208&lt;0,St.Wert_Lastfaktor,IF(SUM(AB208:AE208)=0,0,O208+(P208-O208)*SUMPRODUCT(AB$14:AE$14,AB208:AE208)/SUM(AB208:AE208)))</f>
        <v>0</v>
      </c>
      <c r="R208" s="261">
        <f t="shared" si="187"/>
        <v>0</v>
      </c>
      <c r="S208" s="87">
        <f>IF(ISBLANK('Etape 2'!N205),0,VLOOKUP('Etape 2'!N205,Matrix_Uebersetzung,2,FALSE))</f>
        <v>0</v>
      </c>
      <c r="T208" s="87">
        <f>IF(ISBLANK('Etape 2'!O205),0,VLOOKUP('Etape 2'!O205,Matrix_Uebersetzung,2,FALSE))</f>
        <v>0</v>
      </c>
      <c r="U208" s="87">
        <f>IF(ISBLANK('Etape 2'!P205),0,VLOOKUP('Etape 2'!P205,Matrix_Uebersetzung,2,FALSE))</f>
        <v>0</v>
      </c>
      <c r="V208" s="87" t="str">
        <f>'Etape 2'!Q205</f>
        <v/>
      </c>
      <c r="W208" s="87">
        <f>'Etape 2'!R205</f>
        <v>0</v>
      </c>
      <c r="X208" s="87" t="str">
        <f>'Etape 2'!S205</f>
        <v/>
      </c>
      <c r="Y208" s="89" t="str">
        <f>'Etape 2'!T205</f>
        <v/>
      </c>
      <c r="Z208" s="87">
        <f>'Etape 2'!U205</f>
        <v>0</v>
      </c>
      <c r="AA208" s="87" t="str">
        <f>'Etape 2'!V205</f>
        <v/>
      </c>
      <c r="AB208" s="87">
        <f>IF(ISNUMBER('Etape 2'!W205),'Etape 2'!W205,0)</f>
        <v>0</v>
      </c>
      <c r="AC208" s="87">
        <f>IF(ISNUMBER('Etape 2'!X205),'Etape 2'!X205,0)</f>
        <v>0</v>
      </c>
      <c r="AD208" s="87">
        <f>IF(ISNUMBER('Etape 2'!Y205),'Etape 2'!Y205,0)</f>
        <v>0</v>
      </c>
      <c r="AE208" s="87">
        <f>IF(ISNUMBER('Etape 2'!Z205),'Etape 2'!Z205,0)</f>
        <v>0</v>
      </c>
      <c r="AF208" s="86">
        <f t="shared" si="177"/>
        <v>999</v>
      </c>
      <c r="AG208" s="288">
        <f t="shared" si="178"/>
        <v>0.25</v>
      </c>
      <c r="AH208" s="181" t="e">
        <f t="shared" ref="AH208:AH271" si="205">I208*J208</f>
        <v>#VALUE!</v>
      </c>
      <c r="AI208" s="181" t="e">
        <f t="shared" si="190"/>
        <v>#VALUE!</v>
      </c>
      <c r="AJ208" s="86">
        <f t="shared" ref="AJ208:AJ271" si="206">IF(I208&lt;Wert_Motor.max.Leistung.fuer.Berechnung.Wirkungsgrad,I208,Wert_Motor.max.Leistung.fuer.Berechnung.Wirkungsgrad)</f>
        <v>200</v>
      </c>
      <c r="AK208" s="91" t="e">
        <f t="shared" ref="AK208:AK271" si="207">VLOOKUP(I208,Matrix_Motor.LeistungsKl.ID,2,1)</f>
        <v>#N/A</v>
      </c>
      <c r="AL208" s="91" t="e">
        <f t="shared" si="191"/>
        <v>#N/A</v>
      </c>
      <c r="AM208" s="91">
        <f t="shared" si="109"/>
        <v>6</v>
      </c>
      <c r="AN208" s="91" t="e">
        <f t="shared" si="192"/>
        <v>#N/A</v>
      </c>
      <c r="AO208" s="91" t="e">
        <f t="shared" si="193"/>
        <v>#N/A</v>
      </c>
      <c r="AP208" s="21" t="e">
        <f t="shared" si="194"/>
        <v>#N/A</v>
      </c>
      <c r="AQ208" s="21" t="e">
        <f t="shared" si="195"/>
        <v>#N/A</v>
      </c>
      <c r="AR208" s="92" t="str">
        <f t="shared" si="179"/>
        <v/>
      </c>
      <c r="AS208" s="21" t="str">
        <f t="shared" si="180"/>
        <v/>
      </c>
      <c r="AT208" s="59" t="str">
        <f t="shared" ref="AT208:AT271" si="208">IF(AND(ISNUMBER(AR208),AE208&gt;=0),AS208*Preis_Strom.Schritt2/100,"")</f>
        <v/>
      </c>
      <c r="AU208" s="105">
        <f t="shared" si="113"/>
        <v>1</v>
      </c>
      <c r="AV208" s="105">
        <f t="shared" si="196"/>
        <v>1</v>
      </c>
      <c r="AW208" s="58">
        <f t="shared" si="197"/>
        <v>2</v>
      </c>
      <c r="AX208" s="58">
        <f t="shared" si="198"/>
        <v>3</v>
      </c>
      <c r="AY208" s="58" t="str">
        <f t="shared" si="199"/>
        <v>avec vannes</v>
      </c>
      <c r="AZ208" s="58" t="str">
        <f t="shared" si="200"/>
        <v>fermé</v>
      </c>
      <c r="BA208" s="60">
        <f t="shared" si="201"/>
        <v>0</v>
      </c>
      <c r="BB208" s="60">
        <f t="shared" si="201"/>
        <v>0</v>
      </c>
      <c r="BC208" s="60">
        <f t="shared" si="201"/>
        <v>0</v>
      </c>
      <c r="BD208" s="60">
        <f t="shared" si="201"/>
        <v>0</v>
      </c>
      <c r="BE208" s="286" t="str">
        <f t="shared" ref="BE208:BE271" si="209">IF(AND(ISNUMBER(A208),AE208&gt;=0),IF(SUM(AB208:AE208)&gt;0,SUMPRODUCT(AB208:AE208,BA208:BD208)/SUM(AB208:AE208),0)*VLOOKUP(IF(U208=0,St.Wert_Regulierungsart,U208),Matrix_Regulierungsart.Einsparfaktor,2,FALSE),"")</f>
        <v/>
      </c>
      <c r="BF208" s="58" t="str">
        <f t="shared" si="181"/>
        <v/>
      </c>
      <c r="BG208" s="59" t="str">
        <f t="shared" ref="BG208:BG271" si="210">IF(AND(ISNUMBER(A208),AE208&gt;=0),BF208*Preis_Strom.Schritt2/100,"")</f>
        <v/>
      </c>
      <c r="BH208" s="158">
        <f t="shared" ref="BH208:BH271" ca="1" si="211">VLOOKUP(C208,Matrix_Berechnungen1.Rang.Pumpendaten.Zwischenresultate,BH$12,0)</f>
        <v>1</v>
      </c>
      <c r="BI208" s="60">
        <f t="shared" ref="BI208:BI271" ca="1" si="212">VLOOKUP(BH208,Matrix_Anlage.AlterID.Einsparpotential.und.EnergieAnteil,5,0)</f>
        <v>0.15</v>
      </c>
      <c r="BJ208" s="60">
        <f t="shared" ref="BJ208:BJ271" si="213">VLOOKUP(AG208,Matrix_Redim.Teilvolumenstrom.Einsparpotential.ID,2,0)</f>
        <v>0.2</v>
      </c>
      <c r="BK208" s="60" t="str">
        <f t="shared" si="182"/>
        <v/>
      </c>
      <c r="BL208" s="21" t="str">
        <f t="shared" si="183"/>
        <v/>
      </c>
      <c r="BM208" s="264" t="str">
        <f t="shared" ref="BM208:BM271" si="214">IF(AND(ISNUMBER(A208),AE208&gt;=0),BL208*Preis_Strom.Schritt2/100,"")</f>
        <v/>
      </c>
      <c r="BN208" s="60" t="str">
        <f t="shared" si="184"/>
        <v/>
      </c>
      <c r="BO208" s="136">
        <f t="shared" si="185"/>
        <v>0</v>
      </c>
      <c r="BP208" s="59">
        <f t="shared" si="186"/>
        <v>0</v>
      </c>
      <c r="BQ208" s="136">
        <f t="shared" ref="BQ208:BQ271" ca="1" si="215">VLOOKUP(M208,Matrix_Sortierung.Schritt2.Multiplikator.ID.BewertungSchritt1,2,FALSE)*MAX($N$16:$N$315)+$N208</f>
        <v>1393</v>
      </c>
      <c r="BR208" s="136">
        <f t="shared" ref="BR208:BR271" ca="1" si="216">VLOOKUP(M208,Matrix_Sortierung.Schritt2.Multiplikator.ID.BewertungSchritt1,2,FALSE)*MAX($I$16:$I$315)-IF(ISNUMBER(I208),I208,0)+$N208/(MAX($N$16:$N$315)+1)</f>
        <v>1000.641196013289</v>
      </c>
      <c r="BS208" s="136">
        <f t="shared" ref="BS208:BS271" ca="1" si="217">VLOOKUP(M208,Matrix_Sortierung.Schritt2.Multiplikator.ID.BewertungSchritt1,2,FALSE)*MAX($R$16:$R$315)-R208+$N208/(MAX($N$16:$N$315)+1)</f>
        <v>1468800.6411960132</v>
      </c>
      <c r="BT208" s="136">
        <f t="shared" ref="BT208:BT271" ca="1" si="218">VLOOKUP(M208,Matrix_Sortierung.Schritt2.Multiplikator.ID.BewertungSchritt1,2,FALSE)*MAX($BO$16:$BO$315)-BO208+$N208/(MAX($N$16:$N$315)+1)</f>
        <v>313875.56392177253</v>
      </c>
      <c r="BU208" s="136">
        <f t="shared" ref="BU208:BU271" ca="1" si="219">INDIRECT(ADDRESS(ROW(BU208),Wert_Sortiervariante.Resultate.SpaltenNr))</f>
        <v>1000.641196013289</v>
      </c>
    </row>
    <row r="209" spans="1:73" x14ac:dyDescent="0.2">
      <c r="A209" s="87" t="str">
        <f>'Etape 2'!A206</f>
        <v/>
      </c>
      <c r="B209" s="87">
        <f>'Etape 2'!B206</f>
        <v>194</v>
      </c>
      <c r="C209" s="87">
        <f ca="1">'Etape 2'!C206</f>
        <v>107</v>
      </c>
      <c r="D209" s="87"/>
      <c r="E209" s="61">
        <f ca="1">RANK(BU209,BU$16:BU$315,0)+COUNTIF(BU$16:BU209,BU209)-1</f>
        <v>107</v>
      </c>
      <c r="F209" s="87" t="str">
        <f>'Etape 2'!D206</f>
        <v/>
      </c>
      <c r="G209" s="87" t="str">
        <f>'Etape 2'!E206</f>
        <v/>
      </c>
      <c r="H209" s="87" t="str">
        <f>'Etape 2'!F206</f>
        <v/>
      </c>
      <c r="I209" s="87" t="str">
        <f>'Etape 2'!G206</f>
        <v/>
      </c>
      <c r="J209" s="87" t="str">
        <f>'Etape 2'!H206</f>
        <v/>
      </c>
      <c r="K209" s="87" t="str">
        <f>'Etape 2'!I206</f>
        <v/>
      </c>
      <c r="L209" s="87">
        <f ca="1">'Etape 2'!J206</f>
        <v>999999</v>
      </c>
      <c r="M209" s="87">
        <f>'Etape 2'!K206</f>
        <v>999</v>
      </c>
      <c r="N209" s="87">
        <f ca="1">'Etape 2'!L206</f>
        <v>194</v>
      </c>
      <c r="O209" s="259">
        <f t="shared" si="202"/>
        <v>0.3</v>
      </c>
      <c r="P209" s="259">
        <f t="shared" si="203"/>
        <v>1.1000000000000001</v>
      </c>
      <c r="Q209" s="260">
        <f t="shared" si="204"/>
        <v>0</v>
      </c>
      <c r="R209" s="261">
        <f t="shared" si="187"/>
        <v>0</v>
      </c>
      <c r="S209" s="87">
        <f>IF(ISBLANK('Etape 2'!N206),0,VLOOKUP('Etape 2'!N206,Matrix_Uebersetzung,2,FALSE))</f>
        <v>0</v>
      </c>
      <c r="T209" s="87">
        <f>IF(ISBLANK('Etape 2'!O206),0,VLOOKUP('Etape 2'!O206,Matrix_Uebersetzung,2,FALSE))</f>
        <v>0</v>
      </c>
      <c r="U209" s="87">
        <f>IF(ISBLANK('Etape 2'!P206),0,VLOOKUP('Etape 2'!P206,Matrix_Uebersetzung,2,FALSE))</f>
        <v>0</v>
      </c>
      <c r="V209" s="87" t="str">
        <f>'Etape 2'!Q206</f>
        <v/>
      </c>
      <c r="W209" s="87">
        <f>'Etape 2'!R206</f>
        <v>0</v>
      </c>
      <c r="X209" s="87" t="str">
        <f>'Etape 2'!S206</f>
        <v/>
      </c>
      <c r="Y209" s="89" t="str">
        <f>'Etape 2'!T206</f>
        <v/>
      </c>
      <c r="Z209" s="87">
        <f>'Etape 2'!U206</f>
        <v>0</v>
      </c>
      <c r="AA209" s="87" t="str">
        <f>'Etape 2'!V206</f>
        <v/>
      </c>
      <c r="AB209" s="87">
        <f>IF(ISNUMBER('Etape 2'!W206),'Etape 2'!W206,0)</f>
        <v>0</v>
      </c>
      <c r="AC209" s="87">
        <f>IF(ISNUMBER('Etape 2'!X206),'Etape 2'!X206,0)</f>
        <v>0</v>
      </c>
      <c r="AD209" s="87">
        <f>IF(ISNUMBER('Etape 2'!Y206),'Etape 2'!Y206,0)</f>
        <v>0</v>
      </c>
      <c r="AE209" s="87">
        <f>IF(ISNUMBER('Etape 2'!Z206),'Etape 2'!Z206,0)</f>
        <v>0</v>
      </c>
      <c r="AF209" s="86">
        <f t="shared" ref="AF209:AF272" si="220">IF(AE209&lt;0,-1,1)*M209</f>
        <v>999</v>
      </c>
      <c r="AG209" s="288">
        <f t="shared" ref="AG209:AG272" si="221">IF(AE209=0,IF(AD209=0,IF(AC209=0,AB$14,AC$14),AD$14),AE$14)</f>
        <v>0.25</v>
      </c>
      <c r="AH209" s="181" t="e">
        <f t="shared" si="205"/>
        <v>#VALUE!</v>
      </c>
      <c r="AI209" s="181" t="e">
        <f t="shared" si="190"/>
        <v>#VALUE!</v>
      </c>
      <c r="AJ209" s="86">
        <f t="shared" si="206"/>
        <v>200</v>
      </c>
      <c r="AK209" s="91" t="e">
        <f t="shared" si="207"/>
        <v>#N/A</v>
      </c>
      <c r="AL209" s="91" t="e">
        <f t="shared" si="191"/>
        <v>#N/A</v>
      </c>
      <c r="AM209" s="91">
        <f t="shared" si="109"/>
        <v>6</v>
      </c>
      <c r="AN209" s="91" t="e">
        <f t="shared" si="192"/>
        <v>#N/A</v>
      </c>
      <c r="AO209" s="91" t="e">
        <f t="shared" si="193"/>
        <v>#N/A</v>
      </c>
      <c r="AP209" s="21" t="e">
        <f t="shared" si="194"/>
        <v>#N/A</v>
      </c>
      <c r="AQ209" s="21" t="e">
        <f t="shared" si="195"/>
        <v>#N/A</v>
      </c>
      <c r="AR209" s="92" t="str">
        <f t="shared" ref="AR209:AR272" si="222">IF(AND(ISNUMBER(A209),ISNUMBER(K209+AP209+AQ209)),IF(ISERROR(1-AP209/AQ209),0,1-AP209/AQ209),"")</f>
        <v/>
      </c>
      <c r="AS209" s="21" t="str">
        <f t="shared" ref="AS209:AS272" si="223">IF(AND(ISNUMBER(AR209),AE209&gt;=0),R209*AR209,"")</f>
        <v/>
      </c>
      <c r="AT209" s="59" t="str">
        <f t="shared" si="208"/>
        <v/>
      </c>
      <c r="AU209" s="105">
        <f t="shared" si="113"/>
        <v>1</v>
      </c>
      <c r="AV209" s="105">
        <f t="shared" si="196"/>
        <v>1</v>
      </c>
      <c r="AW209" s="58">
        <f t="shared" si="197"/>
        <v>2</v>
      </c>
      <c r="AX209" s="58">
        <f t="shared" si="198"/>
        <v>3</v>
      </c>
      <c r="AY209" s="58" t="str">
        <f t="shared" si="199"/>
        <v>avec vannes</v>
      </c>
      <c r="AZ209" s="58" t="str">
        <f t="shared" si="200"/>
        <v>fermé</v>
      </c>
      <c r="BA209" s="60">
        <f t="shared" si="201"/>
        <v>0</v>
      </c>
      <c r="BB209" s="60">
        <f t="shared" si="201"/>
        <v>0</v>
      </c>
      <c r="BC209" s="60">
        <f t="shared" si="201"/>
        <v>0</v>
      </c>
      <c r="BD209" s="60">
        <f t="shared" si="201"/>
        <v>0</v>
      </c>
      <c r="BE209" s="286" t="str">
        <f t="shared" si="209"/>
        <v/>
      </c>
      <c r="BF209" s="58" t="str">
        <f t="shared" ref="BF209:BF272" si="224">IF(AND(ISNUMBER(A209),AE209&gt;=0),R209*BE209,"")</f>
        <v/>
      </c>
      <c r="BG209" s="59" t="str">
        <f t="shared" si="210"/>
        <v/>
      </c>
      <c r="BH209" s="158">
        <f t="shared" ca="1" si="211"/>
        <v>1</v>
      </c>
      <c r="BI209" s="60">
        <f t="shared" ca="1" si="212"/>
        <v>0.15</v>
      </c>
      <c r="BJ209" s="60">
        <f t="shared" si="213"/>
        <v>0.2</v>
      </c>
      <c r="BK209" s="60" t="str">
        <f t="shared" ref="BK209:BK272" si="225">IF(AND(ISNUMBER(A209),AE209&gt;=0),1-((1-BI209)*(1-BJ209)),"")</f>
        <v/>
      </c>
      <c r="BL209" s="21" t="str">
        <f t="shared" ref="BL209:BL272" si="226">IF(AND(ISNUMBER(A209),AE209&gt;=0),R209*BK209,"")</f>
        <v/>
      </c>
      <c r="BM209" s="264" t="str">
        <f t="shared" si="214"/>
        <v/>
      </c>
      <c r="BN209" s="60" t="str">
        <f t="shared" ref="BN209:BN272" si="227">IF(AND(ISNUMBER(A209),AE209&gt;=0),(1-(1-IF(ISNUMBER(AR209),AR209,0))*(1-BE209)*(1-BK209)),"")</f>
        <v/>
      </c>
      <c r="BO209" s="136">
        <f t="shared" ref="BO209:BO272" si="228">IF(AND(ISNUMBER(A209),AE209&gt;=0),R209*BN209,0)</f>
        <v>0</v>
      </c>
      <c r="BP209" s="59">
        <f t="shared" ref="BP209:BP272" si="229">BO209*Preis_Strom.Schritt2/100</f>
        <v>0</v>
      </c>
      <c r="BQ209" s="136">
        <f t="shared" ca="1" si="215"/>
        <v>1394</v>
      </c>
      <c r="BR209" s="136">
        <f t="shared" ca="1" si="216"/>
        <v>1000.6445182724252</v>
      </c>
      <c r="BS209" s="136">
        <f t="shared" ca="1" si="217"/>
        <v>1468800.6445182725</v>
      </c>
      <c r="BT209" s="136">
        <f t="shared" ca="1" si="218"/>
        <v>313875.56724403164</v>
      </c>
      <c r="BU209" s="136">
        <f t="shared" ca="1" si="219"/>
        <v>1000.6445182724252</v>
      </c>
    </row>
    <row r="210" spans="1:73" x14ac:dyDescent="0.2">
      <c r="A210" s="87" t="str">
        <f>'Etape 2'!A207</f>
        <v/>
      </c>
      <c r="B210" s="87">
        <f>'Etape 2'!B207</f>
        <v>195</v>
      </c>
      <c r="C210" s="87">
        <f ca="1">'Etape 2'!C207</f>
        <v>106</v>
      </c>
      <c r="D210" s="87"/>
      <c r="E210" s="61">
        <f ca="1">RANK(BU210,BU$16:BU$315,0)+COUNTIF(BU$16:BU210,BU210)-1</f>
        <v>106</v>
      </c>
      <c r="F210" s="87" t="str">
        <f>'Etape 2'!D207</f>
        <v/>
      </c>
      <c r="G210" s="87" t="str">
        <f>'Etape 2'!E207</f>
        <v/>
      </c>
      <c r="H210" s="87" t="str">
        <f>'Etape 2'!F207</f>
        <v/>
      </c>
      <c r="I210" s="87" t="str">
        <f>'Etape 2'!G207</f>
        <v/>
      </c>
      <c r="J210" s="87" t="str">
        <f>'Etape 2'!H207</f>
        <v/>
      </c>
      <c r="K210" s="87" t="str">
        <f>'Etape 2'!I207</f>
        <v/>
      </c>
      <c r="L210" s="87">
        <f ca="1">'Etape 2'!J207</f>
        <v>999999</v>
      </c>
      <c r="M210" s="87">
        <f>'Etape 2'!K207</f>
        <v>999</v>
      </c>
      <c r="N210" s="87">
        <f ca="1">'Etape 2'!L207</f>
        <v>195</v>
      </c>
      <c r="O210" s="259">
        <f t="shared" si="202"/>
        <v>0.3</v>
      </c>
      <c r="P210" s="259">
        <f t="shared" si="203"/>
        <v>1.1000000000000001</v>
      </c>
      <c r="Q210" s="260">
        <f t="shared" si="204"/>
        <v>0</v>
      </c>
      <c r="R210" s="261">
        <f t="shared" si="187"/>
        <v>0</v>
      </c>
      <c r="S210" s="87">
        <f>IF(ISBLANK('Etape 2'!N207),0,VLOOKUP('Etape 2'!N207,Matrix_Uebersetzung,2,FALSE))</f>
        <v>0</v>
      </c>
      <c r="T210" s="87">
        <f>IF(ISBLANK('Etape 2'!O207),0,VLOOKUP('Etape 2'!O207,Matrix_Uebersetzung,2,FALSE))</f>
        <v>0</v>
      </c>
      <c r="U210" s="87">
        <f>IF(ISBLANK('Etape 2'!P207),0,VLOOKUP('Etape 2'!P207,Matrix_Uebersetzung,2,FALSE))</f>
        <v>0</v>
      </c>
      <c r="V210" s="87" t="str">
        <f>'Etape 2'!Q207</f>
        <v/>
      </c>
      <c r="W210" s="87">
        <f>'Etape 2'!R207</f>
        <v>0</v>
      </c>
      <c r="X210" s="87" t="str">
        <f>'Etape 2'!S207</f>
        <v/>
      </c>
      <c r="Y210" s="89" t="str">
        <f>'Etape 2'!T207</f>
        <v/>
      </c>
      <c r="Z210" s="87">
        <f>'Etape 2'!U207</f>
        <v>0</v>
      </c>
      <c r="AA210" s="87" t="str">
        <f>'Etape 2'!V207</f>
        <v/>
      </c>
      <c r="AB210" s="87">
        <f>IF(ISNUMBER('Etape 2'!W207),'Etape 2'!W207,0)</f>
        <v>0</v>
      </c>
      <c r="AC210" s="87">
        <f>IF(ISNUMBER('Etape 2'!X207),'Etape 2'!X207,0)</f>
        <v>0</v>
      </c>
      <c r="AD210" s="87">
        <f>IF(ISNUMBER('Etape 2'!Y207),'Etape 2'!Y207,0)</f>
        <v>0</v>
      </c>
      <c r="AE210" s="87">
        <f>IF(ISNUMBER('Etape 2'!Z207),'Etape 2'!Z207,0)</f>
        <v>0</v>
      </c>
      <c r="AF210" s="86">
        <f t="shared" si="220"/>
        <v>999</v>
      </c>
      <c r="AG210" s="288">
        <f t="shared" si="221"/>
        <v>0.25</v>
      </c>
      <c r="AH210" s="181" t="e">
        <f t="shared" si="205"/>
        <v>#VALUE!</v>
      </c>
      <c r="AI210" s="181" t="e">
        <f t="shared" si="190"/>
        <v>#VALUE!</v>
      </c>
      <c r="AJ210" s="86">
        <f t="shared" si="206"/>
        <v>200</v>
      </c>
      <c r="AK210" s="91" t="e">
        <f t="shared" si="207"/>
        <v>#N/A</v>
      </c>
      <c r="AL210" s="91" t="e">
        <f t="shared" si="191"/>
        <v>#N/A</v>
      </c>
      <c r="AM210" s="91">
        <f t="shared" si="109"/>
        <v>6</v>
      </c>
      <c r="AN210" s="91" t="e">
        <f t="shared" si="192"/>
        <v>#N/A</v>
      </c>
      <c r="AO210" s="91" t="e">
        <f t="shared" si="193"/>
        <v>#N/A</v>
      </c>
      <c r="AP210" s="21" t="e">
        <f t="shared" si="194"/>
        <v>#N/A</v>
      </c>
      <c r="AQ210" s="21" t="e">
        <f t="shared" si="195"/>
        <v>#N/A</v>
      </c>
      <c r="AR210" s="92" t="str">
        <f t="shared" si="222"/>
        <v/>
      </c>
      <c r="AS210" s="21" t="str">
        <f t="shared" si="223"/>
        <v/>
      </c>
      <c r="AT210" s="59" t="str">
        <f t="shared" si="208"/>
        <v/>
      </c>
      <c r="AU210" s="105">
        <f t="shared" si="113"/>
        <v>1</v>
      </c>
      <c r="AV210" s="105">
        <f t="shared" si="196"/>
        <v>1</v>
      </c>
      <c r="AW210" s="58">
        <f t="shared" si="197"/>
        <v>2</v>
      </c>
      <c r="AX210" s="58">
        <f t="shared" si="198"/>
        <v>3</v>
      </c>
      <c r="AY210" s="58" t="str">
        <f t="shared" si="199"/>
        <v>avec vannes</v>
      </c>
      <c r="AZ210" s="58" t="str">
        <f t="shared" si="200"/>
        <v>fermé</v>
      </c>
      <c r="BA210" s="60">
        <f t="shared" si="201"/>
        <v>0</v>
      </c>
      <c r="BB210" s="60">
        <f t="shared" si="201"/>
        <v>0</v>
      </c>
      <c r="BC210" s="60">
        <f t="shared" si="201"/>
        <v>0</v>
      </c>
      <c r="BD210" s="60">
        <f t="shared" si="201"/>
        <v>0</v>
      </c>
      <c r="BE210" s="286" t="str">
        <f t="shared" si="209"/>
        <v/>
      </c>
      <c r="BF210" s="58" t="str">
        <f t="shared" si="224"/>
        <v/>
      </c>
      <c r="BG210" s="59" t="str">
        <f t="shared" si="210"/>
        <v/>
      </c>
      <c r="BH210" s="158">
        <f t="shared" ca="1" si="211"/>
        <v>1</v>
      </c>
      <c r="BI210" s="60">
        <f t="shared" ca="1" si="212"/>
        <v>0.15</v>
      </c>
      <c r="BJ210" s="60">
        <f t="shared" si="213"/>
        <v>0.2</v>
      </c>
      <c r="BK210" s="60" t="str">
        <f t="shared" si="225"/>
        <v/>
      </c>
      <c r="BL210" s="21" t="str">
        <f t="shared" si="226"/>
        <v/>
      </c>
      <c r="BM210" s="264" t="str">
        <f t="shared" si="214"/>
        <v/>
      </c>
      <c r="BN210" s="60" t="str">
        <f t="shared" si="227"/>
        <v/>
      </c>
      <c r="BO210" s="136">
        <f t="shared" si="228"/>
        <v>0</v>
      </c>
      <c r="BP210" s="59">
        <f t="shared" si="229"/>
        <v>0</v>
      </c>
      <c r="BQ210" s="136">
        <f t="shared" ca="1" si="215"/>
        <v>1395</v>
      </c>
      <c r="BR210" s="136">
        <f t="shared" ca="1" si="216"/>
        <v>1000.6478405315614</v>
      </c>
      <c r="BS210" s="136">
        <f t="shared" ca="1" si="217"/>
        <v>1468800.6478405315</v>
      </c>
      <c r="BT210" s="136">
        <f t="shared" ca="1" si="218"/>
        <v>313875.57056629076</v>
      </c>
      <c r="BU210" s="136">
        <f t="shared" ca="1" si="219"/>
        <v>1000.6478405315614</v>
      </c>
    </row>
    <row r="211" spans="1:73" x14ac:dyDescent="0.2">
      <c r="A211" s="87" t="str">
        <f>'Etape 2'!A208</f>
        <v/>
      </c>
      <c r="B211" s="87">
        <f>'Etape 2'!B208</f>
        <v>196</v>
      </c>
      <c r="C211" s="87">
        <f ca="1">'Etape 2'!C208</f>
        <v>105</v>
      </c>
      <c r="D211" s="87"/>
      <c r="E211" s="61">
        <f ca="1">RANK(BU211,BU$16:BU$315,0)+COUNTIF(BU$16:BU211,BU211)-1</f>
        <v>105</v>
      </c>
      <c r="F211" s="87" t="str">
        <f>'Etape 2'!D208</f>
        <v/>
      </c>
      <c r="G211" s="87" t="str">
        <f>'Etape 2'!E208</f>
        <v/>
      </c>
      <c r="H211" s="87" t="str">
        <f>'Etape 2'!F208</f>
        <v/>
      </c>
      <c r="I211" s="87" t="str">
        <f>'Etape 2'!G208</f>
        <v/>
      </c>
      <c r="J211" s="87" t="str">
        <f>'Etape 2'!H208</f>
        <v/>
      </c>
      <c r="K211" s="87" t="str">
        <f>'Etape 2'!I208</f>
        <v/>
      </c>
      <c r="L211" s="87">
        <f ca="1">'Etape 2'!J208</f>
        <v>999999</v>
      </c>
      <c r="M211" s="87">
        <f>'Etape 2'!K208</f>
        <v>999</v>
      </c>
      <c r="N211" s="87">
        <f ca="1">'Etape 2'!L208</f>
        <v>196</v>
      </c>
      <c r="O211" s="259">
        <f t="shared" si="202"/>
        <v>0.3</v>
      </c>
      <c r="P211" s="259">
        <f t="shared" si="203"/>
        <v>1.1000000000000001</v>
      </c>
      <c r="Q211" s="260">
        <f t="shared" si="204"/>
        <v>0</v>
      </c>
      <c r="R211" s="261">
        <f t="shared" si="187"/>
        <v>0</v>
      </c>
      <c r="S211" s="87">
        <f>IF(ISBLANK('Etape 2'!N208),0,VLOOKUP('Etape 2'!N208,Matrix_Uebersetzung,2,FALSE))</f>
        <v>0</v>
      </c>
      <c r="T211" s="87">
        <f>IF(ISBLANK('Etape 2'!O208),0,VLOOKUP('Etape 2'!O208,Matrix_Uebersetzung,2,FALSE))</f>
        <v>0</v>
      </c>
      <c r="U211" s="87">
        <f>IF(ISBLANK('Etape 2'!P208),0,VLOOKUP('Etape 2'!P208,Matrix_Uebersetzung,2,FALSE))</f>
        <v>0</v>
      </c>
      <c r="V211" s="87" t="str">
        <f>'Etape 2'!Q208</f>
        <v/>
      </c>
      <c r="W211" s="87">
        <f>'Etape 2'!R208</f>
        <v>0</v>
      </c>
      <c r="X211" s="87" t="str">
        <f>'Etape 2'!S208</f>
        <v/>
      </c>
      <c r="Y211" s="89" t="str">
        <f>'Etape 2'!T208</f>
        <v/>
      </c>
      <c r="Z211" s="87">
        <f>'Etape 2'!U208</f>
        <v>0</v>
      </c>
      <c r="AA211" s="87" t="str">
        <f>'Etape 2'!V208</f>
        <v/>
      </c>
      <c r="AB211" s="87">
        <f>IF(ISNUMBER('Etape 2'!W208),'Etape 2'!W208,0)</f>
        <v>0</v>
      </c>
      <c r="AC211" s="87">
        <f>IF(ISNUMBER('Etape 2'!X208),'Etape 2'!X208,0)</f>
        <v>0</v>
      </c>
      <c r="AD211" s="87">
        <f>IF(ISNUMBER('Etape 2'!Y208),'Etape 2'!Y208,0)</f>
        <v>0</v>
      </c>
      <c r="AE211" s="87">
        <f>IF(ISNUMBER('Etape 2'!Z208),'Etape 2'!Z208,0)</f>
        <v>0</v>
      </c>
      <c r="AF211" s="86">
        <f t="shared" si="220"/>
        <v>999</v>
      </c>
      <c r="AG211" s="288">
        <f t="shared" si="221"/>
        <v>0.25</v>
      </c>
      <c r="AH211" s="181" t="e">
        <f t="shared" si="205"/>
        <v>#VALUE!</v>
      </c>
      <c r="AI211" s="181" t="e">
        <f t="shared" si="190"/>
        <v>#VALUE!</v>
      </c>
      <c r="AJ211" s="86">
        <f t="shared" si="206"/>
        <v>200</v>
      </c>
      <c r="AK211" s="91" t="e">
        <f t="shared" si="207"/>
        <v>#N/A</v>
      </c>
      <c r="AL211" s="91" t="e">
        <f t="shared" si="191"/>
        <v>#N/A</v>
      </c>
      <c r="AM211" s="91">
        <f t="shared" si="109"/>
        <v>6</v>
      </c>
      <c r="AN211" s="91" t="e">
        <f t="shared" si="192"/>
        <v>#N/A</v>
      </c>
      <c r="AO211" s="91" t="e">
        <f t="shared" si="193"/>
        <v>#N/A</v>
      </c>
      <c r="AP211" s="21" t="e">
        <f t="shared" si="194"/>
        <v>#N/A</v>
      </c>
      <c r="AQ211" s="21" t="e">
        <f t="shared" si="195"/>
        <v>#N/A</v>
      </c>
      <c r="AR211" s="92" t="str">
        <f t="shared" si="222"/>
        <v/>
      </c>
      <c r="AS211" s="21" t="str">
        <f t="shared" si="223"/>
        <v/>
      </c>
      <c r="AT211" s="59" t="str">
        <f t="shared" si="208"/>
        <v/>
      </c>
      <c r="AU211" s="105">
        <f t="shared" si="113"/>
        <v>1</v>
      </c>
      <c r="AV211" s="105">
        <f t="shared" si="196"/>
        <v>1</v>
      </c>
      <c r="AW211" s="58">
        <f t="shared" si="197"/>
        <v>2</v>
      </c>
      <c r="AX211" s="58">
        <f t="shared" si="198"/>
        <v>3</v>
      </c>
      <c r="AY211" s="58" t="str">
        <f t="shared" si="199"/>
        <v>avec vannes</v>
      </c>
      <c r="AZ211" s="58" t="str">
        <f t="shared" si="200"/>
        <v>fermé</v>
      </c>
      <c r="BA211" s="60">
        <f t="shared" si="201"/>
        <v>0</v>
      </c>
      <c r="BB211" s="60">
        <f t="shared" si="201"/>
        <v>0</v>
      </c>
      <c r="BC211" s="60">
        <f t="shared" si="201"/>
        <v>0</v>
      </c>
      <c r="BD211" s="60">
        <f t="shared" si="201"/>
        <v>0</v>
      </c>
      <c r="BE211" s="286" t="str">
        <f t="shared" si="209"/>
        <v/>
      </c>
      <c r="BF211" s="58" t="str">
        <f t="shared" si="224"/>
        <v/>
      </c>
      <c r="BG211" s="59" t="str">
        <f t="shared" si="210"/>
        <v/>
      </c>
      <c r="BH211" s="158">
        <f t="shared" ca="1" si="211"/>
        <v>1</v>
      </c>
      <c r="BI211" s="60">
        <f t="shared" ca="1" si="212"/>
        <v>0.15</v>
      </c>
      <c r="BJ211" s="60">
        <f t="shared" si="213"/>
        <v>0.2</v>
      </c>
      <c r="BK211" s="60" t="str">
        <f t="shared" si="225"/>
        <v/>
      </c>
      <c r="BL211" s="21" t="str">
        <f t="shared" si="226"/>
        <v/>
      </c>
      <c r="BM211" s="264" t="str">
        <f t="shared" si="214"/>
        <v/>
      </c>
      <c r="BN211" s="60" t="str">
        <f t="shared" si="227"/>
        <v/>
      </c>
      <c r="BO211" s="136">
        <f t="shared" si="228"/>
        <v>0</v>
      </c>
      <c r="BP211" s="59">
        <f t="shared" si="229"/>
        <v>0</v>
      </c>
      <c r="BQ211" s="136">
        <f t="shared" ca="1" si="215"/>
        <v>1396</v>
      </c>
      <c r="BR211" s="136">
        <f t="shared" ca="1" si="216"/>
        <v>1000.6511627906976</v>
      </c>
      <c r="BS211" s="136">
        <f t="shared" ca="1" si="217"/>
        <v>1468800.6511627906</v>
      </c>
      <c r="BT211" s="136">
        <f t="shared" ca="1" si="218"/>
        <v>313875.57388854993</v>
      </c>
      <c r="BU211" s="136">
        <f t="shared" ca="1" si="219"/>
        <v>1000.6511627906976</v>
      </c>
    </row>
    <row r="212" spans="1:73" x14ac:dyDescent="0.2">
      <c r="A212" s="87" t="str">
        <f>'Etape 2'!A209</f>
        <v/>
      </c>
      <c r="B212" s="87">
        <f>'Etape 2'!B209</f>
        <v>197</v>
      </c>
      <c r="C212" s="87">
        <f ca="1">'Etape 2'!C209</f>
        <v>104</v>
      </c>
      <c r="D212" s="87"/>
      <c r="E212" s="61">
        <f ca="1">RANK(BU212,BU$16:BU$315,0)+COUNTIF(BU$16:BU212,BU212)-1</f>
        <v>104</v>
      </c>
      <c r="F212" s="87" t="str">
        <f>'Etape 2'!D209</f>
        <v/>
      </c>
      <c r="G212" s="87" t="str">
        <f>'Etape 2'!E209</f>
        <v/>
      </c>
      <c r="H212" s="87" t="str">
        <f>'Etape 2'!F209</f>
        <v/>
      </c>
      <c r="I212" s="87" t="str">
        <f>'Etape 2'!G209</f>
        <v/>
      </c>
      <c r="J212" s="87" t="str">
        <f>'Etape 2'!H209</f>
        <v/>
      </c>
      <c r="K212" s="87" t="str">
        <f>'Etape 2'!I209</f>
        <v/>
      </c>
      <c r="L212" s="87">
        <f ca="1">'Etape 2'!J209</f>
        <v>999999</v>
      </c>
      <c r="M212" s="87">
        <f>'Etape 2'!K209</f>
        <v>999</v>
      </c>
      <c r="N212" s="87">
        <f ca="1">'Etape 2'!L209</f>
        <v>197</v>
      </c>
      <c r="O212" s="259">
        <f t="shared" si="202"/>
        <v>0.3</v>
      </c>
      <c r="P212" s="259">
        <f t="shared" si="203"/>
        <v>1.1000000000000001</v>
      </c>
      <c r="Q212" s="260">
        <f t="shared" si="204"/>
        <v>0</v>
      </c>
      <c r="R212" s="261">
        <f t="shared" si="187"/>
        <v>0</v>
      </c>
      <c r="S212" s="87">
        <f>IF(ISBLANK('Etape 2'!N209),0,VLOOKUP('Etape 2'!N209,Matrix_Uebersetzung,2,FALSE))</f>
        <v>0</v>
      </c>
      <c r="T212" s="87">
        <f>IF(ISBLANK('Etape 2'!O209),0,VLOOKUP('Etape 2'!O209,Matrix_Uebersetzung,2,FALSE))</f>
        <v>0</v>
      </c>
      <c r="U212" s="87">
        <f>IF(ISBLANK('Etape 2'!P209),0,VLOOKUP('Etape 2'!P209,Matrix_Uebersetzung,2,FALSE))</f>
        <v>0</v>
      </c>
      <c r="V212" s="87" t="str">
        <f>'Etape 2'!Q209</f>
        <v/>
      </c>
      <c r="W212" s="87">
        <f>'Etape 2'!R209</f>
        <v>0</v>
      </c>
      <c r="X212" s="87" t="str">
        <f>'Etape 2'!S209</f>
        <v/>
      </c>
      <c r="Y212" s="89" t="str">
        <f>'Etape 2'!T209</f>
        <v/>
      </c>
      <c r="Z212" s="87">
        <f>'Etape 2'!U209</f>
        <v>0</v>
      </c>
      <c r="AA212" s="87" t="str">
        <f>'Etape 2'!V209</f>
        <v/>
      </c>
      <c r="AB212" s="87">
        <f>IF(ISNUMBER('Etape 2'!W209),'Etape 2'!W209,0)</f>
        <v>0</v>
      </c>
      <c r="AC212" s="87">
        <f>IF(ISNUMBER('Etape 2'!X209),'Etape 2'!X209,0)</f>
        <v>0</v>
      </c>
      <c r="AD212" s="87">
        <f>IF(ISNUMBER('Etape 2'!Y209),'Etape 2'!Y209,0)</f>
        <v>0</v>
      </c>
      <c r="AE212" s="87">
        <f>IF(ISNUMBER('Etape 2'!Z209),'Etape 2'!Z209,0)</f>
        <v>0</v>
      </c>
      <c r="AF212" s="86">
        <f t="shared" si="220"/>
        <v>999</v>
      </c>
      <c r="AG212" s="288">
        <f t="shared" si="221"/>
        <v>0.25</v>
      </c>
      <c r="AH212" s="181" t="e">
        <f t="shared" si="205"/>
        <v>#VALUE!</v>
      </c>
      <c r="AI212" s="181" t="e">
        <f t="shared" si="190"/>
        <v>#VALUE!</v>
      </c>
      <c r="AJ212" s="86">
        <f t="shared" si="206"/>
        <v>200</v>
      </c>
      <c r="AK212" s="91" t="e">
        <f t="shared" si="207"/>
        <v>#N/A</v>
      </c>
      <c r="AL212" s="91" t="e">
        <f t="shared" si="191"/>
        <v>#N/A</v>
      </c>
      <c r="AM212" s="91">
        <f t="shared" si="109"/>
        <v>6</v>
      </c>
      <c r="AN212" s="91" t="e">
        <f t="shared" si="192"/>
        <v>#N/A</v>
      </c>
      <c r="AO212" s="91" t="e">
        <f t="shared" si="193"/>
        <v>#N/A</v>
      </c>
      <c r="AP212" s="21" t="e">
        <f t="shared" si="194"/>
        <v>#N/A</v>
      </c>
      <c r="AQ212" s="21" t="e">
        <f t="shared" si="195"/>
        <v>#N/A</v>
      </c>
      <c r="AR212" s="92" t="str">
        <f t="shared" si="222"/>
        <v/>
      </c>
      <c r="AS212" s="21" t="str">
        <f t="shared" si="223"/>
        <v/>
      </c>
      <c r="AT212" s="59" t="str">
        <f t="shared" si="208"/>
        <v/>
      </c>
      <c r="AU212" s="105">
        <f t="shared" si="113"/>
        <v>1</v>
      </c>
      <c r="AV212" s="105">
        <f t="shared" si="196"/>
        <v>1</v>
      </c>
      <c r="AW212" s="58">
        <f t="shared" si="197"/>
        <v>2</v>
      </c>
      <c r="AX212" s="58">
        <f t="shared" si="198"/>
        <v>3</v>
      </c>
      <c r="AY212" s="58" t="str">
        <f t="shared" si="199"/>
        <v>avec vannes</v>
      </c>
      <c r="AZ212" s="58" t="str">
        <f t="shared" si="200"/>
        <v>fermé</v>
      </c>
      <c r="BA212" s="60">
        <f t="shared" si="201"/>
        <v>0</v>
      </c>
      <c r="BB212" s="60">
        <f t="shared" si="201"/>
        <v>0</v>
      </c>
      <c r="BC212" s="60">
        <f t="shared" si="201"/>
        <v>0</v>
      </c>
      <c r="BD212" s="60">
        <f t="shared" si="201"/>
        <v>0</v>
      </c>
      <c r="BE212" s="286" t="str">
        <f t="shared" si="209"/>
        <v/>
      </c>
      <c r="BF212" s="58" t="str">
        <f t="shared" si="224"/>
        <v/>
      </c>
      <c r="BG212" s="59" t="str">
        <f t="shared" si="210"/>
        <v/>
      </c>
      <c r="BH212" s="158">
        <f t="shared" ca="1" si="211"/>
        <v>1</v>
      </c>
      <c r="BI212" s="60">
        <f t="shared" ca="1" si="212"/>
        <v>0.15</v>
      </c>
      <c r="BJ212" s="60">
        <f t="shared" si="213"/>
        <v>0.2</v>
      </c>
      <c r="BK212" s="60" t="str">
        <f t="shared" si="225"/>
        <v/>
      </c>
      <c r="BL212" s="21" t="str">
        <f t="shared" si="226"/>
        <v/>
      </c>
      <c r="BM212" s="264" t="str">
        <f t="shared" si="214"/>
        <v/>
      </c>
      <c r="BN212" s="60" t="str">
        <f t="shared" si="227"/>
        <v/>
      </c>
      <c r="BO212" s="136">
        <f t="shared" si="228"/>
        <v>0</v>
      </c>
      <c r="BP212" s="59">
        <f t="shared" si="229"/>
        <v>0</v>
      </c>
      <c r="BQ212" s="136">
        <f t="shared" ca="1" si="215"/>
        <v>1397</v>
      </c>
      <c r="BR212" s="136">
        <f t="shared" ca="1" si="216"/>
        <v>1000.6544850498339</v>
      </c>
      <c r="BS212" s="136">
        <f t="shared" ca="1" si="217"/>
        <v>1468800.6544850499</v>
      </c>
      <c r="BT212" s="136">
        <f t="shared" ca="1" si="218"/>
        <v>313875.57721080905</v>
      </c>
      <c r="BU212" s="136">
        <f t="shared" ca="1" si="219"/>
        <v>1000.6544850498339</v>
      </c>
    </row>
    <row r="213" spans="1:73" x14ac:dyDescent="0.2">
      <c r="A213" s="87" t="str">
        <f>'Etape 2'!A210</f>
        <v/>
      </c>
      <c r="B213" s="87">
        <f>'Etape 2'!B210</f>
        <v>198</v>
      </c>
      <c r="C213" s="87">
        <f ca="1">'Etape 2'!C210</f>
        <v>103</v>
      </c>
      <c r="D213" s="87"/>
      <c r="E213" s="61">
        <f ca="1">RANK(BU213,BU$16:BU$315,0)+COUNTIF(BU$16:BU213,BU213)-1</f>
        <v>103</v>
      </c>
      <c r="F213" s="87" t="str">
        <f>'Etape 2'!D210</f>
        <v/>
      </c>
      <c r="G213" s="87" t="str">
        <f>'Etape 2'!E210</f>
        <v/>
      </c>
      <c r="H213" s="87" t="str">
        <f>'Etape 2'!F210</f>
        <v/>
      </c>
      <c r="I213" s="87" t="str">
        <f>'Etape 2'!G210</f>
        <v/>
      </c>
      <c r="J213" s="87" t="str">
        <f>'Etape 2'!H210</f>
        <v/>
      </c>
      <c r="K213" s="87" t="str">
        <f>'Etape 2'!I210</f>
        <v/>
      </c>
      <c r="L213" s="87">
        <f ca="1">'Etape 2'!J210</f>
        <v>999999</v>
      </c>
      <c r="M213" s="87">
        <f>'Etape 2'!K210</f>
        <v>999</v>
      </c>
      <c r="N213" s="87">
        <f ca="1">'Etape 2'!L210</f>
        <v>198</v>
      </c>
      <c r="O213" s="259">
        <f t="shared" si="202"/>
        <v>0.3</v>
      </c>
      <c r="P213" s="259">
        <f t="shared" si="203"/>
        <v>1.1000000000000001</v>
      </c>
      <c r="Q213" s="260">
        <f t="shared" si="204"/>
        <v>0</v>
      </c>
      <c r="R213" s="261">
        <f t="shared" si="187"/>
        <v>0</v>
      </c>
      <c r="S213" s="87">
        <f>IF(ISBLANK('Etape 2'!N210),0,VLOOKUP('Etape 2'!N210,Matrix_Uebersetzung,2,FALSE))</f>
        <v>0</v>
      </c>
      <c r="T213" s="87">
        <f>IF(ISBLANK('Etape 2'!O210),0,VLOOKUP('Etape 2'!O210,Matrix_Uebersetzung,2,FALSE))</f>
        <v>0</v>
      </c>
      <c r="U213" s="87">
        <f>IF(ISBLANK('Etape 2'!P210),0,VLOOKUP('Etape 2'!P210,Matrix_Uebersetzung,2,FALSE))</f>
        <v>0</v>
      </c>
      <c r="V213" s="87" t="str">
        <f>'Etape 2'!Q210</f>
        <v/>
      </c>
      <c r="W213" s="87">
        <f>'Etape 2'!R210</f>
        <v>0</v>
      </c>
      <c r="X213" s="87" t="str">
        <f>'Etape 2'!S210</f>
        <v/>
      </c>
      <c r="Y213" s="89" t="str">
        <f>'Etape 2'!T210</f>
        <v/>
      </c>
      <c r="Z213" s="87">
        <f>'Etape 2'!U210</f>
        <v>0</v>
      </c>
      <c r="AA213" s="87" t="str">
        <f>'Etape 2'!V210</f>
        <v/>
      </c>
      <c r="AB213" s="87">
        <f>IF(ISNUMBER('Etape 2'!W210),'Etape 2'!W210,0)</f>
        <v>0</v>
      </c>
      <c r="AC213" s="87">
        <f>IF(ISNUMBER('Etape 2'!X210),'Etape 2'!X210,0)</f>
        <v>0</v>
      </c>
      <c r="AD213" s="87">
        <f>IF(ISNUMBER('Etape 2'!Y210),'Etape 2'!Y210,0)</f>
        <v>0</v>
      </c>
      <c r="AE213" s="87">
        <f>IF(ISNUMBER('Etape 2'!Z210),'Etape 2'!Z210,0)</f>
        <v>0</v>
      </c>
      <c r="AF213" s="86">
        <f t="shared" si="220"/>
        <v>999</v>
      </c>
      <c r="AG213" s="288">
        <f t="shared" si="221"/>
        <v>0.25</v>
      </c>
      <c r="AH213" s="181" t="e">
        <f t="shared" si="205"/>
        <v>#VALUE!</v>
      </c>
      <c r="AI213" s="181" t="e">
        <f t="shared" si="190"/>
        <v>#VALUE!</v>
      </c>
      <c r="AJ213" s="86">
        <f t="shared" si="206"/>
        <v>200</v>
      </c>
      <c r="AK213" s="91" t="e">
        <f t="shared" si="207"/>
        <v>#N/A</v>
      </c>
      <c r="AL213" s="91" t="e">
        <f t="shared" si="191"/>
        <v>#N/A</v>
      </c>
      <c r="AM213" s="91">
        <f t="shared" si="109"/>
        <v>6</v>
      </c>
      <c r="AN213" s="91" t="e">
        <f t="shared" si="192"/>
        <v>#N/A</v>
      </c>
      <c r="AO213" s="91" t="e">
        <f t="shared" si="193"/>
        <v>#N/A</v>
      </c>
      <c r="AP213" s="21" t="e">
        <f t="shared" si="194"/>
        <v>#N/A</v>
      </c>
      <c r="AQ213" s="21" t="e">
        <f t="shared" si="195"/>
        <v>#N/A</v>
      </c>
      <c r="AR213" s="92" t="str">
        <f t="shared" si="222"/>
        <v/>
      </c>
      <c r="AS213" s="21" t="str">
        <f t="shared" si="223"/>
        <v/>
      </c>
      <c r="AT213" s="59" t="str">
        <f t="shared" si="208"/>
        <v/>
      </c>
      <c r="AU213" s="105">
        <f t="shared" si="113"/>
        <v>1</v>
      </c>
      <c r="AV213" s="105">
        <f t="shared" si="196"/>
        <v>1</v>
      </c>
      <c r="AW213" s="58">
        <f t="shared" si="197"/>
        <v>2</v>
      </c>
      <c r="AX213" s="58">
        <f t="shared" si="198"/>
        <v>3</v>
      </c>
      <c r="AY213" s="58" t="str">
        <f t="shared" si="199"/>
        <v>avec vannes</v>
      </c>
      <c r="AZ213" s="58" t="str">
        <f t="shared" si="200"/>
        <v>fermé</v>
      </c>
      <c r="BA213" s="60">
        <f t="shared" si="201"/>
        <v>0</v>
      </c>
      <c r="BB213" s="60">
        <f t="shared" si="201"/>
        <v>0</v>
      </c>
      <c r="BC213" s="60">
        <f t="shared" si="201"/>
        <v>0</v>
      </c>
      <c r="BD213" s="60">
        <f t="shared" si="201"/>
        <v>0</v>
      </c>
      <c r="BE213" s="286" t="str">
        <f t="shared" si="209"/>
        <v/>
      </c>
      <c r="BF213" s="58" t="str">
        <f t="shared" si="224"/>
        <v/>
      </c>
      <c r="BG213" s="59" t="str">
        <f t="shared" si="210"/>
        <v/>
      </c>
      <c r="BH213" s="158">
        <f t="shared" ca="1" si="211"/>
        <v>1</v>
      </c>
      <c r="BI213" s="60">
        <f t="shared" ca="1" si="212"/>
        <v>0.15</v>
      </c>
      <c r="BJ213" s="60">
        <f t="shared" si="213"/>
        <v>0.2</v>
      </c>
      <c r="BK213" s="60" t="str">
        <f t="shared" si="225"/>
        <v/>
      </c>
      <c r="BL213" s="21" t="str">
        <f t="shared" si="226"/>
        <v/>
      </c>
      <c r="BM213" s="264" t="str">
        <f t="shared" si="214"/>
        <v/>
      </c>
      <c r="BN213" s="60" t="str">
        <f t="shared" si="227"/>
        <v/>
      </c>
      <c r="BO213" s="136">
        <f t="shared" si="228"/>
        <v>0</v>
      </c>
      <c r="BP213" s="59">
        <f t="shared" si="229"/>
        <v>0</v>
      </c>
      <c r="BQ213" s="136">
        <f t="shared" ca="1" si="215"/>
        <v>1398</v>
      </c>
      <c r="BR213" s="136">
        <f t="shared" ca="1" si="216"/>
        <v>1000.6578073089701</v>
      </c>
      <c r="BS213" s="136">
        <f t="shared" ca="1" si="217"/>
        <v>1468800.6578073089</v>
      </c>
      <c r="BT213" s="136">
        <f t="shared" ca="1" si="218"/>
        <v>313875.58053306816</v>
      </c>
      <c r="BU213" s="136">
        <f t="shared" ca="1" si="219"/>
        <v>1000.6578073089701</v>
      </c>
    </row>
    <row r="214" spans="1:73" x14ac:dyDescent="0.2">
      <c r="A214" s="87" t="str">
        <f>'Etape 2'!A211</f>
        <v/>
      </c>
      <c r="B214" s="87">
        <f>'Etape 2'!B211</f>
        <v>199</v>
      </c>
      <c r="C214" s="87">
        <f ca="1">'Etape 2'!C211</f>
        <v>102</v>
      </c>
      <c r="D214" s="87"/>
      <c r="E214" s="61">
        <f ca="1">RANK(BU214,BU$16:BU$315,0)+COUNTIF(BU$16:BU214,BU214)-1</f>
        <v>102</v>
      </c>
      <c r="F214" s="87" t="str">
        <f>'Etape 2'!D211</f>
        <v/>
      </c>
      <c r="G214" s="87" t="str">
        <f>'Etape 2'!E211</f>
        <v/>
      </c>
      <c r="H214" s="87" t="str">
        <f>'Etape 2'!F211</f>
        <v/>
      </c>
      <c r="I214" s="87" t="str">
        <f>'Etape 2'!G211</f>
        <v/>
      </c>
      <c r="J214" s="87" t="str">
        <f>'Etape 2'!H211</f>
        <v/>
      </c>
      <c r="K214" s="87" t="str">
        <f>'Etape 2'!I211</f>
        <v/>
      </c>
      <c r="L214" s="87">
        <f ca="1">'Etape 2'!J211</f>
        <v>999999</v>
      </c>
      <c r="M214" s="87">
        <f>'Etape 2'!K211</f>
        <v>999</v>
      </c>
      <c r="N214" s="87">
        <f ca="1">'Etape 2'!L211</f>
        <v>199</v>
      </c>
      <c r="O214" s="259">
        <f t="shared" si="202"/>
        <v>0.3</v>
      </c>
      <c r="P214" s="259">
        <f t="shared" si="203"/>
        <v>1.1000000000000001</v>
      </c>
      <c r="Q214" s="260">
        <f t="shared" si="204"/>
        <v>0</v>
      </c>
      <c r="R214" s="261">
        <f t="shared" si="187"/>
        <v>0</v>
      </c>
      <c r="S214" s="87">
        <f>IF(ISBLANK('Etape 2'!N211),0,VLOOKUP('Etape 2'!N211,Matrix_Uebersetzung,2,FALSE))</f>
        <v>0</v>
      </c>
      <c r="T214" s="87">
        <f>IF(ISBLANK('Etape 2'!O211),0,VLOOKUP('Etape 2'!O211,Matrix_Uebersetzung,2,FALSE))</f>
        <v>0</v>
      </c>
      <c r="U214" s="87">
        <f>IF(ISBLANK('Etape 2'!P211),0,VLOOKUP('Etape 2'!P211,Matrix_Uebersetzung,2,FALSE))</f>
        <v>0</v>
      </c>
      <c r="V214" s="87" t="str">
        <f>'Etape 2'!Q211</f>
        <v/>
      </c>
      <c r="W214" s="87">
        <f>'Etape 2'!R211</f>
        <v>0</v>
      </c>
      <c r="X214" s="87" t="str">
        <f>'Etape 2'!S211</f>
        <v/>
      </c>
      <c r="Y214" s="89" t="str">
        <f>'Etape 2'!T211</f>
        <v/>
      </c>
      <c r="Z214" s="87">
        <f>'Etape 2'!U211</f>
        <v>0</v>
      </c>
      <c r="AA214" s="87" t="str">
        <f>'Etape 2'!V211</f>
        <v/>
      </c>
      <c r="AB214" s="87">
        <f>IF(ISNUMBER('Etape 2'!W211),'Etape 2'!W211,0)</f>
        <v>0</v>
      </c>
      <c r="AC214" s="87">
        <f>IF(ISNUMBER('Etape 2'!X211),'Etape 2'!X211,0)</f>
        <v>0</v>
      </c>
      <c r="AD214" s="87">
        <f>IF(ISNUMBER('Etape 2'!Y211),'Etape 2'!Y211,0)</f>
        <v>0</v>
      </c>
      <c r="AE214" s="87">
        <f>IF(ISNUMBER('Etape 2'!Z211),'Etape 2'!Z211,0)</f>
        <v>0</v>
      </c>
      <c r="AF214" s="86">
        <f t="shared" si="220"/>
        <v>999</v>
      </c>
      <c r="AG214" s="288">
        <f t="shared" si="221"/>
        <v>0.25</v>
      </c>
      <c r="AH214" s="181" t="e">
        <f t="shared" si="205"/>
        <v>#VALUE!</v>
      </c>
      <c r="AI214" s="181" t="e">
        <f t="shared" si="190"/>
        <v>#VALUE!</v>
      </c>
      <c r="AJ214" s="86">
        <f t="shared" si="206"/>
        <v>200</v>
      </c>
      <c r="AK214" s="91" t="e">
        <f t="shared" si="207"/>
        <v>#N/A</v>
      </c>
      <c r="AL214" s="91" t="e">
        <f t="shared" si="191"/>
        <v>#N/A</v>
      </c>
      <c r="AM214" s="91">
        <f t="shared" si="109"/>
        <v>6</v>
      </c>
      <c r="AN214" s="91" t="e">
        <f t="shared" si="192"/>
        <v>#N/A</v>
      </c>
      <c r="AO214" s="91" t="e">
        <f t="shared" si="193"/>
        <v>#N/A</v>
      </c>
      <c r="AP214" s="21" t="e">
        <f t="shared" si="194"/>
        <v>#N/A</v>
      </c>
      <c r="AQ214" s="21" t="e">
        <f t="shared" si="195"/>
        <v>#N/A</v>
      </c>
      <c r="AR214" s="92" t="str">
        <f t="shared" si="222"/>
        <v/>
      </c>
      <c r="AS214" s="21" t="str">
        <f t="shared" si="223"/>
        <v/>
      </c>
      <c r="AT214" s="59" t="str">
        <f t="shared" si="208"/>
        <v/>
      </c>
      <c r="AU214" s="105">
        <f t="shared" si="113"/>
        <v>1</v>
      </c>
      <c r="AV214" s="105">
        <f t="shared" si="196"/>
        <v>1</v>
      </c>
      <c r="AW214" s="58">
        <f t="shared" si="197"/>
        <v>2</v>
      </c>
      <c r="AX214" s="58">
        <f t="shared" si="198"/>
        <v>3</v>
      </c>
      <c r="AY214" s="58" t="str">
        <f t="shared" si="199"/>
        <v>avec vannes</v>
      </c>
      <c r="AZ214" s="58" t="str">
        <f t="shared" si="200"/>
        <v>fermé</v>
      </c>
      <c r="BA214" s="60">
        <f t="shared" si="201"/>
        <v>0</v>
      </c>
      <c r="BB214" s="60">
        <f t="shared" si="201"/>
        <v>0</v>
      </c>
      <c r="BC214" s="60">
        <f t="shared" si="201"/>
        <v>0</v>
      </c>
      <c r="BD214" s="60">
        <f t="shared" si="201"/>
        <v>0</v>
      </c>
      <c r="BE214" s="286" t="str">
        <f t="shared" si="209"/>
        <v/>
      </c>
      <c r="BF214" s="58" t="str">
        <f t="shared" si="224"/>
        <v/>
      </c>
      <c r="BG214" s="59" t="str">
        <f t="shared" si="210"/>
        <v/>
      </c>
      <c r="BH214" s="158">
        <f t="shared" ca="1" si="211"/>
        <v>1</v>
      </c>
      <c r="BI214" s="60">
        <f t="shared" ca="1" si="212"/>
        <v>0.15</v>
      </c>
      <c r="BJ214" s="60">
        <f t="shared" si="213"/>
        <v>0.2</v>
      </c>
      <c r="BK214" s="60" t="str">
        <f t="shared" si="225"/>
        <v/>
      </c>
      <c r="BL214" s="21" t="str">
        <f t="shared" si="226"/>
        <v/>
      </c>
      <c r="BM214" s="264" t="str">
        <f t="shared" si="214"/>
        <v/>
      </c>
      <c r="BN214" s="60" t="str">
        <f t="shared" si="227"/>
        <v/>
      </c>
      <c r="BO214" s="136">
        <f t="shared" si="228"/>
        <v>0</v>
      </c>
      <c r="BP214" s="59">
        <f t="shared" si="229"/>
        <v>0</v>
      </c>
      <c r="BQ214" s="136">
        <f t="shared" ca="1" si="215"/>
        <v>1399</v>
      </c>
      <c r="BR214" s="136">
        <f t="shared" ca="1" si="216"/>
        <v>1000.6611295681063</v>
      </c>
      <c r="BS214" s="136">
        <f t="shared" ca="1" si="217"/>
        <v>1468800.661129568</v>
      </c>
      <c r="BT214" s="136">
        <f t="shared" ca="1" si="218"/>
        <v>313875.58385532734</v>
      </c>
      <c r="BU214" s="136">
        <f t="shared" ca="1" si="219"/>
        <v>1000.6611295681063</v>
      </c>
    </row>
    <row r="215" spans="1:73" x14ac:dyDescent="0.2">
      <c r="A215" s="87" t="str">
        <f>'Etape 2'!A212</f>
        <v/>
      </c>
      <c r="B215" s="87">
        <f>'Etape 2'!B212</f>
        <v>200</v>
      </c>
      <c r="C215" s="87">
        <f ca="1">'Etape 2'!C212</f>
        <v>101</v>
      </c>
      <c r="D215" s="87"/>
      <c r="E215" s="61">
        <f ca="1">RANK(BU215,BU$16:BU$315,0)+COUNTIF(BU$16:BU215,BU215)-1</f>
        <v>101</v>
      </c>
      <c r="F215" s="87" t="str">
        <f>'Etape 2'!D212</f>
        <v/>
      </c>
      <c r="G215" s="87" t="str">
        <f>'Etape 2'!E212</f>
        <v/>
      </c>
      <c r="H215" s="87" t="str">
        <f>'Etape 2'!F212</f>
        <v/>
      </c>
      <c r="I215" s="87" t="str">
        <f>'Etape 2'!G212</f>
        <v/>
      </c>
      <c r="J215" s="87" t="str">
        <f>'Etape 2'!H212</f>
        <v/>
      </c>
      <c r="K215" s="87" t="str">
        <f>'Etape 2'!I212</f>
        <v/>
      </c>
      <c r="L215" s="87">
        <f ca="1">'Etape 2'!J212</f>
        <v>999999</v>
      </c>
      <c r="M215" s="87">
        <f>'Etape 2'!K212</f>
        <v>999</v>
      </c>
      <c r="N215" s="87">
        <f ca="1">'Etape 2'!L212</f>
        <v>200</v>
      </c>
      <c r="O215" s="259">
        <f t="shared" si="202"/>
        <v>0.3</v>
      </c>
      <c r="P215" s="259">
        <f t="shared" si="203"/>
        <v>1.1000000000000001</v>
      </c>
      <c r="Q215" s="260">
        <f t="shared" si="204"/>
        <v>0</v>
      </c>
      <c r="R215" s="261">
        <f t="shared" si="187"/>
        <v>0</v>
      </c>
      <c r="S215" s="87">
        <f>IF(ISBLANK('Etape 2'!N212),0,VLOOKUP('Etape 2'!N212,Matrix_Uebersetzung,2,FALSE))</f>
        <v>0</v>
      </c>
      <c r="T215" s="87">
        <f>IF(ISBLANK('Etape 2'!O212),0,VLOOKUP('Etape 2'!O212,Matrix_Uebersetzung,2,FALSE))</f>
        <v>0</v>
      </c>
      <c r="U215" s="87">
        <f>IF(ISBLANK('Etape 2'!P212),0,VLOOKUP('Etape 2'!P212,Matrix_Uebersetzung,2,FALSE))</f>
        <v>0</v>
      </c>
      <c r="V215" s="87" t="str">
        <f>'Etape 2'!Q212</f>
        <v/>
      </c>
      <c r="W215" s="87">
        <f>'Etape 2'!R212</f>
        <v>0</v>
      </c>
      <c r="X215" s="87" t="str">
        <f>'Etape 2'!S212</f>
        <v/>
      </c>
      <c r="Y215" s="89" t="str">
        <f>'Etape 2'!T212</f>
        <v/>
      </c>
      <c r="Z215" s="87">
        <f>'Etape 2'!U212</f>
        <v>0</v>
      </c>
      <c r="AA215" s="87" t="str">
        <f>'Etape 2'!V212</f>
        <v/>
      </c>
      <c r="AB215" s="87">
        <f>IF(ISNUMBER('Etape 2'!W212),'Etape 2'!W212,0)</f>
        <v>0</v>
      </c>
      <c r="AC215" s="87">
        <f>IF(ISNUMBER('Etape 2'!X212),'Etape 2'!X212,0)</f>
        <v>0</v>
      </c>
      <c r="AD215" s="87">
        <f>IF(ISNUMBER('Etape 2'!Y212),'Etape 2'!Y212,0)</f>
        <v>0</v>
      </c>
      <c r="AE215" s="87">
        <f>IF(ISNUMBER('Etape 2'!Z212),'Etape 2'!Z212,0)</f>
        <v>0</v>
      </c>
      <c r="AF215" s="86">
        <f t="shared" si="220"/>
        <v>999</v>
      </c>
      <c r="AG215" s="288">
        <f t="shared" si="221"/>
        <v>0.25</v>
      </c>
      <c r="AH215" s="181" t="e">
        <f t="shared" si="205"/>
        <v>#VALUE!</v>
      </c>
      <c r="AI215" s="181" t="e">
        <f t="shared" si="190"/>
        <v>#VALUE!</v>
      </c>
      <c r="AJ215" s="86">
        <f t="shared" si="206"/>
        <v>200</v>
      </c>
      <c r="AK215" s="91" t="e">
        <f t="shared" si="207"/>
        <v>#N/A</v>
      </c>
      <c r="AL215" s="91" t="e">
        <f t="shared" si="191"/>
        <v>#N/A</v>
      </c>
      <c r="AM215" s="91">
        <f t="shared" si="109"/>
        <v>6</v>
      </c>
      <c r="AN215" s="91" t="e">
        <f t="shared" si="192"/>
        <v>#N/A</v>
      </c>
      <c r="AO215" s="91" t="e">
        <f t="shared" si="193"/>
        <v>#N/A</v>
      </c>
      <c r="AP215" s="21" t="e">
        <f t="shared" si="194"/>
        <v>#N/A</v>
      </c>
      <c r="AQ215" s="21" t="e">
        <f t="shared" si="195"/>
        <v>#N/A</v>
      </c>
      <c r="AR215" s="92" t="str">
        <f t="shared" si="222"/>
        <v/>
      </c>
      <c r="AS215" s="21" t="str">
        <f t="shared" si="223"/>
        <v/>
      </c>
      <c r="AT215" s="59" t="str">
        <f t="shared" si="208"/>
        <v/>
      </c>
      <c r="AU215" s="105">
        <f t="shared" si="113"/>
        <v>1</v>
      </c>
      <c r="AV215" s="105">
        <f t="shared" si="196"/>
        <v>1</v>
      </c>
      <c r="AW215" s="58">
        <f t="shared" si="197"/>
        <v>2</v>
      </c>
      <c r="AX215" s="58">
        <f t="shared" si="198"/>
        <v>3</v>
      </c>
      <c r="AY215" s="58" t="str">
        <f t="shared" si="199"/>
        <v>avec vannes</v>
      </c>
      <c r="AZ215" s="58" t="str">
        <f t="shared" si="200"/>
        <v>fermé</v>
      </c>
      <c r="BA215" s="60">
        <f t="shared" si="201"/>
        <v>0</v>
      </c>
      <c r="BB215" s="60">
        <f t="shared" si="201"/>
        <v>0</v>
      </c>
      <c r="BC215" s="60">
        <f t="shared" si="201"/>
        <v>0</v>
      </c>
      <c r="BD215" s="60">
        <f t="shared" si="201"/>
        <v>0</v>
      </c>
      <c r="BE215" s="286" t="str">
        <f t="shared" si="209"/>
        <v/>
      </c>
      <c r="BF215" s="58" t="str">
        <f t="shared" si="224"/>
        <v/>
      </c>
      <c r="BG215" s="59" t="str">
        <f t="shared" si="210"/>
        <v/>
      </c>
      <c r="BH215" s="158">
        <f t="shared" ca="1" si="211"/>
        <v>1</v>
      </c>
      <c r="BI215" s="60">
        <f t="shared" ca="1" si="212"/>
        <v>0.15</v>
      </c>
      <c r="BJ215" s="60">
        <f t="shared" si="213"/>
        <v>0.2</v>
      </c>
      <c r="BK215" s="60" t="str">
        <f t="shared" si="225"/>
        <v/>
      </c>
      <c r="BL215" s="21" t="str">
        <f t="shared" si="226"/>
        <v/>
      </c>
      <c r="BM215" s="264" t="str">
        <f t="shared" si="214"/>
        <v/>
      </c>
      <c r="BN215" s="60" t="str">
        <f t="shared" si="227"/>
        <v/>
      </c>
      <c r="BO215" s="136">
        <f t="shared" si="228"/>
        <v>0</v>
      </c>
      <c r="BP215" s="59">
        <f t="shared" si="229"/>
        <v>0</v>
      </c>
      <c r="BQ215" s="136">
        <f t="shared" ca="1" si="215"/>
        <v>1400</v>
      </c>
      <c r="BR215" s="136">
        <f t="shared" ca="1" si="216"/>
        <v>1000.6644518272425</v>
      </c>
      <c r="BS215" s="136">
        <f t="shared" ca="1" si="217"/>
        <v>1468800.6644518273</v>
      </c>
      <c r="BT215" s="136">
        <f t="shared" ca="1" si="218"/>
        <v>313875.58717758645</v>
      </c>
      <c r="BU215" s="136">
        <f t="shared" ca="1" si="219"/>
        <v>1000.6644518272425</v>
      </c>
    </row>
    <row r="216" spans="1:73" x14ac:dyDescent="0.2">
      <c r="A216" s="87" t="str">
        <f>'Etape 2'!A213</f>
        <v/>
      </c>
      <c r="B216" s="87">
        <f>'Etape 2'!B213</f>
        <v>201</v>
      </c>
      <c r="C216" s="87">
        <f ca="1">'Etape 2'!C213</f>
        <v>100</v>
      </c>
      <c r="D216" s="87"/>
      <c r="E216" s="61">
        <f ca="1">RANK(BU216,BU$16:BU$315,0)+COUNTIF(BU$16:BU216,BU216)-1</f>
        <v>100</v>
      </c>
      <c r="F216" s="87" t="str">
        <f>'Etape 2'!D213</f>
        <v/>
      </c>
      <c r="G216" s="87" t="str">
        <f>'Etape 2'!E213</f>
        <v/>
      </c>
      <c r="H216" s="87" t="str">
        <f>'Etape 2'!F213</f>
        <v/>
      </c>
      <c r="I216" s="87" t="str">
        <f>'Etape 2'!G213</f>
        <v/>
      </c>
      <c r="J216" s="87" t="str">
        <f>'Etape 2'!H213</f>
        <v/>
      </c>
      <c r="K216" s="87" t="str">
        <f>'Etape 2'!I213</f>
        <v/>
      </c>
      <c r="L216" s="87">
        <f ca="1">'Etape 2'!J213</f>
        <v>999999</v>
      </c>
      <c r="M216" s="87">
        <f>'Etape 2'!K213</f>
        <v>999</v>
      </c>
      <c r="N216" s="87">
        <f ca="1">'Etape 2'!L213</f>
        <v>201</v>
      </c>
      <c r="O216" s="259">
        <f t="shared" si="202"/>
        <v>0.3</v>
      </c>
      <c r="P216" s="259">
        <f t="shared" si="203"/>
        <v>1.1000000000000001</v>
      </c>
      <c r="Q216" s="260">
        <f t="shared" si="204"/>
        <v>0</v>
      </c>
      <c r="R216" s="261">
        <f t="shared" ref="R216:R279" si="230">IF(ISERROR(Q216*I216*J216),0,Q216*I216*J216)</f>
        <v>0</v>
      </c>
      <c r="S216" s="87">
        <f>IF(ISBLANK('Etape 2'!N213),0,VLOOKUP('Etape 2'!N213,Matrix_Uebersetzung,2,FALSE))</f>
        <v>0</v>
      </c>
      <c r="T216" s="87">
        <f>IF(ISBLANK('Etape 2'!O213),0,VLOOKUP('Etape 2'!O213,Matrix_Uebersetzung,2,FALSE))</f>
        <v>0</v>
      </c>
      <c r="U216" s="87">
        <f>IF(ISBLANK('Etape 2'!P213),0,VLOOKUP('Etape 2'!P213,Matrix_Uebersetzung,2,FALSE))</f>
        <v>0</v>
      </c>
      <c r="V216" s="87" t="str">
        <f>'Etape 2'!Q213</f>
        <v/>
      </c>
      <c r="W216" s="87">
        <f>'Etape 2'!R213</f>
        <v>0</v>
      </c>
      <c r="X216" s="87" t="str">
        <f>'Etape 2'!S213</f>
        <v/>
      </c>
      <c r="Y216" s="89" t="str">
        <f>'Etape 2'!T213</f>
        <v/>
      </c>
      <c r="Z216" s="87">
        <f>'Etape 2'!U213</f>
        <v>0</v>
      </c>
      <c r="AA216" s="87" t="str">
        <f>'Etape 2'!V213</f>
        <v/>
      </c>
      <c r="AB216" s="87">
        <f>IF(ISNUMBER('Etape 2'!W213),'Etape 2'!W213,0)</f>
        <v>0</v>
      </c>
      <c r="AC216" s="87">
        <f>IF(ISNUMBER('Etape 2'!X213),'Etape 2'!X213,0)</f>
        <v>0</v>
      </c>
      <c r="AD216" s="87">
        <f>IF(ISNUMBER('Etape 2'!Y213),'Etape 2'!Y213,0)</f>
        <v>0</v>
      </c>
      <c r="AE216" s="87">
        <f>IF(ISNUMBER('Etape 2'!Z213),'Etape 2'!Z213,0)</f>
        <v>0</v>
      </c>
      <c r="AF216" s="86">
        <f t="shared" si="220"/>
        <v>999</v>
      </c>
      <c r="AG216" s="288">
        <f t="shared" si="221"/>
        <v>0.25</v>
      </c>
      <c r="AH216" s="181" t="e">
        <f t="shared" si="205"/>
        <v>#VALUE!</v>
      </c>
      <c r="AI216" s="181" t="e">
        <f t="shared" si="190"/>
        <v>#VALUE!</v>
      </c>
      <c r="AJ216" s="86">
        <f t="shared" si="206"/>
        <v>200</v>
      </c>
      <c r="AK216" s="91" t="e">
        <f t="shared" si="207"/>
        <v>#N/A</v>
      </c>
      <c r="AL216" s="91" t="e">
        <f t="shared" si="191"/>
        <v>#N/A</v>
      </c>
      <c r="AM216" s="91">
        <f t="shared" si="109"/>
        <v>6</v>
      </c>
      <c r="AN216" s="91" t="e">
        <f t="shared" si="192"/>
        <v>#N/A</v>
      </c>
      <c r="AO216" s="91" t="e">
        <f t="shared" si="193"/>
        <v>#N/A</v>
      </c>
      <c r="AP216" s="21" t="e">
        <f t="shared" si="194"/>
        <v>#N/A</v>
      </c>
      <c r="AQ216" s="21" t="e">
        <f t="shared" si="195"/>
        <v>#N/A</v>
      </c>
      <c r="AR216" s="92" t="str">
        <f t="shared" si="222"/>
        <v/>
      </c>
      <c r="AS216" s="21" t="str">
        <f t="shared" si="223"/>
        <v/>
      </c>
      <c r="AT216" s="59" t="str">
        <f t="shared" si="208"/>
        <v/>
      </c>
      <c r="AU216" s="105">
        <f t="shared" si="113"/>
        <v>1</v>
      </c>
      <c r="AV216" s="105">
        <f t="shared" si="196"/>
        <v>1</v>
      </c>
      <c r="AW216" s="58">
        <f t="shared" si="197"/>
        <v>2</v>
      </c>
      <c r="AX216" s="58">
        <f t="shared" si="198"/>
        <v>3</v>
      </c>
      <c r="AY216" s="58" t="str">
        <f t="shared" si="199"/>
        <v>avec vannes</v>
      </c>
      <c r="AZ216" s="58" t="str">
        <f t="shared" si="200"/>
        <v>fermé</v>
      </c>
      <c r="BA216" s="60">
        <f t="shared" ref="BA216:BD235" si="231">IF(BA$15/$AG216&gt;1,0,VLOOKUP(BA$15/$AG216,Matrix_Regelung.Teilvolumenstrom.Einsparpotential.ID,$AX216,0))</f>
        <v>0</v>
      </c>
      <c r="BB216" s="60">
        <f t="shared" si="231"/>
        <v>0</v>
      </c>
      <c r="BC216" s="60">
        <f t="shared" si="231"/>
        <v>0</v>
      </c>
      <c r="BD216" s="60">
        <f t="shared" si="231"/>
        <v>0</v>
      </c>
      <c r="BE216" s="286" t="str">
        <f t="shared" si="209"/>
        <v/>
      </c>
      <c r="BF216" s="58" t="str">
        <f t="shared" si="224"/>
        <v/>
      </c>
      <c r="BG216" s="59" t="str">
        <f t="shared" si="210"/>
        <v/>
      </c>
      <c r="BH216" s="158">
        <f t="shared" ca="1" si="211"/>
        <v>1</v>
      </c>
      <c r="BI216" s="60">
        <f t="shared" ca="1" si="212"/>
        <v>0.15</v>
      </c>
      <c r="BJ216" s="60">
        <f t="shared" si="213"/>
        <v>0.2</v>
      </c>
      <c r="BK216" s="60" t="str">
        <f t="shared" si="225"/>
        <v/>
      </c>
      <c r="BL216" s="21" t="str">
        <f t="shared" si="226"/>
        <v/>
      </c>
      <c r="BM216" s="264" t="str">
        <f t="shared" si="214"/>
        <v/>
      </c>
      <c r="BN216" s="60" t="str">
        <f t="shared" si="227"/>
        <v/>
      </c>
      <c r="BO216" s="136">
        <f t="shared" si="228"/>
        <v>0</v>
      </c>
      <c r="BP216" s="59">
        <f t="shared" si="229"/>
        <v>0</v>
      </c>
      <c r="BQ216" s="136">
        <f t="shared" ca="1" si="215"/>
        <v>1401</v>
      </c>
      <c r="BR216" s="136">
        <f t="shared" ca="1" si="216"/>
        <v>1000.6677740863787</v>
      </c>
      <c r="BS216" s="136">
        <f t="shared" ca="1" si="217"/>
        <v>1468800.6677740864</v>
      </c>
      <c r="BT216" s="136">
        <f t="shared" ca="1" si="218"/>
        <v>313875.59049984557</v>
      </c>
      <c r="BU216" s="136">
        <f t="shared" ca="1" si="219"/>
        <v>1000.6677740863787</v>
      </c>
    </row>
    <row r="217" spans="1:73" x14ac:dyDescent="0.2">
      <c r="A217" s="87" t="str">
        <f>'Etape 2'!A214</f>
        <v/>
      </c>
      <c r="B217" s="87">
        <f>'Etape 2'!B214</f>
        <v>202</v>
      </c>
      <c r="C217" s="87">
        <f ca="1">'Etape 2'!C214</f>
        <v>99</v>
      </c>
      <c r="D217" s="87"/>
      <c r="E217" s="61">
        <f ca="1">RANK(BU217,BU$16:BU$315,0)+COUNTIF(BU$16:BU217,BU217)-1</f>
        <v>99</v>
      </c>
      <c r="F217" s="87" t="str">
        <f>'Etape 2'!D214</f>
        <v/>
      </c>
      <c r="G217" s="87" t="str">
        <f>'Etape 2'!E214</f>
        <v/>
      </c>
      <c r="H217" s="87" t="str">
        <f>'Etape 2'!F214</f>
        <v/>
      </c>
      <c r="I217" s="87" t="str">
        <f>'Etape 2'!G214</f>
        <v/>
      </c>
      <c r="J217" s="87" t="str">
        <f>'Etape 2'!H214</f>
        <v/>
      </c>
      <c r="K217" s="87" t="str">
        <f>'Etape 2'!I214</f>
        <v/>
      </c>
      <c r="L217" s="87">
        <f ca="1">'Etape 2'!J214</f>
        <v>999999</v>
      </c>
      <c r="M217" s="87">
        <f>'Etape 2'!K214</f>
        <v>999</v>
      </c>
      <c r="N217" s="87">
        <f ca="1">'Etape 2'!L214</f>
        <v>202</v>
      </c>
      <c r="O217" s="259">
        <f t="shared" si="202"/>
        <v>0.3</v>
      </c>
      <c r="P217" s="259">
        <f t="shared" si="203"/>
        <v>1.1000000000000001</v>
      </c>
      <c r="Q217" s="260">
        <f t="shared" si="204"/>
        <v>0</v>
      </c>
      <c r="R217" s="261">
        <f t="shared" si="230"/>
        <v>0</v>
      </c>
      <c r="S217" s="87">
        <f>IF(ISBLANK('Etape 2'!N214),0,VLOOKUP('Etape 2'!N214,Matrix_Uebersetzung,2,FALSE))</f>
        <v>0</v>
      </c>
      <c r="T217" s="87">
        <f>IF(ISBLANK('Etape 2'!O214),0,VLOOKUP('Etape 2'!O214,Matrix_Uebersetzung,2,FALSE))</f>
        <v>0</v>
      </c>
      <c r="U217" s="87">
        <f>IF(ISBLANK('Etape 2'!P214),0,VLOOKUP('Etape 2'!P214,Matrix_Uebersetzung,2,FALSE))</f>
        <v>0</v>
      </c>
      <c r="V217" s="87" t="str">
        <f>'Etape 2'!Q214</f>
        <v/>
      </c>
      <c r="W217" s="87">
        <f>'Etape 2'!R214</f>
        <v>0</v>
      </c>
      <c r="X217" s="87" t="str">
        <f>'Etape 2'!S214</f>
        <v/>
      </c>
      <c r="Y217" s="89" t="str">
        <f>'Etape 2'!T214</f>
        <v/>
      </c>
      <c r="Z217" s="87">
        <f>'Etape 2'!U214</f>
        <v>0</v>
      </c>
      <c r="AA217" s="87" t="str">
        <f>'Etape 2'!V214</f>
        <v/>
      </c>
      <c r="AB217" s="87">
        <f>IF(ISNUMBER('Etape 2'!W214),'Etape 2'!W214,0)</f>
        <v>0</v>
      </c>
      <c r="AC217" s="87">
        <f>IF(ISNUMBER('Etape 2'!X214),'Etape 2'!X214,0)</f>
        <v>0</v>
      </c>
      <c r="AD217" s="87">
        <f>IF(ISNUMBER('Etape 2'!Y214),'Etape 2'!Y214,0)</f>
        <v>0</v>
      </c>
      <c r="AE217" s="87">
        <f>IF(ISNUMBER('Etape 2'!Z214),'Etape 2'!Z214,0)</f>
        <v>0</v>
      </c>
      <c r="AF217" s="86">
        <f t="shared" si="220"/>
        <v>999</v>
      </c>
      <c r="AG217" s="288">
        <f t="shared" si="221"/>
        <v>0.25</v>
      </c>
      <c r="AH217" s="181" t="e">
        <f t="shared" si="205"/>
        <v>#VALUE!</v>
      </c>
      <c r="AI217" s="181" t="e">
        <f t="shared" si="190"/>
        <v>#VALUE!</v>
      </c>
      <c r="AJ217" s="86">
        <f t="shared" si="206"/>
        <v>200</v>
      </c>
      <c r="AK217" s="91" t="e">
        <f t="shared" si="207"/>
        <v>#N/A</v>
      </c>
      <c r="AL217" s="91" t="e">
        <f t="shared" si="191"/>
        <v>#N/A</v>
      </c>
      <c r="AM217" s="91">
        <f t="shared" si="109"/>
        <v>6</v>
      </c>
      <c r="AN217" s="91" t="e">
        <f t="shared" si="192"/>
        <v>#N/A</v>
      </c>
      <c r="AO217" s="91" t="e">
        <f t="shared" si="193"/>
        <v>#N/A</v>
      </c>
      <c r="AP217" s="21" t="e">
        <f t="shared" si="194"/>
        <v>#N/A</v>
      </c>
      <c r="AQ217" s="21" t="e">
        <f t="shared" si="195"/>
        <v>#N/A</v>
      </c>
      <c r="AR217" s="92" t="str">
        <f t="shared" si="222"/>
        <v/>
      </c>
      <c r="AS217" s="21" t="str">
        <f t="shared" si="223"/>
        <v/>
      </c>
      <c r="AT217" s="59" t="str">
        <f t="shared" si="208"/>
        <v/>
      </c>
      <c r="AU217" s="105">
        <f t="shared" si="113"/>
        <v>1</v>
      </c>
      <c r="AV217" s="105">
        <f t="shared" si="196"/>
        <v>1</v>
      </c>
      <c r="AW217" s="58">
        <f t="shared" si="197"/>
        <v>2</v>
      </c>
      <c r="AX217" s="58">
        <f t="shared" si="198"/>
        <v>3</v>
      </c>
      <c r="AY217" s="58" t="str">
        <f t="shared" si="199"/>
        <v>avec vannes</v>
      </c>
      <c r="AZ217" s="58" t="str">
        <f t="shared" si="200"/>
        <v>fermé</v>
      </c>
      <c r="BA217" s="60">
        <f t="shared" si="231"/>
        <v>0</v>
      </c>
      <c r="BB217" s="60">
        <f t="shared" si="231"/>
        <v>0</v>
      </c>
      <c r="BC217" s="60">
        <f t="shared" si="231"/>
        <v>0</v>
      </c>
      <c r="BD217" s="60">
        <f t="shared" si="231"/>
        <v>0</v>
      </c>
      <c r="BE217" s="286" t="str">
        <f t="shared" si="209"/>
        <v/>
      </c>
      <c r="BF217" s="58" t="str">
        <f t="shared" si="224"/>
        <v/>
      </c>
      <c r="BG217" s="59" t="str">
        <f t="shared" si="210"/>
        <v/>
      </c>
      <c r="BH217" s="158">
        <f t="shared" ca="1" si="211"/>
        <v>1</v>
      </c>
      <c r="BI217" s="60">
        <f t="shared" ca="1" si="212"/>
        <v>0.15</v>
      </c>
      <c r="BJ217" s="60">
        <f t="shared" si="213"/>
        <v>0.2</v>
      </c>
      <c r="BK217" s="60" t="str">
        <f t="shared" si="225"/>
        <v/>
      </c>
      <c r="BL217" s="21" t="str">
        <f t="shared" si="226"/>
        <v/>
      </c>
      <c r="BM217" s="264" t="str">
        <f t="shared" si="214"/>
        <v/>
      </c>
      <c r="BN217" s="60" t="str">
        <f t="shared" si="227"/>
        <v/>
      </c>
      <c r="BO217" s="136">
        <f t="shared" si="228"/>
        <v>0</v>
      </c>
      <c r="BP217" s="59">
        <f t="shared" si="229"/>
        <v>0</v>
      </c>
      <c r="BQ217" s="136">
        <f t="shared" ca="1" si="215"/>
        <v>1402</v>
      </c>
      <c r="BR217" s="136">
        <f t="shared" ca="1" si="216"/>
        <v>1000.6710963455149</v>
      </c>
      <c r="BS217" s="136">
        <f t="shared" ca="1" si="217"/>
        <v>1468800.6710963454</v>
      </c>
      <c r="BT217" s="136">
        <f t="shared" ca="1" si="218"/>
        <v>313875.59382210474</v>
      </c>
      <c r="BU217" s="136">
        <f t="shared" ca="1" si="219"/>
        <v>1000.6710963455149</v>
      </c>
    </row>
    <row r="218" spans="1:73" x14ac:dyDescent="0.2">
      <c r="A218" s="87" t="str">
        <f>'Etape 2'!A215</f>
        <v/>
      </c>
      <c r="B218" s="87">
        <f>'Etape 2'!B215</f>
        <v>203</v>
      </c>
      <c r="C218" s="87">
        <f ca="1">'Etape 2'!C215</f>
        <v>98</v>
      </c>
      <c r="D218" s="87"/>
      <c r="E218" s="61">
        <f ca="1">RANK(BU218,BU$16:BU$315,0)+COUNTIF(BU$16:BU218,BU218)-1</f>
        <v>98</v>
      </c>
      <c r="F218" s="87" t="str">
        <f>'Etape 2'!D215</f>
        <v/>
      </c>
      <c r="G218" s="87" t="str">
        <f>'Etape 2'!E215</f>
        <v/>
      </c>
      <c r="H218" s="87" t="str">
        <f>'Etape 2'!F215</f>
        <v/>
      </c>
      <c r="I218" s="87" t="str">
        <f>'Etape 2'!G215</f>
        <v/>
      </c>
      <c r="J218" s="87" t="str">
        <f>'Etape 2'!H215</f>
        <v/>
      </c>
      <c r="K218" s="87" t="str">
        <f>'Etape 2'!I215</f>
        <v/>
      </c>
      <c r="L218" s="87">
        <f ca="1">'Etape 2'!J215</f>
        <v>999999</v>
      </c>
      <c r="M218" s="87">
        <f>'Etape 2'!K215</f>
        <v>999</v>
      </c>
      <c r="N218" s="87">
        <f ca="1">'Etape 2'!L215</f>
        <v>203</v>
      </c>
      <c r="O218" s="259">
        <f t="shared" si="202"/>
        <v>0.3</v>
      </c>
      <c r="P218" s="259">
        <f t="shared" si="203"/>
        <v>1.1000000000000001</v>
      </c>
      <c r="Q218" s="260">
        <f t="shared" si="204"/>
        <v>0</v>
      </c>
      <c r="R218" s="261">
        <f t="shared" si="230"/>
        <v>0</v>
      </c>
      <c r="S218" s="87">
        <f>IF(ISBLANK('Etape 2'!N215),0,VLOOKUP('Etape 2'!N215,Matrix_Uebersetzung,2,FALSE))</f>
        <v>0</v>
      </c>
      <c r="T218" s="87">
        <f>IF(ISBLANK('Etape 2'!O215),0,VLOOKUP('Etape 2'!O215,Matrix_Uebersetzung,2,FALSE))</f>
        <v>0</v>
      </c>
      <c r="U218" s="87">
        <f>IF(ISBLANK('Etape 2'!P215),0,VLOOKUP('Etape 2'!P215,Matrix_Uebersetzung,2,FALSE))</f>
        <v>0</v>
      </c>
      <c r="V218" s="87" t="str">
        <f>'Etape 2'!Q215</f>
        <v/>
      </c>
      <c r="W218" s="87">
        <f>'Etape 2'!R215</f>
        <v>0</v>
      </c>
      <c r="X218" s="87" t="str">
        <f>'Etape 2'!S215</f>
        <v/>
      </c>
      <c r="Y218" s="89" t="str">
        <f>'Etape 2'!T215</f>
        <v/>
      </c>
      <c r="Z218" s="87">
        <f>'Etape 2'!U215</f>
        <v>0</v>
      </c>
      <c r="AA218" s="87" t="str">
        <f>'Etape 2'!V215</f>
        <v/>
      </c>
      <c r="AB218" s="87">
        <f>IF(ISNUMBER('Etape 2'!W215),'Etape 2'!W215,0)</f>
        <v>0</v>
      </c>
      <c r="AC218" s="87">
        <f>IF(ISNUMBER('Etape 2'!X215),'Etape 2'!X215,0)</f>
        <v>0</v>
      </c>
      <c r="AD218" s="87">
        <f>IF(ISNUMBER('Etape 2'!Y215),'Etape 2'!Y215,0)</f>
        <v>0</v>
      </c>
      <c r="AE218" s="87">
        <f>IF(ISNUMBER('Etape 2'!Z215),'Etape 2'!Z215,0)</f>
        <v>0</v>
      </c>
      <c r="AF218" s="86">
        <f t="shared" si="220"/>
        <v>999</v>
      </c>
      <c r="AG218" s="288">
        <f t="shared" si="221"/>
        <v>0.25</v>
      </c>
      <c r="AH218" s="181" t="e">
        <f t="shared" si="205"/>
        <v>#VALUE!</v>
      </c>
      <c r="AI218" s="181" t="e">
        <f t="shared" si="190"/>
        <v>#VALUE!</v>
      </c>
      <c r="AJ218" s="86">
        <f t="shared" si="206"/>
        <v>200</v>
      </c>
      <c r="AK218" s="91" t="e">
        <f t="shared" si="207"/>
        <v>#N/A</v>
      </c>
      <c r="AL218" s="91" t="e">
        <f t="shared" si="191"/>
        <v>#N/A</v>
      </c>
      <c r="AM218" s="91">
        <f t="shared" si="109"/>
        <v>6</v>
      </c>
      <c r="AN218" s="91" t="e">
        <f t="shared" si="192"/>
        <v>#N/A</v>
      </c>
      <c r="AO218" s="91" t="e">
        <f t="shared" si="193"/>
        <v>#N/A</v>
      </c>
      <c r="AP218" s="21" t="e">
        <f t="shared" si="194"/>
        <v>#N/A</v>
      </c>
      <c r="AQ218" s="21" t="e">
        <f t="shared" si="195"/>
        <v>#N/A</v>
      </c>
      <c r="AR218" s="92" t="str">
        <f t="shared" si="222"/>
        <v/>
      </c>
      <c r="AS218" s="21" t="str">
        <f t="shared" si="223"/>
        <v/>
      </c>
      <c r="AT218" s="59" t="str">
        <f t="shared" si="208"/>
        <v/>
      </c>
      <c r="AU218" s="105">
        <f t="shared" si="113"/>
        <v>1</v>
      </c>
      <c r="AV218" s="105">
        <f t="shared" si="196"/>
        <v>1</v>
      </c>
      <c r="AW218" s="58">
        <f t="shared" si="197"/>
        <v>2</v>
      </c>
      <c r="AX218" s="58">
        <f t="shared" si="198"/>
        <v>3</v>
      </c>
      <c r="AY218" s="58" t="str">
        <f t="shared" si="199"/>
        <v>avec vannes</v>
      </c>
      <c r="AZ218" s="58" t="str">
        <f t="shared" si="200"/>
        <v>fermé</v>
      </c>
      <c r="BA218" s="60">
        <f t="shared" si="231"/>
        <v>0</v>
      </c>
      <c r="BB218" s="60">
        <f t="shared" si="231"/>
        <v>0</v>
      </c>
      <c r="BC218" s="60">
        <f t="shared" si="231"/>
        <v>0</v>
      </c>
      <c r="BD218" s="60">
        <f t="shared" si="231"/>
        <v>0</v>
      </c>
      <c r="BE218" s="286" t="str">
        <f t="shared" si="209"/>
        <v/>
      </c>
      <c r="BF218" s="58" t="str">
        <f t="shared" si="224"/>
        <v/>
      </c>
      <c r="BG218" s="59" t="str">
        <f t="shared" si="210"/>
        <v/>
      </c>
      <c r="BH218" s="158">
        <f t="shared" ca="1" si="211"/>
        <v>1</v>
      </c>
      <c r="BI218" s="60">
        <f t="shared" ca="1" si="212"/>
        <v>0.15</v>
      </c>
      <c r="BJ218" s="60">
        <f t="shared" si="213"/>
        <v>0.2</v>
      </c>
      <c r="BK218" s="60" t="str">
        <f t="shared" si="225"/>
        <v/>
      </c>
      <c r="BL218" s="21" t="str">
        <f t="shared" si="226"/>
        <v/>
      </c>
      <c r="BM218" s="264" t="str">
        <f t="shared" si="214"/>
        <v/>
      </c>
      <c r="BN218" s="60" t="str">
        <f t="shared" si="227"/>
        <v/>
      </c>
      <c r="BO218" s="136">
        <f t="shared" si="228"/>
        <v>0</v>
      </c>
      <c r="BP218" s="59">
        <f t="shared" si="229"/>
        <v>0</v>
      </c>
      <c r="BQ218" s="136">
        <f t="shared" ca="1" si="215"/>
        <v>1403</v>
      </c>
      <c r="BR218" s="136">
        <f t="shared" ca="1" si="216"/>
        <v>1000.6744186046511</v>
      </c>
      <c r="BS218" s="136">
        <f t="shared" ca="1" si="217"/>
        <v>1468800.6744186047</v>
      </c>
      <c r="BT218" s="136">
        <f t="shared" ca="1" si="218"/>
        <v>313875.59714436386</v>
      </c>
      <c r="BU218" s="136">
        <f t="shared" ca="1" si="219"/>
        <v>1000.6744186046511</v>
      </c>
    </row>
    <row r="219" spans="1:73" x14ac:dyDescent="0.2">
      <c r="A219" s="87" t="str">
        <f>'Etape 2'!A216</f>
        <v/>
      </c>
      <c r="B219" s="87">
        <f>'Etape 2'!B216</f>
        <v>204</v>
      </c>
      <c r="C219" s="87">
        <f ca="1">'Etape 2'!C216</f>
        <v>97</v>
      </c>
      <c r="D219" s="87"/>
      <c r="E219" s="61">
        <f ca="1">RANK(BU219,BU$16:BU$315,0)+COUNTIF(BU$16:BU219,BU219)-1</f>
        <v>97</v>
      </c>
      <c r="F219" s="87" t="str">
        <f>'Etape 2'!D216</f>
        <v/>
      </c>
      <c r="G219" s="87" t="str">
        <f>'Etape 2'!E216</f>
        <v/>
      </c>
      <c r="H219" s="87" t="str">
        <f>'Etape 2'!F216</f>
        <v/>
      </c>
      <c r="I219" s="87" t="str">
        <f>'Etape 2'!G216</f>
        <v/>
      </c>
      <c r="J219" s="87" t="str">
        <f>'Etape 2'!H216</f>
        <v/>
      </c>
      <c r="K219" s="87" t="str">
        <f>'Etape 2'!I216</f>
        <v/>
      </c>
      <c r="L219" s="87">
        <f ca="1">'Etape 2'!J216</f>
        <v>999999</v>
      </c>
      <c r="M219" s="87">
        <f>'Etape 2'!K216</f>
        <v>999</v>
      </c>
      <c r="N219" s="87">
        <f ca="1">'Etape 2'!L216</f>
        <v>204</v>
      </c>
      <c r="O219" s="259">
        <f t="shared" si="202"/>
        <v>0.3</v>
      </c>
      <c r="P219" s="259">
        <f t="shared" si="203"/>
        <v>1.1000000000000001</v>
      </c>
      <c r="Q219" s="260">
        <f t="shared" si="204"/>
        <v>0</v>
      </c>
      <c r="R219" s="261">
        <f t="shared" si="230"/>
        <v>0</v>
      </c>
      <c r="S219" s="87">
        <f>IF(ISBLANK('Etape 2'!N216),0,VLOOKUP('Etape 2'!N216,Matrix_Uebersetzung,2,FALSE))</f>
        <v>0</v>
      </c>
      <c r="T219" s="87">
        <f>IF(ISBLANK('Etape 2'!O216),0,VLOOKUP('Etape 2'!O216,Matrix_Uebersetzung,2,FALSE))</f>
        <v>0</v>
      </c>
      <c r="U219" s="87">
        <f>IF(ISBLANK('Etape 2'!P216),0,VLOOKUP('Etape 2'!P216,Matrix_Uebersetzung,2,FALSE))</f>
        <v>0</v>
      </c>
      <c r="V219" s="87" t="str">
        <f>'Etape 2'!Q216</f>
        <v/>
      </c>
      <c r="W219" s="87">
        <f>'Etape 2'!R216</f>
        <v>0</v>
      </c>
      <c r="X219" s="87" t="str">
        <f>'Etape 2'!S216</f>
        <v/>
      </c>
      <c r="Y219" s="89" t="str">
        <f>'Etape 2'!T216</f>
        <v/>
      </c>
      <c r="Z219" s="87">
        <f>'Etape 2'!U216</f>
        <v>0</v>
      </c>
      <c r="AA219" s="87" t="str">
        <f>'Etape 2'!V216</f>
        <v/>
      </c>
      <c r="AB219" s="87">
        <f>IF(ISNUMBER('Etape 2'!W216),'Etape 2'!W216,0)</f>
        <v>0</v>
      </c>
      <c r="AC219" s="87">
        <f>IF(ISNUMBER('Etape 2'!X216),'Etape 2'!X216,0)</f>
        <v>0</v>
      </c>
      <c r="AD219" s="87">
        <f>IF(ISNUMBER('Etape 2'!Y216),'Etape 2'!Y216,0)</f>
        <v>0</v>
      </c>
      <c r="AE219" s="87">
        <f>IF(ISNUMBER('Etape 2'!Z216),'Etape 2'!Z216,0)</f>
        <v>0</v>
      </c>
      <c r="AF219" s="86">
        <f t="shared" si="220"/>
        <v>999</v>
      </c>
      <c r="AG219" s="288">
        <f t="shared" si="221"/>
        <v>0.25</v>
      </c>
      <c r="AH219" s="181" t="e">
        <f t="shared" si="205"/>
        <v>#VALUE!</v>
      </c>
      <c r="AI219" s="181" t="e">
        <f t="shared" si="190"/>
        <v>#VALUE!</v>
      </c>
      <c r="AJ219" s="86">
        <f t="shared" si="206"/>
        <v>200</v>
      </c>
      <c r="AK219" s="91" t="e">
        <f t="shared" si="207"/>
        <v>#N/A</v>
      </c>
      <c r="AL219" s="91" t="e">
        <f t="shared" si="191"/>
        <v>#N/A</v>
      </c>
      <c r="AM219" s="91">
        <f t="shared" si="109"/>
        <v>6</v>
      </c>
      <c r="AN219" s="91" t="e">
        <f t="shared" si="192"/>
        <v>#N/A</v>
      </c>
      <c r="AO219" s="91" t="e">
        <f t="shared" si="193"/>
        <v>#N/A</v>
      </c>
      <c r="AP219" s="21" t="e">
        <f t="shared" si="194"/>
        <v>#N/A</v>
      </c>
      <c r="AQ219" s="21" t="e">
        <f t="shared" si="195"/>
        <v>#N/A</v>
      </c>
      <c r="AR219" s="92" t="str">
        <f t="shared" si="222"/>
        <v/>
      </c>
      <c r="AS219" s="21" t="str">
        <f t="shared" si="223"/>
        <v/>
      </c>
      <c r="AT219" s="59" t="str">
        <f t="shared" si="208"/>
        <v/>
      </c>
      <c r="AU219" s="105">
        <f t="shared" si="113"/>
        <v>1</v>
      </c>
      <c r="AV219" s="105">
        <f t="shared" si="196"/>
        <v>1</v>
      </c>
      <c r="AW219" s="58">
        <f t="shared" si="197"/>
        <v>2</v>
      </c>
      <c r="AX219" s="58">
        <f t="shared" si="198"/>
        <v>3</v>
      </c>
      <c r="AY219" s="58" t="str">
        <f t="shared" si="199"/>
        <v>avec vannes</v>
      </c>
      <c r="AZ219" s="58" t="str">
        <f t="shared" si="200"/>
        <v>fermé</v>
      </c>
      <c r="BA219" s="60">
        <f t="shared" si="231"/>
        <v>0</v>
      </c>
      <c r="BB219" s="60">
        <f t="shared" si="231"/>
        <v>0</v>
      </c>
      <c r="BC219" s="60">
        <f t="shared" si="231"/>
        <v>0</v>
      </c>
      <c r="BD219" s="60">
        <f t="shared" si="231"/>
        <v>0</v>
      </c>
      <c r="BE219" s="286" t="str">
        <f t="shared" si="209"/>
        <v/>
      </c>
      <c r="BF219" s="58" t="str">
        <f t="shared" si="224"/>
        <v/>
      </c>
      <c r="BG219" s="59" t="str">
        <f t="shared" si="210"/>
        <v/>
      </c>
      <c r="BH219" s="158">
        <f t="shared" ca="1" si="211"/>
        <v>1</v>
      </c>
      <c r="BI219" s="60">
        <f t="shared" ca="1" si="212"/>
        <v>0.15</v>
      </c>
      <c r="BJ219" s="60">
        <f t="shared" si="213"/>
        <v>0.2</v>
      </c>
      <c r="BK219" s="60" t="str">
        <f t="shared" si="225"/>
        <v/>
      </c>
      <c r="BL219" s="21" t="str">
        <f t="shared" si="226"/>
        <v/>
      </c>
      <c r="BM219" s="264" t="str">
        <f t="shared" si="214"/>
        <v/>
      </c>
      <c r="BN219" s="60" t="str">
        <f t="shared" si="227"/>
        <v/>
      </c>
      <c r="BO219" s="136">
        <f t="shared" si="228"/>
        <v>0</v>
      </c>
      <c r="BP219" s="59">
        <f t="shared" si="229"/>
        <v>0</v>
      </c>
      <c r="BQ219" s="136">
        <f t="shared" ca="1" si="215"/>
        <v>1404</v>
      </c>
      <c r="BR219" s="136">
        <f t="shared" ca="1" si="216"/>
        <v>1000.6777408637873</v>
      </c>
      <c r="BS219" s="136">
        <f t="shared" ca="1" si="217"/>
        <v>1468800.6777408638</v>
      </c>
      <c r="BT219" s="136">
        <f t="shared" ca="1" si="218"/>
        <v>313875.60046662303</v>
      </c>
      <c r="BU219" s="136">
        <f t="shared" ca="1" si="219"/>
        <v>1000.6777408637873</v>
      </c>
    </row>
    <row r="220" spans="1:73" x14ac:dyDescent="0.2">
      <c r="A220" s="87" t="str">
        <f>'Etape 2'!A217</f>
        <v/>
      </c>
      <c r="B220" s="87">
        <f>'Etape 2'!B217</f>
        <v>205</v>
      </c>
      <c r="C220" s="87">
        <f ca="1">'Etape 2'!C217</f>
        <v>96</v>
      </c>
      <c r="D220" s="87"/>
      <c r="E220" s="61">
        <f ca="1">RANK(BU220,BU$16:BU$315,0)+COUNTIF(BU$16:BU220,BU220)-1</f>
        <v>96</v>
      </c>
      <c r="F220" s="87" t="str">
        <f>'Etape 2'!D217</f>
        <v/>
      </c>
      <c r="G220" s="87" t="str">
        <f>'Etape 2'!E217</f>
        <v/>
      </c>
      <c r="H220" s="87" t="str">
        <f>'Etape 2'!F217</f>
        <v/>
      </c>
      <c r="I220" s="87" t="str">
        <f>'Etape 2'!G217</f>
        <v/>
      </c>
      <c r="J220" s="87" t="str">
        <f>'Etape 2'!H217</f>
        <v/>
      </c>
      <c r="K220" s="87" t="str">
        <f>'Etape 2'!I217</f>
        <v/>
      </c>
      <c r="L220" s="87">
        <f ca="1">'Etape 2'!J217</f>
        <v>999999</v>
      </c>
      <c r="M220" s="87">
        <f>'Etape 2'!K217</f>
        <v>999</v>
      </c>
      <c r="N220" s="87">
        <f ca="1">'Etape 2'!L217</f>
        <v>205</v>
      </c>
      <c r="O220" s="259">
        <f t="shared" si="202"/>
        <v>0.3</v>
      </c>
      <c r="P220" s="259">
        <f t="shared" si="203"/>
        <v>1.1000000000000001</v>
      </c>
      <c r="Q220" s="260">
        <f t="shared" si="204"/>
        <v>0</v>
      </c>
      <c r="R220" s="261">
        <f t="shared" si="230"/>
        <v>0</v>
      </c>
      <c r="S220" s="87">
        <f>IF(ISBLANK('Etape 2'!N217),0,VLOOKUP('Etape 2'!N217,Matrix_Uebersetzung,2,FALSE))</f>
        <v>0</v>
      </c>
      <c r="T220" s="87">
        <f>IF(ISBLANK('Etape 2'!O217),0,VLOOKUP('Etape 2'!O217,Matrix_Uebersetzung,2,FALSE))</f>
        <v>0</v>
      </c>
      <c r="U220" s="87">
        <f>IF(ISBLANK('Etape 2'!P217),0,VLOOKUP('Etape 2'!P217,Matrix_Uebersetzung,2,FALSE))</f>
        <v>0</v>
      </c>
      <c r="V220" s="87" t="str">
        <f>'Etape 2'!Q217</f>
        <v/>
      </c>
      <c r="W220" s="87">
        <f>'Etape 2'!R217</f>
        <v>0</v>
      </c>
      <c r="X220" s="87" t="str">
        <f>'Etape 2'!S217</f>
        <v/>
      </c>
      <c r="Y220" s="89" t="str">
        <f>'Etape 2'!T217</f>
        <v/>
      </c>
      <c r="Z220" s="87">
        <f>'Etape 2'!U217</f>
        <v>0</v>
      </c>
      <c r="AA220" s="87" t="str">
        <f>'Etape 2'!V217</f>
        <v/>
      </c>
      <c r="AB220" s="87">
        <f>IF(ISNUMBER('Etape 2'!W217),'Etape 2'!W217,0)</f>
        <v>0</v>
      </c>
      <c r="AC220" s="87">
        <f>IF(ISNUMBER('Etape 2'!X217),'Etape 2'!X217,0)</f>
        <v>0</v>
      </c>
      <c r="AD220" s="87">
        <f>IF(ISNUMBER('Etape 2'!Y217),'Etape 2'!Y217,0)</f>
        <v>0</v>
      </c>
      <c r="AE220" s="87">
        <f>IF(ISNUMBER('Etape 2'!Z217),'Etape 2'!Z217,0)</f>
        <v>0</v>
      </c>
      <c r="AF220" s="86">
        <f t="shared" si="220"/>
        <v>999</v>
      </c>
      <c r="AG220" s="288">
        <f t="shared" si="221"/>
        <v>0.25</v>
      </c>
      <c r="AH220" s="181" t="e">
        <f t="shared" si="205"/>
        <v>#VALUE!</v>
      </c>
      <c r="AI220" s="181" t="e">
        <f t="shared" si="190"/>
        <v>#VALUE!</v>
      </c>
      <c r="AJ220" s="86">
        <f t="shared" si="206"/>
        <v>200</v>
      </c>
      <c r="AK220" s="91" t="e">
        <f t="shared" si="207"/>
        <v>#N/A</v>
      </c>
      <c r="AL220" s="91" t="e">
        <f t="shared" si="191"/>
        <v>#N/A</v>
      </c>
      <c r="AM220" s="91">
        <f t="shared" si="109"/>
        <v>6</v>
      </c>
      <c r="AN220" s="91" t="e">
        <f t="shared" si="192"/>
        <v>#N/A</v>
      </c>
      <c r="AO220" s="91" t="e">
        <f t="shared" si="193"/>
        <v>#N/A</v>
      </c>
      <c r="AP220" s="21" t="e">
        <f t="shared" si="194"/>
        <v>#N/A</v>
      </c>
      <c r="AQ220" s="21" t="e">
        <f t="shared" si="195"/>
        <v>#N/A</v>
      </c>
      <c r="AR220" s="92" t="str">
        <f t="shared" si="222"/>
        <v/>
      </c>
      <c r="AS220" s="21" t="str">
        <f t="shared" si="223"/>
        <v/>
      </c>
      <c r="AT220" s="59" t="str">
        <f t="shared" si="208"/>
        <v/>
      </c>
      <c r="AU220" s="105">
        <f t="shared" si="113"/>
        <v>1</v>
      </c>
      <c r="AV220" s="105">
        <f t="shared" si="196"/>
        <v>1</v>
      </c>
      <c r="AW220" s="58">
        <f t="shared" si="197"/>
        <v>2</v>
      </c>
      <c r="AX220" s="58">
        <f t="shared" si="198"/>
        <v>3</v>
      </c>
      <c r="AY220" s="58" t="str">
        <f t="shared" si="199"/>
        <v>avec vannes</v>
      </c>
      <c r="AZ220" s="58" t="str">
        <f t="shared" si="200"/>
        <v>fermé</v>
      </c>
      <c r="BA220" s="60">
        <f t="shared" si="231"/>
        <v>0</v>
      </c>
      <c r="BB220" s="60">
        <f t="shared" si="231"/>
        <v>0</v>
      </c>
      <c r="BC220" s="60">
        <f t="shared" si="231"/>
        <v>0</v>
      </c>
      <c r="BD220" s="60">
        <f t="shared" si="231"/>
        <v>0</v>
      </c>
      <c r="BE220" s="286" t="str">
        <f t="shared" si="209"/>
        <v/>
      </c>
      <c r="BF220" s="58" t="str">
        <f t="shared" si="224"/>
        <v/>
      </c>
      <c r="BG220" s="59" t="str">
        <f t="shared" si="210"/>
        <v/>
      </c>
      <c r="BH220" s="158">
        <f t="shared" ca="1" si="211"/>
        <v>1</v>
      </c>
      <c r="BI220" s="60">
        <f t="shared" ca="1" si="212"/>
        <v>0.15</v>
      </c>
      <c r="BJ220" s="60">
        <f t="shared" si="213"/>
        <v>0.2</v>
      </c>
      <c r="BK220" s="60" t="str">
        <f t="shared" si="225"/>
        <v/>
      </c>
      <c r="BL220" s="21" t="str">
        <f t="shared" si="226"/>
        <v/>
      </c>
      <c r="BM220" s="264" t="str">
        <f t="shared" si="214"/>
        <v/>
      </c>
      <c r="BN220" s="60" t="str">
        <f t="shared" si="227"/>
        <v/>
      </c>
      <c r="BO220" s="136">
        <f t="shared" si="228"/>
        <v>0</v>
      </c>
      <c r="BP220" s="59">
        <f t="shared" si="229"/>
        <v>0</v>
      </c>
      <c r="BQ220" s="136">
        <f t="shared" ca="1" si="215"/>
        <v>1405</v>
      </c>
      <c r="BR220" s="136">
        <f t="shared" ca="1" si="216"/>
        <v>1000.6810631229235</v>
      </c>
      <c r="BS220" s="136">
        <f t="shared" ca="1" si="217"/>
        <v>1468800.6810631228</v>
      </c>
      <c r="BT220" s="136">
        <f t="shared" ca="1" si="218"/>
        <v>313875.60378888214</v>
      </c>
      <c r="BU220" s="136">
        <f t="shared" ca="1" si="219"/>
        <v>1000.6810631229235</v>
      </c>
    </row>
    <row r="221" spans="1:73" x14ac:dyDescent="0.2">
      <c r="A221" s="87" t="str">
        <f>'Etape 2'!A218</f>
        <v/>
      </c>
      <c r="B221" s="87">
        <f>'Etape 2'!B218</f>
        <v>206</v>
      </c>
      <c r="C221" s="87">
        <f ca="1">'Etape 2'!C218</f>
        <v>95</v>
      </c>
      <c r="D221" s="87"/>
      <c r="E221" s="61">
        <f ca="1">RANK(BU221,BU$16:BU$315,0)+COUNTIF(BU$16:BU221,BU221)-1</f>
        <v>95</v>
      </c>
      <c r="F221" s="87" t="str">
        <f>'Etape 2'!D218</f>
        <v/>
      </c>
      <c r="G221" s="87" t="str">
        <f>'Etape 2'!E218</f>
        <v/>
      </c>
      <c r="H221" s="87" t="str">
        <f>'Etape 2'!F218</f>
        <v/>
      </c>
      <c r="I221" s="87" t="str">
        <f>'Etape 2'!G218</f>
        <v/>
      </c>
      <c r="J221" s="87" t="str">
        <f>'Etape 2'!H218</f>
        <v/>
      </c>
      <c r="K221" s="87" t="str">
        <f>'Etape 2'!I218</f>
        <v/>
      </c>
      <c r="L221" s="87">
        <f ca="1">'Etape 2'!J218</f>
        <v>999999</v>
      </c>
      <c r="M221" s="87">
        <f>'Etape 2'!K218</f>
        <v>999</v>
      </c>
      <c r="N221" s="87">
        <f ca="1">'Etape 2'!L218</f>
        <v>206</v>
      </c>
      <c r="O221" s="259">
        <f t="shared" si="202"/>
        <v>0.3</v>
      </c>
      <c r="P221" s="259">
        <f t="shared" si="203"/>
        <v>1.1000000000000001</v>
      </c>
      <c r="Q221" s="260">
        <f t="shared" si="204"/>
        <v>0</v>
      </c>
      <c r="R221" s="261">
        <f t="shared" si="230"/>
        <v>0</v>
      </c>
      <c r="S221" s="87">
        <f>IF(ISBLANK('Etape 2'!N218),0,VLOOKUP('Etape 2'!N218,Matrix_Uebersetzung,2,FALSE))</f>
        <v>0</v>
      </c>
      <c r="T221" s="87">
        <f>IF(ISBLANK('Etape 2'!O218),0,VLOOKUP('Etape 2'!O218,Matrix_Uebersetzung,2,FALSE))</f>
        <v>0</v>
      </c>
      <c r="U221" s="87">
        <f>IF(ISBLANK('Etape 2'!P218),0,VLOOKUP('Etape 2'!P218,Matrix_Uebersetzung,2,FALSE))</f>
        <v>0</v>
      </c>
      <c r="V221" s="87" t="str">
        <f>'Etape 2'!Q218</f>
        <v/>
      </c>
      <c r="W221" s="87">
        <f>'Etape 2'!R218</f>
        <v>0</v>
      </c>
      <c r="X221" s="87" t="str">
        <f>'Etape 2'!S218</f>
        <v/>
      </c>
      <c r="Y221" s="89" t="str">
        <f>'Etape 2'!T218</f>
        <v/>
      </c>
      <c r="Z221" s="87">
        <f>'Etape 2'!U218</f>
        <v>0</v>
      </c>
      <c r="AA221" s="87" t="str">
        <f>'Etape 2'!V218</f>
        <v/>
      </c>
      <c r="AB221" s="87">
        <f>IF(ISNUMBER('Etape 2'!W218),'Etape 2'!W218,0)</f>
        <v>0</v>
      </c>
      <c r="AC221" s="87">
        <f>IF(ISNUMBER('Etape 2'!X218),'Etape 2'!X218,0)</f>
        <v>0</v>
      </c>
      <c r="AD221" s="87">
        <f>IF(ISNUMBER('Etape 2'!Y218),'Etape 2'!Y218,0)</f>
        <v>0</v>
      </c>
      <c r="AE221" s="87">
        <f>IF(ISNUMBER('Etape 2'!Z218),'Etape 2'!Z218,0)</f>
        <v>0</v>
      </c>
      <c r="AF221" s="86">
        <f t="shared" si="220"/>
        <v>999</v>
      </c>
      <c r="AG221" s="288">
        <f t="shared" si="221"/>
        <v>0.25</v>
      </c>
      <c r="AH221" s="181" t="e">
        <f t="shared" si="205"/>
        <v>#VALUE!</v>
      </c>
      <c r="AI221" s="181" t="e">
        <f t="shared" si="190"/>
        <v>#VALUE!</v>
      </c>
      <c r="AJ221" s="86">
        <f t="shared" si="206"/>
        <v>200</v>
      </c>
      <c r="AK221" s="91" t="e">
        <f t="shared" si="207"/>
        <v>#N/A</v>
      </c>
      <c r="AL221" s="91" t="e">
        <f t="shared" si="191"/>
        <v>#N/A</v>
      </c>
      <c r="AM221" s="91">
        <f t="shared" si="109"/>
        <v>6</v>
      </c>
      <c r="AN221" s="91" t="e">
        <f t="shared" si="192"/>
        <v>#N/A</v>
      </c>
      <c r="AO221" s="91" t="e">
        <f t="shared" si="193"/>
        <v>#N/A</v>
      </c>
      <c r="AP221" s="21" t="e">
        <f t="shared" si="194"/>
        <v>#N/A</v>
      </c>
      <c r="AQ221" s="21" t="e">
        <f t="shared" si="195"/>
        <v>#N/A</v>
      </c>
      <c r="AR221" s="92" t="str">
        <f t="shared" si="222"/>
        <v/>
      </c>
      <c r="AS221" s="21" t="str">
        <f t="shared" si="223"/>
        <v/>
      </c>
      <c r="AT221" s="59" t="str">
        <f t="shared" si="208"/>
        <v/>
      </c>
      <c r="AU221" s="105">
        <f t="shared" si="113"/>
        <v>1</v>
      </c>
      <c r="AV221" s="105">
        <f t="shared" si="196"/>
        <v>1</v>
      </c>
      <c r="AW221" s="58">
        <f t="shared" si="197"/>
        <v>2</v>
      </c>
      <c r="AX221" s="58">
        <f t="shared" si="198"/>
        <v>3</v>
      </c>
      <c r="AY221" s="58" t="str">
        <f t="shared" si="199"/>
        <v>avec vannes</v>
      </c>
      <c r="AZ221" s="58" t="str">
        <f t="shared" si="200"/>
        <v>fermé</v>
      </c>
      <c r="BA221" s="60">
        <f t="shared" si="231"/>
        <v>0</v>
      </c>
      <c r="BB221" s="60">
        <f t="shared" si="231"/>
        <v>0</v>
      </c>
      <c r="BC221" s="60">
        <f t="shared" si="231"/>
        <v>0</v>
      </c>
      <c r="BD221" s="60">
        <f t="shared" si="231"/>
        <v>0</v>
      </c>
      <c r="BE221" s="286" t="str">
        <f t="shared" si="209"/>
        <v/>
      </c>
      <c r="BF221" s="58" t="str">
        <f t="shared" si="224"/>
        <v/>
      </c>
      <c r="BG221" s="59" t="str">
        <f t="shared" si="210"/>
        <v/>
      </c>
      <c r="BH221" s="158">
        <f t="shared" ca="1" si="211"/>
        <v>1</v>
      </c>
      <c r="BI221" s="60">
        <f t="shared" ca="1" si="212"/>
        <v>0.15</v>
      </c>
      <c r="BJ221" s="60">
        <f t="shared" si="213"/>
        <v>0.2</v>
      </c>
      <c r="BK221" s="60" t="str">
        <f t="shared" si="225"/>
        <v/>
      </c>
      <c r="BL221" s="21" t="str">
        <f t="shared" si="226"/>
        <v/>
      </c>
      <c r="BM221" s="264" t="str">
        <f t="shared" si="214"/>
        <v/>
      </c>
      <c r="BN221" s="60" t="str">
        <f t="shared" si="227"/>
        <v/>
      </c>
      <c r="BO221" s="136">
        <f t="shared" si="228"/>
        <v>0</v>
      </c>
      <c r="BP221" s="59">
        <f t="shared" si="229"/>
        <v>0</v>
      </c>
      <c r="BQ221" s="136">
        <f t="shared" ca="1" si="215"/>
        <v>1406</v>
      </c>
      <c r="BR221" s="136">
        <f t="shared" ca="1" si="216"/>
        <v>1000.6843853820598</v>
      </c>
      <c r="BS221" s="136">
        <f t="shared" ca="1" si="217"/>
        <v>1468800.6843853821</v>
      </c>
      <c r="BT221" s="136">
        <f t="shared" ca="1" si="218"/>
        <v>313875.60711114126</v>
      </c>
      <c r="BU221" s="136">
        <f t="shared" ca="1" si="219"/>
        <v>1000.6843853820598</v>
      </c>
    </row>
    <row r="222" spans="1:73" x14ac:dyDescent="0.2">
      <c r="A222" s="87" t="str">
        <f>'Etape 2'!A219</f>
        <v/>
      </c>
      <c r="B222" s="87">
        <f>'Etape 2'!B219</f>
        <v>207</v>
      </c>
      <c r="C222" s="87">
        <f ca="1">'Etape 2'!C219</f>
        <v>94</v>
      </c>
      <c r="D222" s="87"/>
      <c r="E222" s="61">
        <f ca="1">RANK(BU222,BU$16:BU$315,0)+COUNTIF(BU$16:BU222,BU222)-1</f>
        <v>94</v>
      </c>
      <c r="F222" s="87" t="str">
        <f>'Etape 2'!D219</f>
        <v/>
      </c>
      <c r="G222" s="87" t="str">
        <f>'Etape 2'!E219</f>
        <v/>
      </c>
      <c r="H222" s="87" t="str">
        <f>'Etape 2'!F219</f>
        <v/>
      </c>
      <c r="I222" s="87" t="str">
        <f>'Etape 2'!G219</f>
        <v/>
      </c>
      <c r="J222" s="87" t="str">
        <f>'Etape 2'!H219</f>
        <v/>
      </c>
      <c r="K222" s="87" t="str">
        <f>'Etape 2'!I219</f>
        <v/>
      </c>
      <c r="L222" s="87">
        <f ca="1">'Etape 2'!J219</f>
        <v>999999</v>
      </c>
      <c r="M222" s="87">
        <f>'Etape 2'!K219</f>
        <v>999</v>
      </c>
      <c r="N222" s="87">
        <f ca="1">'Etape 2'!L219</f>
        <v>207</v>
      </c>
      <c r="O222" s="259">
        <f t="shared" si="202"/>
        <v>0.3</v>
      </c>
      <c r="P222" s="259">
        <f t="shared" si="203"/>
        <v>1.1000000000000001</v>
      </c>
      <c r="Q222" s="260">
        <f t="shared" si="204"/>
        <v>0</v>
      </c>
      <c r="R222" s="261">
        <f t="shared" si="230"/>
        <v>0</v>
      </c>
      <c r="S222" s="87">
        <f>IF(ISBLANK('Etape 2'!N219),0,VLOOKUP('Etape 2'!N219,Matrix_Uebersetzung,2,FALSE))</f>
        <v>0</v>
      </c>
      <c r="T222" s="87">
        <f>IF(ISBLANK('Etape 2'!O219),0,VLOOKUP('Etape 2'!O219,Matrix_Uebersetzung,2,FALSE))</f>
        <v>0</v>
      </c>
      <c r="U222" s="87">
        <f>IF(ISBLANK('Etape 2'!P219),0,VLOOKUP('Etape 2'!P219,Matrix_Uebersetzung,2,FALSE))</f>
        <v>0</v>
      </c>
      <c r="V222" s="87" t="str">
        <f>'Etape 2'!Q219</f>
        <v/>
      </c>
      <c r="W222" s="87">
        <f>'Etape 2'!R219</f>
        <v>0</v>
      </c>
      <c r="X222" s="87" t="str">
        <f>'Etape 2'!S219</f>
        <v/>
      </c>
      <c r="Y222" s="89" t="str">
        <f>'Etape 2'!T219</f>
        <v/>
      </c>
      <c r="Z222" s="87">
        <f>'Etape 2'!U219</f>
        <v>0</v>
      </c>
      <c r="AA222" s="87" t="str">
        <f>'Etape 2'!V219</f>
        <v/>
      </c>
      <c r="AB222" s="87">
        <f>IF(ISNUMBER('Etape 2'!W219),'Etape 2'!W219,0)</f>
        <v>0</v>
      </c>
      <c r="AC222" s="87">
        <f>IF(ISNUMBER('Etape 2'!X219),'Etape 2'!X219,0)</f>
        <v>0</v>
      </c>
      <c r="AD222" s="87">
        <f>IF(ISNUMBER('Etape 2'!Y219),'Etape 2'!Y219,0)</f>
        <v>0</v>
      </c>
      <c r="AE222" s="87">
        <f>IF(ISNUMBER('Etape 2'!Z219),'Etape 2'!Z219,0)</f>
        <v>0</v>
      </c>
      <c r="AF222" s="86">
        <f t="shared" si="220"/>
        <v>999</v>
      </c>
      <c r="AG222" s="288">
        <f t="shared" si="221"/>
        <v>0.25</v>
      </c>
      <c r="AH222" s="181" t="e">
        <f t="shared" si="205"/>
        <v>#VALUE!</v>
      </c>
      <c r="AI222" s="181" t="e">
        <f t="shared" si="190"/>
        <v>#VALUE!</v>
      </c>
      <c r="AJ222" s="86">
        <f t="shared" si="206"/>
        <v>200</v>
      </c>
      <c r="AK222" s="91" t="e">
        <f t="shared" si="207"/>
        <v>#N/A</v>
      </c>
      <c r="AL222" s="91" t="e">
        <f t="shared" si="191"/>
        <v>#N/A</v>
      </c>
      <c r="AM222" s="91">
        <f t="shared" si="109"/>
        <v>6</v>
      </c>
      <c r="AN222" s="91" t="e">
        <f t="shared" si="192"/>
        <v>#N/A</v>
      </c>
      <c r="AO222" s="91" t="e">
        <f t="shared" si="193"/>
        <v>#N/A</v>
      </c>
      <c r="AP222" s="21" t="e">
        <f t="shared" si="194"/>
        <v>#N/A</v>
      </c>
      <c r="AQ222" s="21" t="e">
        <f t="shared" si="195"/>
        <v>#N/A</v>
      </c>
      <c r="AR222" s="92" t="str">
        <f t="shared" si="222"/>
        <v/>
      </c>
      <c r="AS222" s="21" t="str">
        <f t="shared" si="223"/>
        <v/>
      </c>
      <c r="AT222" s="59" t="str">
        <f t="shared" si="208"/>
        <v/>
      </c>
      <c r="AU222" s="105">
        <f t="shared" si="113"/>
        <v>1</v>
      </c>
      <c r="AV222" s="105">
        <f t="shared" si="196"/>
        <v>1</v>
      </c>
      <c r="AW222" s="58">
        <f t="shared" si="197"/>
        <v>2</v>
      </c>
      <c r="AX222" s="58">
        <f t="shared" si="198"/>
        <v>3</v>
      </c>
      <c r="AY222" s="58" t="str">
        <f t="shared" si="199"/>
        <v>avec vannes</v>
      </c>
      <c r="AZ222" s="58" t="str">
        <f t="shared" si="200"/>
        <v>fermé</v>
      </c>
      <c r="BA222" s="60">
        <f t="shared" si="231"/>
        <v>0</v>
      </c>
      <c r="BB222" s="60">
        <f t="shared" si="231"/>
        <v>0</v>
      </c>
      <c r="BC222" s="60">
        <f t="shared" si="231"/>
        <v>0</v>
      </c>
      <c r="BD222" s="60">
        <f t="shared" si="231"/>
        <v>0</v>
      </c>
      <c r="BE222" s="286" t="str">
        <f t="shared" si="209"/>
        <v/>
      </c>
      <c r="BF222" s="58" t="str">
        <f t="shared" si="224"/>
        <v/>
      </c>
      <c r="BG222" s="59" t="str">
        <f t="shared" si="210"/>
        <v/>
      </c>
      <c r="BH222" s="158">
        <f t="shared" ca="1" si="211"/>
        <v>1</v>
      </c>
      <c r="BI222" s="60">
        <f t="shared" ca="1" si="212"/>
        <v>0.15</v>
      </c>
      <c r="BJ222" s="60">
        <f t="shared" si="213"/>
        <v>0.2</v>
      </c>
      <c r="BK222" s="60" t="str">
        <f t="shared" si="225"/>
        <v/>
      </c>
      <c r="BL222" s="21" t="str">
        <f t="shared" si="226"/>
        <v/>
      </c>
      <c r="BM222" s="264" t="str">
        <f t="shared" si="214"/>
        <v/>
      </c>
      <c r="BN222" s="60" t="str">
        <f t="shared" si="227"/>
        <v/>
      </c>
      <c r="BO222" s="136">
        <f t="shared" si="228"/>
        <v>0</v>
      </c>
      <c r="BP222" s="59">
        <f t="shared" si="229"/>
        <v>0</v>
      </c>
      <c r="BQ222" s="136">
        <f t="shared" ca="1" si="215"/>
        <v>1407</v>
      </c>
      <c r="BR222" s="136">
        <f t="shared" ca="1" si="216"/>
        <v>1000.687707641196</v>
      </c>
      <c r="BS222" s="136">
        <f t="shared" ca="1" si="217"/>
        <v>1468800.6877076412</v>
      </c>
      <c r="BT222" s="136">
        <f t="shared" ca="1" si="218"/>
        <v>313875.61043340043</v>
      </c>
      <c r="BU222" s="136">
        <f t="shared" ca="1" si="219"/>
        <v>1000.687707641196</v>
      </c>
    </row>
    <row r="223" spans="1:73" x14ac:dyDescent="0.2">
      <c r="A223" s="87" t="str">
        <f>'Etape 2'!A220</f>
        <v/>
      </c>
      <c r="B223" s="87">
        <f>'Etape 2'!B220</f>
        <v>208</v>
      </c>
      <c r="C223" s="87">
        <f ca="1">'Etape 2'!C220</f>
        <v>93</v>
      </c>
      <c r="D223" s="87"/>
      <c r="E223" s="61">
        <f ca="1">RANK(BU223,BU$16:BU$315,0)+COUNTIF(BU$16:BU223,BU223)-1</f>
        <v>93</v>
      </c>
      <c r="F223" s="87" t="str">
        <f>'Etape 2'!D220</f>
        <v/>
      </c>
      <c r="G223" s="87" t="str">
        <f>'Etape 2'!E220</f>
        <v/>
      </c>
      <c r="H223" s="87" t="str">
        <f>'Etape 2'!F220</f>
        <v/>
      </c>
      <c r="I223" s="87" t="str">
        <f>'Etape 2'!G220</f>
        <v/>
      </c>
      <c r="J223" s="87" t="str">
        <f>'Etape 2'!H220</f>
        <v/>
      </c>
      <c r="K223" s="87" t="str">
        <f>'Etape 2'!I220</f>
        <v/>
      </c>
      <c r="L223" s="87">
        <f ca="1">'Etape 2'!J220</f>
        <v>999999</v>
      </c>
      <c r="M223" s="87">
        <f>'Etape 2'!K220</f>
        <v>999</v>
      </c>
      <c r="N223" s="87">
        <f ca="1">'Etape 2'!L220</f>
        <v>208</v>
      </c>
      <c r="O223" s="259">
        <f t="shared" si="202"/>
        <v>0.3</v>
      </c>
      <c r="P223" s="259">
        <f t="shared" si="203"/>
        <v>1.1000000000000001</v>
      </c>
      <c r="Q223" s="260">
        <f t="shared" si="204"/>
        <v>0</v>
      </c>
      <c r="R223" s="261">
        <f t="shared" si="230"/>
        <v>0</v>
      </c>
      <c r="S223" s="87">
        <f>IF(ISBLANK('Etape 2'!N220),0,VLOOKUP('Etape 2'!N220,Matrix_Uebersetzung,2,FALSE))</f>
        <v>0</v>
      </c>
      <c r="T223" s="87">
        <f>IF(ISBLANK('Etape 2'!O220),0,VLOOKUP('Etape 2'!O220,Matrix_Uebersetzung,2,FALSE))</f>
        <v>0</v>
      </c>
      <c r="U223" s="87">
        <f>IF(ISBLANK('Etape 2'!P220),0,VLOOKUP('Etape 2'!P220,Matrix_Uebersetzung,2,FALSE))</f>
        <v>0</v>
      </c>
      <c r="V223" s="87" t="str">
        <f>'Etape 2'!Q220</f>
        <v/>
      </c>
      <c r="W223" s="87">
        <f>'Etape 2'!R220</f>
        <v>0</v>
      </c>
      <c r="X223" s="87" t="str">
        <f>'Etape 2'!S220</f>
        <v/>
      </c>
      <c r="Y223" s="89" t="str">
        <f>'Etape 2'!T220</f>
        <v/>
      </c>
      <c r="Z223" s="87">
        <f>'Etape 2'!U220</f>
        <v>0</v>
      </c>
      <c r="AA223" s="87" t="str">
        <f>'Etape 2'!V220</f>
        <v/>
      </c>
      <c r="AB223" s="87">
        <f>IF(ISNUMBER('Etape 2'!W220),'Etape 2'!W220,0)</f>
        <v>0</v>
      </c>
      <c r="AC223" s="87">
        <f>IF(ISNUMBER('Etape 2'!X220),'Etape 2'!X220,0)</f>
        <v>0</v>
      </c>
      <c r="AD223" s="87">
        <f>IF(ISNUMBER('Etape 2'!Y220),'Etape 2'!Y220,0)</f>
        <v>0</v>
      </c>
      <c r="AE223" s="87">
        <f>IF(ISNUMBER('Etape 2'!Z220),'Etape 2'!Z220,0)</f>
        <v>0</v>
      </c>
      <c r="AF223" s="86">
        <f t="shared" si="220"/>
        <v>999</v>
      </c>
      <c r="AG223" s="288">
        <f t="shared" si="221"/>
        <v>0.25</v>
      </c>
      <c r="AH223" s="181" t="e">
        <f t="shared" si="205"/>
        <v>#VALUE!</v>
      </c>
      <c r="AI223" s="181" t="e">
        <f t="shared" si="190"/>
        <v>#VALUE!</v>
      </c>
      <c r="AJ223" s="86">
        <f t="shared" si="206"/>
        <v>200</v>
      </c>
      <c r="AK223" s="91" t="e">
        <f t="shared" si="207"/>
        <v>#N/A</v>
      </c>
      <c r="AL223" s="91" t="e">
        <f t="shared" si="191"/>
        <v>#N/A</v>
      </c>
      <c r="AM223" s="91">
        <f t="shared" si="109"/>
        <v>6</v>
      </c>
      <c r="AN223" s="91" t="e">
        <f t="shared" si="192"/>
        <v>#N/A</v>
      </c>
      <c r="AO223" s="91" t="e">
        <f t="shared" si="193"/>
        <v>#N/A</v>
      </c>
      <c r="AP223" s="21" t="e">
        <f t="shared" si="194"/>
        <v>#N/A</v>
      </c>
      <c r="AQ223" s="21" t="e">
        <f t="shared" si="195"/>
        <v>#N/A</v>
      </c>
      <c r="AR223" s="92" t="str">
        <f t="shared" si="222"/>
        <v/>
      </c>
      <c r="AS223" s="21" t="str">
        <f t="shared" si="223"/>
        <v/>
      </c>
      <c r="AT223" s="59" t="str">
        <f t="shared" si="208"/>
        <v/>
      </c>
      <c r="AU223" s="105">
        <f t="shared" si="113"/>
        <v>1</v>
      </c>
      <c r="AV223" s="105">
        <f t="shared" si="196"/>
        <v>1</v>
      </c>
      <c r="AW223" s="58">
        <f t="shared" si="197"/>
        <v>2</v>
      </c>
      <c r="AX223" s="58">
        <f t="shared" si="198"/>
        <v>3</v>
      </c>
      <c r="AY223" s="58" t="str">
        <f t="shared" si="199"/>
        <v>avec vannes</v>
      </c>
      <c r="AZ223" s="58" t="str">
        <f t="shared" si="200"/>
        <v>fermé</v>
      </c>
      <c r="BA223" s="60">
        <f t="shared" si="231"/>
        <v>0</v>
      </c>
      <c r="BB223" s="60">
        <f t="shared" si="231"/>
        <v>0</v>
      </c>
      <c r="BC223" s="60">
        <f t="shared" si="231"/>
        <v>0</v>
      </c>
      <c r="BD223" s="60">
        <f t="shared" si="231"/>
        <v>0</v>
      </c>
      <c r="BE223" s="286" t="str">
        <f t="shared" si="209"/>
        <v/>
      </c>
      <c r="BF223" s="58" t="str">
        <f t="shared" si="224"/>
        <v/>
      </c>
      <c r="BG223" s="59" t="str">
        <f t="shared" si="210"/>
        <v/>
      </c>
      <c r="BH223" s="158">
        <f t="shared" ca="1" si="211"/>
        <v>1</v>
      </c>
      <c r="BI223" s="60">
        <f t="shared" ca="1" si="212"/>
        <v>0.15</v>
      </c>
      <c r="BJ223" s="60">
        <f t="shared" si="213"/>
        <v>0.2</v>
      </c>
      <c r="BK223" s="60" t="str">
        <f t="shared" si="225"/>
        <v/>
      </c>
      <c r="BL223" s="21" t="str">
        <f t="shared" si="226"/>
        <v/>
      </c>
      <c r="BM223" s="264" t="str">
        <f t="shared" si="214"/>
        <v/>
      </c>
      <c r="BN223" s="60" t="str">
        <f t="shared" si="227"/>
        <v/>
      </c>
      <c r="BO223" s="136">
        <f t="shared" si="228"/>
        <v>0</v>
      </c>
      <c r="BP223" s="59">
        <f t="shared" si="229"/>
        <v>0</v>
      </c>
      <c r="BQ223" s="136">
        <f t="shared" ca="1" si="215"/>
        <v>1408</v>
      </c>
      <c r="BR223" s="136">
        <f t="shared" ca="1" si="216"/>
        <v>1000.6910299003322</v>
      </c>
      <c r="BS223" s="136">
        <f t="shared" ca="1" si="217"/>
        <v>1468800.6910299002</v>
      </c>
      <c r="BT223" s="136">
        <f t="shared" ca="1" si="218"/>
        <v>313875.61375565955</v>
      </c>
      <c r="BU223" s="136">
        <f t="shared" ca="1" si="219"/>
        <v>1000.6910299003322</v>
      </c>
    </row>
    <row r="224" spans="1:73" x14ac:dyDescent="0.2">
      <c r="A224" s="87" t="str">
        <f>'Etape 2'!A221</f>
        <v/>
      </c>
      <c r="B224" s="87">
        <f>'Etape 2'!B221</f>
        <v>209</v>
      </c>
      <c r="C224" s="87">
        <f ca="1">'Etape 2'!C221</f>
        <v>92</v>
      </c>
      <c r="D224" s="87"/>
      <c r="E224" s="61">
        <f ca="1">RANK(BU224,BU$16:BU$315,0)+COUNTIF(BU$16:BU224,BU224)-1</f>
        <v>92</v>
      </c>
      <c r="F224" s="87" t="str">
        <f>'Etape 2'!D221</f>
        <v/>
      </c>
      <c r="G224" s="87" t="str">
        <f>'Etape 2'!E221</f>
        <v/>
      </c>
      <c r="H224" s="87" t="str">
        <f>'Etape 2'!F221</f>
        <v/>
      </c>
      <c r="I224" s="87" t="str">
        <f>'Etape 2'!G221</f>
        <v/>
      </c>
      <c r="J224" s="87" t="str">
        <f>'Etape 2'!H221</f>
        <v/>
      </c>
      <c r="K224" s="87" t="str">
        <f>'Etape 2'!I221</f>
        <v/>
      </c>
      <c r="L224" s="87">
        <f ca="1">'Etape 2'!J221</f>
        <v>999999</v>
      </c>
      <c r="M224" s="87">
        <f>'Etape 2'!K221</f>
        <v>999</v>
      </c>
      <c r="N224" s="87">
        <f ca="1">'Etape 2'!L221</f>
        <v>209</v>
      </c>
      <c r="O224" s="259">
        <f t="shared" si="202"/>
        <v>0.3</v>
      </c>
      <c r="P224" s="259">
        <f t="shared" si="203"/>
        <v>1.1000000000000001</v>
      </c>
      <c r="Q224" s="260">
        <f t="shared" si="204"/>
        <v>0</v>
      </c>
      <c r="R224" s="261">
        <f t="shared" si="230"/>
        <v>0</v>
      </c>
      <c r="S224" s="87">
        <f>IF(ISBLANK('Etape 2'!N221),0,VLOOKUP('Etape 2'!N221,Matrix_Uebersetzung,2,FALSE))</f>
        <v>0</v>
      </c>
      <c r="T224" s="87">
        <f>IF(ISBLANK('Etape 2'!O221),0,VLOOKUP('Etape 2'!O221,Matrix_Uebersetzung,2,FALSE))</f>
        <v>0</v>
      </c>
      <c r="U224" s="87">
        <f>IF(ISBLANK('Etape 2'!P221),0,VLOOKUP('Etape 2'!P221,Matrix_Uebersetzung,2,FALSE))</f>
        <v>0</v>
      </c>
      <c r="V224" s="87" t="str">
        <f>'Etape 2'!Q221</f>
        <v/>
      </c>
      <c r="W224" s="87">
        <f>'Etape 2'!R221</f>
        <v>0</v>
      </c>
      <c r="X224" s="87" t="str">
        <f>'Etape 2'!S221</f>
        <v/>
      </c>
      <c r="Y224" s="89" t="str">
        <f>'Etape 2'!T221</f>
        <v/>
      </c>
      <c r="Z224" s="87">
        <f>'Etape 2'!U221</f>
        <v>0</v>
      </c>
      <c r="AA224" s="87" t="str">
        <f>'Etape 2'!V221</f>
        <v/>
      </c>
      <c r="AB224" s="87">
        <f>IF(ISNUMBER('Etape 2'!W221),'Etape 2'!W221,0)</f>
        <v>0</v>
      </c>
      <c r="AC224" s="87">
        <f>IF(ISNUMBER('Etape 2'!X221),'Etape 2'!X221,0)</f>
        <v>0</v>
      </c>
      <c r="AD224" s="87">
        <f>IF(ISNUMBER('Etape 2'!Y221),'Etape 2'!Y221,0)</f>
        <v>0</v>
      </c>
      <c r="AE224" s="87">
        <f>IF(ISNUMBER('Etape 2'!Z221),'Etape 2'!Z221,0)</f>
        <v>0</v>
      </c>
      <c r="AF224" s="86">
        <f t="shared" si="220"/>
        <v>999</v>
      </c>
      <c r="AG224" s="288">
        <f t="shared" si="221"/>
        <v>0.25</v>
      </c>
      <c r="AH224" s="181" t="e">
        <f t="shared" si="205"/>
        <v>#VALUE!</v>
      </c>
      <c r="AI224" s="181" t="e">
        <f t="shared" si="190"/>
        <v>#VALUE!</v>
      </c>
      <c r="AJ224" s="86">
        <f t="shared" si="206"/>
        <v>200</v>
      </c>
      <c r="AK224" s="91" t="e">
        <f t="shared" si="207"/>
        <v>#N/A</v>
      </c>
      <c r="AL224" s="91" t="e">
        <f t="shared" si="191"/>
        <v>#N/A</v>
      </c>
      <c r="AM224" s="91">
        <f t="shared" si="109"/>
        <v>6</v>
      </c>
      <c r="AN224" s="91" t="e">
        <f t="shared" si="192"/>
        <v>#N/A</v>
      </c>
      <c r="AO224" s="91" t="e">
        <f t="shared" si="193"/>
        <v>#N/A</v>
      </c>
      <c r="AP224" s="21" t="e">
        <f t="shared" si="194"/>
        <v>#N/A</v>
      </c>
      <c r="AQ224" s="21" t="e">
        <f t="shared" si="195"/>
        <v>#N/A</v>
      </c>
      <c r="AR224" s="92" t="str">
        <f t="shared" si="222"/>
        <v/>
      </c>
      <c r="AS224" s="21" t="str">
        <f t="shared" si="223"/>
        <v/>
      </c>
      <c r="AT224" s="59" t="str">
        <f t="shared" si="208"/>
        <v/>
      </c>
      <c r="AU224" s="105">
        <f t="shared" si="113"/>
        <v>1</v>
      </c>
      <c r="AV224" s="105">
        <f t="shared" si="196"/>
        <v>1</v>
      </c>
      <c r="AW224" s="58">
        <f t="shared" si="197"/>
        <v>2</v>
      </c>
      <c r="AX224" s="58">
        <f t="shared" si="198"/>
        <v>3</v>
      </c>
      <c r="AY224" s="58" t="str">
        <f t="shared" si="199"/>
        <v>avec vannes</v>
      </c>
      <c r="AZ224" s="58" t="str">
        <f t="shared" si="200"/>
        <v>fermé</v>
      </c>
      <c r="BA224" s="60">
        <f t="shared" si="231"/>
        <v>0</v>
      </c>
      <c r="BB224" s="60">
        <f t="shared" si="231"/>
        <v>0</v>
      </c>
      <c r="BC224" s="60">
        <f t="shared" si="231"/>
        <v>0</v>
      </c>
      <c r="BD224" s="60">
        <f t="shared" si="231"/>
        <v>0</v>
      </c>
      <c r="BE224" s="286" t="str">
        <f t="shared" si="209"/>
        <v/>
      </c>
      <c r="BF224" s="58" t="str">
        <f t="shared" si="224"/>
        <v/>
      </c>
      <c r="BG224" s="59" t="str">
        <f t="shared" si="210"/>
        <v/>
      </c>
      <c r="BH224" s="158">
        <f t="shared" ca="1" si="211"/>
        <v>1</v>
      </c>
      <c r="BI224" s="60">
        <f t="shared" ca="1" si="212"/>
        <v>0.15</v>
      </c>
      <c r="BJ224" s="60">
        <f t="shared" si="213"/>
        <v>0.2</v>
      </c>
      <c r="BK224" s="60" t="str">
        <f t="shared" si="225"/>
        <v/>
      </c>
      <c r="BL224" s="21" t="str">
        <f t="shared" si="226"/>
        <v/>
      </c>
      <c r="BM224" s="264" t="str">
        <f t="shared" si="214"/>
        <v/>
      </c>
      <c r="BN224" s="60" t="str">
        <f t="shared" si="227"/>
        <v/>
      </c>
      <c r="BO224" s="136">
        <f t="shared" si="228"/>
        <v>0</v>
      </c>
      <c r="BP224" s="59">
        <f t="shared" si="229"/>
        <v>0</v>
      </c>
      <c r="BQ224" s="136">
        <f t="shared" ca="1" si="215"/>
        <v>1409</v>
      </c>
      <c r="BR224" s="136">
        <f t="shared" ca="1" si="216"/>
        <v>1000.6943521594684</v>
      </c>
      <c r="BS224" s="136">
        <f t="shared" ca="1" si="217"/>
        <v>1468800.6943521595</v>
      </c>
      <c r="BT224" s="136">
        <f t="shared" ca="1" si="218"/>
        <v>313875.61707791867</v>
      </c>
      <c r="BU224" s="136">
        <f t="shared" ca="1" si="219"/>
        <v>1000.6943521594684</v>
      </c>
    </row>
    <row r="225" spans="1:73" x14ac:dyDescent="0.2">
      <c r="A225" s="87" t="str">
        <f>'Etape 2'!A222</f>
        <v/>
      </c>
      <c r="B225" s="87">
        <f>'Etape 2'!B222</f>
        <v>210</v>
      </c>
      <c r="C225" s="87">
        <f ca="1">'Etape 2'!C222</f>
        <v>91</v>
      </c>
      <c r="D225" s="87"/>
      <c r="E225" s="61">
        <f ca="1">RANK(BU225,BU$16:BU$315,0)+COUNTIF(BU$16:BU225,BU225)-1</f>
        <v>91</v>
      </c>
      <c r="F225" s="87" t="str">
        <f>'Etape 2'!D222</f>
        <v/>
      </c>
      <c r="G225" s="87" t="str">
        <f>'Etape 2'!E222</f>
        <v/>
      </c>
      <c r="H225" s="87" t="str">
        <f>'Etape 2'!F222</f>
        <v/>
      </c>
      <c r="I225" s="87" t="str">
        <f>'Etape 2'!G222</f>
        <v/>
      </c>
      <c r="J225" s="87" t="str">
        <f>'Etape 2'!H222</f>
        <v/>
      </c>
      <c r="K225" s="87" t="str">
        <f>'Etape 2'!I222</f>
        <v/>
      </c>
      <c r="L225" s="87">
        <f ca="1">'Etape 2'!J222</f>
        <v>999999</v>
      </c>
      <c r="M225" s="87">
        <f>'Etape 2'!K222</f>
        <v>999</v>
      </c>
      <c r="N225" s="87">
        <f ca="1">'Etape 2'!L222</f>
        <v>210</v>
      </c>
      <c r="O225" s="259">
        <f t="shared" si="202"/>
        <v>0.3</v>
      </c>
      <c r="P225" s="259">
        <f t="shared" si="203"/>
        <v>1.1000000000000001</v>
      </c>
      <c r="Q225" s="260">
        <f t="shared" si="204"/>
        <v>0</v>
      </c>
      <c r="R225" s="261">
        <f t="shared" si="230"/>
        <v>0</v>
      </c>
      <c r="S225" s="87">
        <f>IF(ISBLANK('Etape 2'!N222),0,VLOOKUP('Etape 2'!N222,Matrix_Uebersetzung,2,FALSE))</f>
        <v>0</v>
      </c>
      <c r="T225" s="87">
        <f>IF(ISBLANK('Etape 2'!O222),0,VLOOKUP('Etape 2'!O222,Matrix_Uebersetzung,2,FALSE))</f>
        <v>0</v>
      </c>
      <c r="U225" s="87">
        <f>IF(ISBLANK('Etape 2'!P222),0,VLOOKUP('Etape 2'!P222,Matrix_Uebersetzung,2,FALSE))</f>
        <v>0</v>
      </c>
      <c r="V225" s="87" t="str">
        <f>'Etape 2'!Q222</f>
        <v/>
      </c>
      <c r="W225" s="87">
        <f>'Etape 2'!R222</f>
        <v>0</v>
      </c>
      <c r="X225" s="87" t="str">
        <f>'Etape 2'!S222</f>
        <v/>
      </c>
      <c r="Y225" s="89" t="str">
        <f>'Etape 2'!T222</f>
        <v/>
      </c>
      <c r="Z225" s="87">
        <f>'Etape 2'!U222</f>
        <v>0</v>
      </c>
      <c r="AA225" s="87" t="str">
        <f>'Etape 2'!V222</f>
        <v/>
      </c>
      <c r="AB225" s="87">
        <f>IF(ISNUMBER('Etape 2'!W222),'Etape 2'!W222,0)</f>
        <v>0</v>
      </c>
      <c r="AC225" s="87">
        <f>IF(ISNUMBER('Etape 2'!X222),'Etape 2'!X222,0)</f>
        <v>0</v>
      </c>
      <c r="AD225" s="87">
        <f>IF(ISNUMBER('Etape 2'!Y222),'Etape 2'!Y222,0)</f>
        <v>0</v>
      </c>
      <c r="AE225" s="87">
        <f>IF(ISNUMBER('Etape 2'!Z222),'Etape 2'!Z222,0)</f>
        <v>0</v>
      </c>
      <c r="AF225" s="86">
        <f t="shared" si="220"/>
        <v>999</v>
      </c>
      <c r="AG225" s="288">
        <f t="shared" si="221"/>
        <v>0.25</v>
      </c>
      <c r="AH225" s="181" t="e">
        <f t="shared" si="205"/>
        <v>#VALUE!</v>
      </c>
      <c r="AI225" s="181" t="e">
        <f t="shared" si="190"/>
        <v>#VALUE!</v>
      </c>
      <c r="AJ225" s="86">
        <f t="shared" si="206"/>
        <v>200</v>
      </c>
      <c r="AK225" s="91" t="e">
        <f t="shared" si="207"/>
        <v>#N/A</v>
      </c>
      <c r="AL225" s="91" t="e">
        <f t="shared" si="191"/>
        <v>#N/A</v>
      </c>
      <c r="AM225" s="91">
        <f t="shared" si="109"/>
        <v>6</v>
      </c>
      <c r="AN225" s="91" t="e">
        <f t="shared" si="192"/>
        <v>#N/A</v>
      </c>
      <c r="AO225" s="91" t="e">
        <f t="shared" si="193"/>
        <v>#N/A</v>
      </c>
      <c r="AP225" s="21" t="e">
        <f t="shared" si="194"/>
        <v>#N/A</v>
      </c>
      <c r="AQ225" s="21" t="e">
        <f t="shared" si="195"/>
        <v>#N/A</v>
      </c>
      <c r="AR225" s="92" t="str">
        <f t="shared" si="222"/>
        <v/>
      </c>
      <c r="AS225" s="21" t="str">
        <f t="shared" si="223"/>
        <v/>
      </c>
      <c r="AT225" s="59" t="str">
        <f t="shared" si="208"/>
        <v/>
      </c>
      <c r="AU225" s="105">
        <f t="shared" si="113"/>
        <v>1</v>
      </c>
      <c r="AV225" s="105">
        <f t="shared" si="196"/>
        <v>1</v>
      </c>
      <c r="AW225" s="58">
        <f t="shared" si="197"/>
        <v>2</v>
      </c>
      <c r="AX225" s="58">
        <f t="shared" si="198"/>
        <v>3</v>
      </c>
      <c r="AY225" s="58" t="str">
        <f t="shared" si="199"/>
        <v>avec vannes</v>
      </c>
      <c r="AZ225" s="58" t="str">
        <f t="shared" si="200"/>
        <v>fermé</v>
      </c>
      <c r="BA225" s="60">
        <f t="shared" si="231"/>
        <v>0</v>
      </c>
      <c r="BB225" s="60">
        <f t="shared" si="231"/>
        <v>0</v>
      </c>
      <c r="BC225" s="60">
        <f t="shared" si="231"/>
        <v>0</v>
      </c>
      <c r="BD225" s="60">
        <f t="shared" si="231"/>
        <v>0</v>
      </c>
      <c r="BE225" s="286" t="str">
        <f t="shared" si="209"/>
        <v/>
      </c>
      <c r="BF225" s="58" t="str">
        <f t="shared" si="224"/>
        <v/>
      </c>
      <c r="BG225" s="59" t="str">
        <f t="shared" si="210"/>
        <v/>
      </c>
      <c r="BH225" s="158">
        <f t="shared" ca="1" si="211"/>
        <v>1</v>
      </c>
      <c r="BI225" s="60">
        <f t="shared" ca="1" si="212"/>
        <v>0.15</v>
      </c>
      <c r="BJ225" s="60">
        <f t="shared" si="213"/>
        <v>0.2</v>
      </c>
      <c r="BK225" s="60" t="str">
        <f t="shared" si="225"/>
        <v/>
      </c>
      <c r="BL225" s="21" t="str">
        <f t="shared" si="226"/>
        <v/>
      </c>
      <c r="BM225" s="264" t="str">
        <f t="shared" si="214"/>
        <v/>
      </c>
      <c r="BN225" s="60" t="str">
        <f t="shared" si="227"/>
        <v/>
      </c>
      <c r="BO225" s="136">
        <f t="shared" si="228"/>
        <v>0</v>
      </c>
      <c r="BP225" s="59">
        <f t="shared" si="229"/>
        <v>0</v>
      </c>
      <c r="BQ225" s="136">
        <f t="shared" ca="1" si="215"/>
        <v>1410</v>
      </c>
      <c r="BR225" s="136">
        <f t="shared" ca="1" si="216"/>
        <v>1000.6976744186046</v>
      </c>
      <c r="BS225" s="136">
        <f t="shared" ca="1" si="217"/>
        <v>1468800.6976744186</v>
      </c>
      <c r="BT225" s="136">
        <f t="shared" ca="1" si="218"/>
        <v>313875.62040017784</v>
      </c>
      <c r="BU225" s="136">
        <f t="shared" ca="1" si="219"/>
        <v>1000.6976744186046</v>
      </c>
    </row>
    <row r="226" spans="1:73" x14ac:dyDescent="0.2">
      <c r="A226" s="87" t="str">
        <f>'Etape 2'!A223</f>
        <v/>
      </c>
      <c r="B226" s="87">
        <f>'Etape 2'!B223</f>
        <v>211</v>
      </c>
      <c r="C226" s="87">
        <f ca="1">'Etape 2'!C223</f>
        <v>90</v>
      </c>
      <c r="D226" s="87"/>
      <c r="E226" s="61">
        <f ca="1">RANK(BU226,BU$16:BU$315,0)+COUNTIF(BU$16:BU226,BU226)-1</f>
        <v>90</v>
      </c>
      <c r="F226" s="87" t="str">
        <f>'Etape 2'!D223</f>
        <v/>
      </c>
      <c r="G226" s="87" t="str">
        <f>'Etape 2'!E223</f>
        <v/>
      </c>
      <c r="H226" s="87" t="str">
        <f>'Etape 2'!F223</f>
        <v/>
      </c>
      <c r="I226" s="87" t="str">
        <f>'Etape 2'!G223</f>
        <v/>
      </c>
      <c r="J226" s="87" t="str">
        <f>'Etape 2'!H223</f>
        <v/>
      </c>
      <c r="K226" s="87" t="str">
        <f>'Etape 2'!I223</f>
        <v/>
      </c>
      <c r="L226" s="87">
        <f ca="1">'Etape 2'!J223</f>
        <v>999999</v>
      </c>
      <c r="M226" s="87">
        <f>'Etape 2'!K223</f>
        <v>999</v>
      </c>
      <c r="N226" s="87">
        <f ca="1">'Etape 2'!L223</f>
        <v>211</v>
      </c>
      <c r="O226" s="259">
        <f t="shared" si="202"/>
        <v>0.3</v>
      </c>
      <c r="P226" s="259">
        <f t="shared" si="203"/>
        <v>1.1000000000000001</v>
      </c>
      <c r="Q226" s="260">
        <f t="shared" si="204"/>
        <v>0</v>
      </c>
      <c r="R226" s="261">
        <f t="shared" si="230"/>
        <v>0</v>
      </c>
      <c r="S226" s="87">
        <f>IF(ISBLANK('Etape 2'!N223),0,VLOOKUP('Etape 2'!N223,Matrix_Uebersetzung,2,FALSE))</f>
        <v>0</v>
      </c>
      <c r="T226" s="87">
        <f>IF(ISBLANK('Etape 2'!O223),0,VLOOKUP('Etape 2'!O223,Matrix_Uebersetzung,2,FALSE))</f>
        <v>0</v>
      </c>
      <c r="U226" s="87">
        <f>IF(ISBLANK('Etape 2'!P223),0,VLOOKUP('Etape 2'!P223,Matrix_Uebersetzung,2,FALSE))</f>
        <v>0</v>
      </c>
      <c r="V226" s="87" t="str">
        <f>'Etape 2'!Q223</f>
        <v/>
      </c>
      <c r="W226" s="87">
        <f>'Etape 2'!R223</f>
        <v>0</v>
      </c>
      <c r="X226" s="87" t="str">
        <f>'Etape 2'!S223</f>
        <v/>
      </c>
      <c r="Y226" s="89" t="str">
        <f>'Etape 2'!T223</f>
        <v/>
      </c>
      <c r="Z226" s="87">
        <f>'Etape 2'!U223</f>
        <v>0</v>
      </c>
      <c r="AA226" s="87" t="str">
        <f>'Etape 2'!V223</f>
        <v/>
      </c>
      <c r="AB226" s="87">
        <f>IF(ISNUMBER('Etape 2'!W223),'Etape 2'!W223,0)</f>
        <v>0</v>
      </c>
      <c r="AC226" s="87">
        <f>IF(ISNUMBER('Etape 2'!X223),'Etape 2'!X223,0)</f>
        <v>0</v>
      </c>
      <c r="AD226" s="87">
        <f>IF(ISNUMBER('Etape 2'!Y223),'Etape 2'!Y223,0)</f>
        <v>0</v>
      </c>
      <c r="AE226" s="87">
        <f>IF(ISNUMBER('Etape 2'!Z223),'Etape 2'!Z223,0)</f>
        <v>0</v>
      </c>
      <c r="AF226" s="86">
        <f t="shared" si="220"/>
        <v>999</v>
      </c>
      <c r="AG226" s="288">
        <f t="shared" si="221"/>
        <v>0.25</v>
      </c>
      <c r="AH226" s="181" t="e">
        <f t="shared" si="205"/>
        <v>#VALUE!</v>
      </c>
      <c r="AI226" s="181" t="e">
        <f t="shared" si="190"/>
        <v>#VALUE!</v>
      </c>
      <c r="AJ226" s="86">
        <f t="shared" si="206"/>
        <v>200</v>
      </c>
      <c r="AK226" s="91" t="e">
        <f t="shared" si="207"/>
        <v>#N/A</v>
      </c>
      <c r="AL226" s="91" t="e">
        <f t="shared" si="191"/>
        <v>#N/A</v>
      </c>
      <c r="AM226" s="91">
        <f t="shared" si="109"/>
        <v>6</v>
      </c>
      <c r="AN226" s="91" t="e">
        <f t="shared" si="192"/>
        <v>#N/A</v>
      </c>
      <c r="AO226" s="91" t="e">
        <f t="shared" si="193"/>
        <v>#N/A</v>
      </c>
      <c r="AP226" s="21" t="e">
        <f t="shared" si="194"/>
        <v>#N/A</v>
      </c>
      <c r="AQ226" s="21" t="e">
        <f t="shared" si="195"/>
        <v>#N/A</v>
      </c>
      <c r="AR226" s="92" t="str">
        <f t="shared" si="222"/>
        <v/>
      </c>
      <c r="AS226" s="21" t="str">
        <f t="shared" si="223"/>
        <v/>
      </c>
      <c r="AT226" s="59" t="str">
        <f t="shared" si="208"/>
        <v/>
      </c>
      <c r="AU226" s="105">
        <f t="shared" si="113"/>
        <v>1</v>
      </c>
      <c r="AV226" s="105">
        <f t="shared" si="196"/>
        <v>1</v>
      </c>
      <c r="AW226" s="58">
        <f t="shared" si="197"/>
        <v>2</v>
      </c>
      <c r="AX226" s="58">
        <f t="shared" si="198"/>
        <v>3</v>
      </c>
      <c r="AY226" s="58" t="str">
        <f t="shared" si="199"/>
        <v>avec vannes</v>
      </c>
      <c r="AZ226" s="58" t="str">
        <f t="shared" si="200"/>
        <v>fermé</v>
      </c>
      <c r="BA226" s="60">
        <f t="shared" si="231"/>
        <v>0</v>
      </c>
      <c r="BB226" s="60">
        <f t="shared" si="231"/>
        <v>0</v>
      </c>
      <c r="BC226" s="60">
        <f t="shared" si="231"/>
        <v>0</v>
      </c>
      <c r="BD226" s="60">
        <f t="shared" si="231"/>
        <v>0</v>
      </c>
      <c r="BE226" s="286" t="str">
        <f t="shared" si="209"/>
        <v/>
      </c>
      <c r="BF226" s="58" t="str">
        <f t="shared" si="224"/>
        <v/>
      </c>
      <c r="BG226" s="59" t="str">
        <f t="shared" si="210"/>
        <v/>
      </c>
      <c r="BH226" s="158">
        <f t="shared" ca="1" si="211"/>
        <v>1</v>
      </c>
      <c r="BI226" s="60">
        <f t="shared" ca="1" si="212"/>
        <v>0.15</v>
      </c>
      <c r="BJ226" s="60">
        <f t="shared" si="213"/>
        <v>0.2</v>
      </c>
      <c r="BK226" s="60" t="str">
        <f t="shared" si="225"/>
        <v/>
      </c>
      <c r="BL226" s="21" t="str">
        <f t="shared" si="226"/>
        <v/>
      </c>
      <c r="BM226" s="264" t="str">
        <f t="shared" si="214"/>
        <v/>
      </c>
      <c r="BN226" s="60" t="str">
        <f t="shared" si="227"/>
        <v/>
      </c>
      <c r="BO226" s="136">
        <f t="shared" si="228"/>
        <v>0</v>
      </c>
      <c r="BP226" s="59">
        <f t="shared" si="229"/>
        <v>0</v>
      </c>
      <c r="BQ226" s="136">
        <f t="shared" ca="1" si="215"/>
        <v>1411</v>
      </c>
      <c r="BR226" s="136">
        <f t="shared" ca="1" si="216"/>
        <v>1000.7009966777408</v>
      </c>
      <c r="BS226" s="136">
        <f t="shared" ca="1" si="217"/>
        <v>1468800.7009966779</v>
      </c>
      <c r="BT226" s="136">
        <f t="shared" ca="1" si="218"/>
        <v>313875.62372243695</v>
      </c>
      <c r="BU226" s="136">
        <f t="shared" ca="1" si="219"/>
        <v>1000.7009966777408</v>
      </c>
    </row>
    <row r="227" spans="1:73" x14ac:dyDescent="0.2">
      <c r="A227" s="87" t="str">
        <f>'Etape 2'!A224</f>
        <v/>
      </c>
      <c r="B227" s="87">
        <f>'Etape 2'!B224</f>
        <v>212</v>
      </c>
      <c r="C227" s="87">
        <f ca="1">'Etape 2'!C224</f>
        <v>89</v>
      </c>
      <c r="D227" s="87"/>
      <c r="E227" s="61">
        <f ca="1">RANK(BU227,BU$16:BU$315,0)+COUNTIF(BU$16:BU227,BU227)-1</f>
        <v>89</v>
      </c>
      <c r="F227" s="87" t="str">
        <f>'Etape 2'!D224</f>
        <v/>
      </c>
      <c r="G227" s="87" t="str">
        <f>'Etape 2'!E224</f>
        <v/>
      </c>
      <c r="H227" s="87" t="str">
        <f>'Etape 2'!F224</f>
        <v/>
      </c>
      <c r="I227" s="87" t="str">
        <f>'Etape 2'!G224</f>
        <v/>
      </c>
      <c r="J227" s="87" t="str">
        <f>'Etape 2'!H224</f>
        <v/>
      </c>
      <c r="K227" s="87" t="str">
        <f>'Etape 2'!I224</f>
        <v/>
      </c>
      <c r="L227" s="87">
        <f ca="1">'Etape 2'!J224</f>
        <v>999999</v>
      </c>
      <c r="M227" s="87">
        <f>'Etape 2'!K224</f>
        <v>999</v>
      </c>
      <c r="N227" s="87">
        <f ca="1">'Etape 2'!L224</f>
        <v>212</v>
      </c>
      <c r="O227" s="259">
        <f t="shared" si="202"/>
        <v>0.3</v>
      </c>
      <c r="P227" s="259">
        <f t="shared" si="203"/>
        <v>1.1000000000000001</v>
      </c>
      <c r="Q227" s="260">
        <f t="shared" si="204"/>
        <v>0</v>
      </c>
      <c r="R227" s="261">
        <f t="shared" si="230"/>
        <v>0</v>
      </c>
      <c r="S227" s="87">
        <f>IF(ISBLANK('Etape 2'!N224),0,VLOOKUP('Etape 2'!N224,Matrix_Uebersetzung,2,FALSE))</f>
        <v>0</v>
      </c>
      <c r="T227" s="87">
        <f>IF(ISBLANK('Etape 2'!O224),0,VLOOKUP('Etape 2'!O224,Matrix_Uebersetzung,2,FALSE))</f>
        <v>0</v>
      </c>
      <c r="U227" s="87">
        <f>IF(ISBLANK('Etape 2'!P224),0,VLOOKUP('Etape 2'!P224,Matrix_Uebersetzung,2,FALSE))</f>
        <v>0</v>
      </c>
      <c r="V227" s="87" t="str">
        <f>'Etape 2'!Q224</f>
        <v/>
      </c>
      <c r="W227" s="87">
        <f>'Etape 2'!R224</f>
        <v>0</v>
      </c>
      <c r="X227" s="87" t="str">
        <f>'Etape 2'!S224</f>
        <v/>
      </c>
      <c r="Y227" s="89" t="str">
        <f>'Etape 2'!T224</f>
        <v/>
      </c>
      <c r="Z227" s="87">
        <f>'Etape 2'!U224</f>
        <v>0</v>
      </c>
      <c r="AA227" s="87" t="str">
        <f>'Etape 2'!V224</f>
        <v/>
      </c>
      <c r="AB227" s="87">
        <f>IF(ISNUMBER('Etape 2'!W224),'Etape 2'!W224,0)</f>
        <v>0</v>
      </c>
      <c r="AC227" s="87">
        <f>IF(ISNUMBER('Etape 2'!X224),'Etape 2'!X224,0)</f>
        <v>0</v>
      </c>
      <c r="AD227" s="87">
        <f>IF(ISNUMBER('Etape 2'!Y224),'Etape 2'!Y224,0)</f>
        <v>0</v>
      </c>
      <c r="AE227" s="87">
        <f>IF(ISNUMBER('Etape 2'!Z224),'Etape 2'!Z224,0)</f>
        <v>0</v>
      </c>
      <c r="AF227" s="86">
        <f t="shared" si="220"/>
        <v>999</v>
      </c>
      <c r="AG227" s="288">
        <f t="shared" si="221"/>
        <v>0.25</v>
      </c>
      <c r="AH227" s="181" t="e">
        <f t="shared" si="205"/>
        <v>#VALUE!</v>
      </c>
      <c r="AI227" s="181" t="e">
        <f t="shared" si="190"/>
        <v>#VALUE!</v>
      </c>
      <c r="AJ227" s="86">
        <f t="shared" si="206"/>
        <v>200</v>
      </c>
      <c r="AK227" s="91" t="e">
        <f t="shared" si="207"/>
        <v>#N/A</v>
      </c>
      <c r="AL227" s="91" t="e">
        <f t="shared" si="191"/>
        <v>#N/A</v>
      </c>
      <c r="AM227" s="91">
        <f t="shared" si="109"/>
        <v>6</v>
      </c>
      <c r="AN227" s="91" t="e">
        <f t="shared" si="192"/>
        <v>#N/A</v>
      </c>
      <c r="AO227" s="91" t="e">
        <f t="shared" si="193"/>
        <v>#N/A</v>
      </c>
      <c r="AP227" s="21" t="e">
        <f t="shared" si="194"/>
        <v>#N/A</v>
      </c>
      <c r="AQ227" s="21" t="e">
        <f t="shared" si="195"/>
        <v>#N/A</v>
      </c>
      <c r="AR227" s="92" t="str">
        <f t="shared" si="222"/>
        <v/>
      </c>
      <c r="AS227" s="21" t="str">
        <f t="shared" si="223"/>
        <v/>
      </c>
      <c r="AT227" s="59" t="str">
        <f t="shared" si="208"/>
        <v/>
      </c>
      <c r="AU227" s="105">
        <f t="shared" si="113"/>
        <v>1</v>
      </c>
      <c r="AV227" s="105">
        <f t="shared" si="196"/>
        <v>1</v>
      </c>
      <c r="AW227" s="58">
        <f t="shared" si="197"/>
        <v>2</v>
      </c>
      <c r="AX227" s="58">
        <f t="shared" si="198"/>
        <v>3</v>
      </c>
      <c r="AY227" s="58" t="str">
        <f t="shared" si="199"/>
        <v>avec vannes</v>
      </c>
      <c r="AZ227" s="58" t="str">
        <f t="shared" si="200"/>
        <v>fermé</v>
      </c>
      <c r="BA227" s="60">
        <f t="shared" si="231"/>
        <v>0</v>
      </c>
      <c r="BB227" s="60">
        <f t="shared" si="231"/>
        <v>0</v>
      </c>
      <c r="BC227" s="60">
        <f t="shared" si="231"/>
        <v>0</v>
      </c>
      <c r="BD227" s="60">
        <f t="shared" si="231"/>
        <v>0</v>
      </c>
      <c r="BE227" s="286" t="str">
        <f t="shared" si="209"/>
        <v/>
      </c>
      <c r="BF227" s="58" t="str">
        <f t="shared" si="224"/>
        <v/>
      </c>
      <c r="BG227" s="59" t="str">
        <f t="shared" si="210"/>
        <v/>
      </c>
      <c r="BH227" s="158">
        <f t="shared" ca="1" si="211"/>
        <v>1</v>
      </c>
      <c r="BI227" s="60">
        <f t="shared" ca="1" si="212"/>
        <v>0.15</v>
      </c>
      <c r="BJ227" s="60">
        <f t="shared" si="213"/>
        <v>0.2</v>
      </c>
      <c r="BK227" s="60" t="str">
        <f t="shared" si="225"/>
        <v/>
      </c>
      <c r="BL227" s="21" t="str">
        <f t="shared" si="226"/>
        <v/>
      </c>
      <c r="BM227" s="264" t="str">
        <f t="shared" si="214"/>
        <v/>
      </c>
      <c r="BN227" s="60" t="str">
        <f t="shared" si="227"/>
        <v/>
      </c>
      <c r="BO227" s="136">
        <f t="shared" si="228"/>
        <v>0</v>
      </c>
      <c r="BP227" s="59">
        <f t="shared" si="229"/>
        <v>0</v>
      </c>
      <c r="BQ227" s="136">
        <f t="shared" ca="1" si="215"/>
        <v>1412</v>
      </c>
      <c r="BR227" s="136">
        <f t="shared" ca="1" si="216"/>
        <v>1000.704318936877</v>
      </c>
      <c r="BS227" s="136">
        <f t="shared" ca="1" si="217"/>
        <v>1468800.7043189369</v>
      </c>
      <c r="BT227" s="136">
        <f t="shared" ca="1" si="218"/>
        <v>313875.62704469607</v>
      </c>
      <c r="BU227" s="136">
        <f t="shared" ca="1" si="219"/>
        <v>1000.704318936877</v>
      </c>
    </row>
    <row r="228" spans="1:73" x14ac:dyDescent="0.2">
      <c r="A228" s="87" t="str">
        <f>'Etape 2'!A225</f>
        <v/>
      </c>
      <c r="B228" s="87">
        <f>'Etape 2'!B225</f>
        <v>213</v>
      </c>
      <c r="C228" s="87">
        <f ca="1">'Etape 2'!C225</f>
        <v>88</v>
      </c>
      <c r="D228" s="87"/>
      <c r="E228" s="61">
        <f ca="1">RANK(BU228,BU$16:BU$315,0)+COUNTIF(BU$16:BU228,BU228)-1</f>
        <v>88</v>
      </c>
      <c r="F228" s="87" t="str">
        <f>'Etape 2'!D225</f>
        <v/>
      </c>
      <c r="G228" s="87" t="str">
        <f>'Etape 2'!E225</f>
        <v/>
      </c>
      <c r="H228" s="87" t="str">
        <f>'Etape 2'!F225</f>
        <v/>
      </c>
      <c r="I228" s="87" t="str">
        <f>'Etape 2'!G225</f>
        <v/>
      </c>
      <c r="J228" s="87" t="str">
        <f>'Etape 2'!H225</f>
        <v/>
      </c>
      <c r="K228" s="87" t="str">
        <f>'Etape 2'!I225</f>
        <v/>
      </c>
      <c r="L228" s="87">
        <f ca="1">'Etape 2'!J225</f>
        <v>999999</v>
      </c>
      <c r="M228" s="87">
        <f>'Etape 2'!K225</f>
        <v>999</v>
      </c>
      <c r="N228" s="87">
        <f ca="1">'Etape 2'!L225</f>
        <v>213</v>
      </c>
      <c r="O228" s="259">
        <f t="shared" si="202"/>
        <v>0.3</v>
      </c>
      <c r="P228" s="259">
        <f t="shared" si="203"/>
        <v>1.1000000000000001</v>
      </c>
      <c r="Q228" s="260">
        <f t="shared" si="204"/>
        <v>0</v>
      </c>
      <c r="R228" s="261">
        <f t="shared" si="230"/>
        <v>0</v>
      </c>
      <c r="S228" s="87">
        <f>IF(ISBLANK('Etape 2'!N225),0,VLOOKUP('Etape 2'!N225,Matrix_Uebersetzung,2,FALSE))</f>
        <v>0</v>
      </c>
      <c r="T228" s="87">
        <f>IF(ISBLANK('Etape 2'!O225),0,VLOOKUP('Etape 2'!O225,Matrix_Uebersetzung,2,FALSE))</f>
        <v>0</v>
      </c>
      <c r="U228" s="87">
        <f>IF(ISBLANK('Etape 2'!P225),0,VLOOKUP('Etape 2'!P225,Matrix_Uebersetzung,2,FALSE))</f>
        <v>0</v>
      </c>
      <c r="V228" s="87" t="str">
        <f>'Etape 2'!Q225</f>
        <v/>
      </c>
      <c r="W228" s="87">
        <f>'Etape 2'!R225</f>
        <v>0</v>
      </c>
      <c r="X228" s="87" t="str">
        <f>'Etape 2'!S225</f>
        <v/>
      </c>
      <c r="Y228" s="89" t="str">
        <f>'Etape 2'!T225</f>
        <v/>
      </c>
      <c r="Z228" s="87">
        <f>'Etape 2'!U225</f>
        <v>0</v>
      </c>
      <c r="AA228" s="87" t="str">
        <f>'Etape 2'!V225</f>
        <v/>
      </c>
      <c r="AB228" s="87">
        <f>IF(ISNUMBER('Etape 2'!W225),'Etape 2'!W225,0)</f>
        <v>0</v>
      </c>
      <c r="AC228" s="87">
        <f>IF(ISNUMBER('Etape 2'!X225),'Etape 2'!X225,0)</f>
        <v>0</v>
      </c>
      <c r="AD228" s="87">
        <f>IF(ISNUMBER('Etape 2'!Y225),'Etape 2'!Y225,0)</f>
        <v>0</v>
      </c>
      <c r="AE228" s="87">
        <f>IF(ISNUMBER('Etape 2'!Z225),'Etape 2'!Z225,0)</f>
        <v>0</v>
      </c>
      <c r="AF228" s="86">
        <f t="shared" si="220"/>
        <v>999</v>
      </c>
      <c r="AG228" s="288">
        <f t="shared" si="221"/>
        <v>0.25</v>
      </c>
      <c r="AH228" s="181" t="e">
        <f t="shared" si="205"/>
        <v>#VALUE!</v>
      </c>
      <c r="AI228" s="181" t="e">
        <f t="shared" si="190"/>
        <v>#VALUE!</v>
      </c>
      <c r="AJ228" s="86">
        <f t="shared" si="206"/>
        <v>200</v>
      </c>
      <c r="AK228" s="91" t="e">
        <f t="shared" si="207"/>
        <v>#N/A</v>
      </c>
      <c r="AL228" s="91" t="e">
        <f t="shared" si="191"/>
        <v>#N/A</v>
      </c>
      <c r="AM228" s="91">
        <f t="shared" si="109"/>
        <v>6</v>
      </c>
      <c r="AN228" s="91" t="e">
        <f t="shared" si="192"/>
        <v>#N/A</v>
      </c>
      <c r="AO228" s="91" t="e">
        <f t="shared" si="193"/>
        <v>#N/A</v>
      </c>
      <c r="AP228" s="21" t="e">
        <f t="shared" si="194"/>
        <v>#N/A</v>
      </c>
      <c r="AQ228" s="21" t="e">
        <f t="shared" si="195"/>
        <v>#N/A</v>
      </c>
      <c r="AR228" s="92" t="str">
        <f t="shared" si="222"/>
        <v/>
      </c>
      <c r="AS228" s="21" t="str">
        <f t="shared" si="223"/>
        <v/>
      </c>
      <c r="AT228" s="59" t="str">
        <f t="shared" si="208"/>
        <v/>
      </c>
      <c r="AU228" s="105">
        <f t="shared" si="113"/>
        <v>1</v>
      </c>
      <c r="AV228" s="105">
        <f t="shared" si="196"/>
        <v>1</v>
      </c>
      <c r="AW228" s="58">
        <f t="shared" si="197"/>
        <v>2</v>
      </c>
      <c r="AX228" s="58">
        <f t="shared" si="198"/>
        <v>3</v>
      </c>
      <c r="AY228" s="58" t="str">
        <f t="shared" si="199"/>
        <v>avec vannes</v>
      </c>
      <c r="AZ228" s="58" t="str">
        <f t="shared" si="200"/>
        <v>fermé</v>
      </c>
      <c r="BA228" s="60">
        <f t="shared" si="231"/>
        <v>0</v>
      </c>
      <c r="BB228" s="60">
        <f t="shared" si="231"/>
        <v>0</v>
      </c>
      <c r="BC228" s="60">
        <f t="shared" si="231"/>
        <v>0</v>
      </c>
      <c r="BD228" s="60">
        <f t="shared" si="231"/>
        <v>0</v>
      </c>
      <c r="BE228" s="286" t="str">
        <f t="shared" si="209"/>
        <v/>
      </c>
      <c r="BF228" s="58" t="str">
        <f t="shared" si="224"/>
        <v/>
      </c>
      <c r="BG228" s="59" t="str">
        <f t="shared" si="210"/>
        <v/>
      </c>
      <c r="BH228" s="158">
        <f t="shared" ca="1" si="211"/>
        <v>1</v>
      </c>
      <c r="BI228" s="60">
        <f t="shared" ca="1" si="212"/>
        <v>0.15</v>
      </c>
      <c r="BJ228" s="60">
        <f t="shared" si="213"/>
        <v>0.2</v>
      </c>
      <c r="BK228" s="60" t="str">
        <f t="shared" si="225"/>
        <v/>
      </c>
      <c r="BL228" s="21" t="str">
        <f t="shared" si="226"/>
        <v/>
      </c>
      <c r="BM228" s="264" t="str">
        <f t="shared" si="214"/>
        <v/>
      </c>
      <c r="BN228" s="60" t="str">
        <f t="shared" si="227"/>
        <v/>
      </c>
      <c r="BO228" s="136">
        <f t="shared" si="228"/>
        <v>0</v>
      </c>
      <c r="BP228" s="59">
        <f t="shared" si="229"/>
        <v>0</v>
      </c>
      <c r="BQ228" s="136">
        <f t="shared" ca="1" si="215"/>
        <v>1413</v>
      </c>
      <c r="BR228" s="136">
        <f t="shared" ca="1" si="216"/>
        <v>1000.7076411960132</v>
      </c>
      <c r="BS228" s="136">
        <f t="shared" ca="1" si="217"/>
        <v>1468800.707641196</v>
      </c>
      <c r="BT228" s="136">
        <f t="shared" ca="1" si="218"/>
        <v>313875.63036695524</v>
      </c>
      <c r="BU228" s="136">
        <f t="shared" ca="1" si="219"/>
        <v>1000.7076411960132</v>
      </c>
    </row>
    <row r="229" spans="1:73" x14ac:dyDescent="0.2">
      <c r="A229" s="87" t="str">
        <f>'Etape 2'!A226</f>
        <v/>
      </c>
      <c r="B229" s="87">
        <f>'Etape 2'!B226</f>
        <v>214</v>
      </c>
      <c r="C229" s="87">
        <f ca="1">'Etape 2'!C226</f>
        <v>87</v>
      </c>
      <c r="D229" s="87"/>
      <c r="E229" s="61">
        <f ca="1">RANK(BU229,BU$16:BU$315,0)+COUNTIF(BU$16:BU229,BU229)-1</f>
        <v>87</v>
      </c>
      <c r="F229" s="87" t="str">
        <f>'Etape 2'!D226</f>
        <v/>
      </c>
      <c r="G229" s="87" t="str">
        <f>'Etape 2'!E226</f>
        <v/>
      </c>
      <c r="H229" s="87" t="str">
        <f>'Etape 2'!F226</f>
        <v/>
      </c>
      <c r="I229" s="87" t="str">
        <f>'Etape 2'!G226</f>
        <v/>
      </c>
      <c r="J229" s="87" t="str">
        <f>'Etape 2'!H226</f>
        <v/>
      </c>
      <c r="K229" s="87" t="str">
        <f>'Etape 2'!I226</f>
        <v/>
      </c>
      <c r="L229" s="87">
        <f ca="1">'Etape 2'!J226</f>
        <v>999999</v>
      </c>
      <c r="M229" s="87">
        <f>'Etape 2'!K226</f>
        <v>999</v>
      </c>
      <c r="N229" s="87">
        <f ca="1">'Etape 2'!L226</f>
        <v>214</v>
      </c>
      <c r="O229" s="259">
        <f t="shared" si="202"/>
        <v>0.3</v>
      </c>
      <c r="P229" s="259">
        <f t="shared" si="203"/>
        <v>1.1000000000000001</v>
      </c>
      <c r="Q229" s="260">
        <f t="shared" si="204"/>
        <v>0</v>
      </c>
      <c r="R229" s="261">
        <f t="shared" si="230"/>
        <v>0</v>
      </c>
      <c r="S229" s="87">
        <f>IF(ISBLANK('Etape 2'!N226),0,VLOOKUP('Etape 2'!N226,Matrix_Uebersetzung,2,FALSE))</f>
        <v>0</v>
      </c>
      <c r="T229" s="87">
        <f>IF(ISBLANK('Etape 2'!O226),0,VLOOKUP('Etape 2'!O226,Matrix_Uebersetzung,2,FALSE))</f>
        <v>0</v>
      </c>
      <c r="U229" s="87">
        <f>IF(ISBLANK('Etape 2'!P226),0,VLOOKUP('Etape 2'!P226,Matrix_Uebersetzung,2,FALSE))</f>
        <v>0</v>
      </c>
      <c r="V229" s="87" t="str">
        <f>'Etape 2'!Q226</f>
        <v/>
      </c>
      <c r="W229" s="87">
        <f>'Etape 2'!R226</f>
        <v>0</v>
      </c>
      <c r="X229" s="87" t="str">
        <f>'Etape 2'!S226</f>
        <v/>
      </c>
      <c r="Y229" s="89" t="str">
        <f>'Etape 2'!T226</f>
        <v/>
      </c>
      <c r="Z229" s="87">
        <f>'Etape 2'!U226</f>
        <v>0</v>
      </c>
      <c r="AA229" s="87" t="str">
        <f>'Etape 2'!V226</f>
        <v/>
      </c>
      <c r="AB229" s="87">
        <f>IF(ISNUMBER('Etape 2'!W226),'Etape 2'!W226,0)</f>
        <v>0</v>
      </c>
      <c r="AC229" s="87">
        <f>IF(ISNUMBER('Etape 2'!X226),'Etape 2'!X226,0)</f>
        <v>0</v>
      </c>
      <c r="AD229" s="87">
        <f>IF(ISNUMBER('Etape 2'!Y226),'Etape 2'!Y226,0)</f>
        <v>0</v>
      </c>
      <c r="AE229" s="87">
        <f>IF(ISNUMBER('Etape 2'!Z226),'Etape 2'!Z226,0)</f>
        <v>0</v>
      </c>
      <c r="AF229" s="86">
        <f t="shared" si="220"/>
        <v>999</v>
      </c>
      <c r="AG229" s="288">
        <f t="shared" si="221"/>
        <v>0.25</v>
      </c>
      <c r="AH229" s="181" t="e">
        <f t="shared" si="205"/>
        <v>#VALUE!</v>
      </c>
      <c r="AI229" s="181" t="e">
        <f t="shared" si="190"/>
        <v>#VALUE!</v>
      </c>
      <c r="AJ229" s="86">
        <f t="shared" si="206"/>
        <v>200</v>
      </c>
      <c r="AK229" s="91" t="e">
        <f t="shared" si="207"/>
        <v>#N/A</v>
      </c>
      <c r="AL229" s="91" t="e">
        <f t="shared" si="191"/>
        <v>#N/A</v>
      </c>
      <c r="AM229" s="91">
        <f t="shared" si="109"/>
        <v>6</v>
      </c>
      <c r="AN229" s="91" t="e">
        <f t="shared" si="192"/>
        <v>#N/A</v>
      </c>
      <c r="AO229" s="91" t="e">
        <f t="shared" si="193"/>
        <v>#N/A</v>
      </c>
      <c r="AP229" s="21" t="e">
        <f t="shared" si="194"/>
        <v>#N/A</v>
      </c>
      <c r="AQ229" s="21" t="e">
        <f t="shared" si="195"/>
        <v>#N/A</v>
      </c>
      <c r="AR229" s="92" t="str">
        <f t="shared" si="222"/>
        <v/>
      </c>
      <c r="AS229" s="21" t="str">
        <f t="shared" si="223"/>
        <v/>
      </c>
      <c r="AT229" s="59" t="str">
        <f t="shared" si="208"/>
        <v/>
      </c>
      <c r="AU229" s="105">
        <f t="shared" si="113"/>
        <v>1</v>
      </c>
      <c r="AV229" s="105">
        <f t="shared" si="196"/>
        <v>1</v>
      </c>
      <c r="AW229" s="58">
        <f t="shared" si="197"/>
        <v>2</v>
      </c>
      <c r="AX229" s="58">
        <f t="shared" si="198"/>
        <v>3</v>
      </c>
      <c r="AY229" s="58" t="str">
        <f t="shared" si="199"/>
        <v>avec vannes</v>
      </c>
      <c r="AZ229" s="58" t="str">
        <f t="shared" si="200"/>
        <v>fermé</v>
      </c>
      <c r="BA229" s="60">
        <f t="shared" si="231"/>
        <v>0</v>
      </c>
      <c r="BB229" s="60">
        <f t="shared" si="231"/>
        <v>0</v>
      </c>
      <c r="BC229" s="60">
        <f t="shared" si="231"/>
        <v>0</v>
      </c>
      <c r="BD229" s="60">
        <f t="shared" si="231"/>
        <v>0</v>
      </c>
      <c r="BE229" s="286" t="str">
        <f t="shared" si="209"/>
        <v/>
      </c>
      <c r="BF229" s="58" t="str">
        <f t="shared" si="224"/>
        <v/>
      </c>
      <c r="BG229" s="59" t="str">
        <f t="shared" si="210"/>
        <v/>
      </c>
      <c r="BH229" s="158">
        <f t="shared" ca="1" si="211"/>
        <v>1</v>
      </c>
      <c r="BI229" s="60">
        <f t="shared" ca="1" si="212"/>
        <v>0.15</v>
      </c>
      <c r="BJ229" s="60">
        <f t="shared" si="213"/>
        <v>0.2</v>
      </c>
      <c r="BK229" s="60" t="str">
        <f t="shared" si="225"/>
        <v/>
      </c>
      <c r="BL229" s="21" t="str">
        <f t="shared" si="226"/>
        <v/>
      </c>
      <c r="BM229" s="264" t="str">
        <f t="shared" si="214"/>
        <v/>
      </c>
      <c r="BN229" s="60" t="str">
        <f t="shared" si="227"/>
        <v/>
      </c>
      <c r="BO229" s="136">
        <f t="shared" si="228"/>
        <v>0</v>
      </c>
      <c r="BP229" s="59">
        <f t="shared" si="229"/>
        <v>0</v>
      </c>
      <c r="BQ229" s="136">
        <f t="shared" ca="1" si="215"/>
        <v>1414</v>
      </c>
      <c r="BR229" s="136">
        <f t="shared" ca="1" si="216"/>
        <v>1000.7109634551495</v>
      </c>
      <c r="BS229" s="136">
        <f t="shared" ca="1" si="217"/>
        <v>1468800.7109634553</v>
      </c>
      <c r="BT229" s="136">
        <f t="shared" ca="1" si="218"/>
        <v>313875.63368921436</v>
      </c>
      <c r="BU229" s="136">
        <f t="shared" ca="1" si="219"/>
        <v>1000.7109634551495</v>
      </c>
    </row>
    <row r="230" spans="1:73" x14ac:dyDescent="0.2">
      <c r="A230" s="87" t="str">
        <f>'Etape 2'!A227</f>
        <v/>
      </c>
      <c r="B230" s="87">
        <f>'Etape 2'!B227</f>
        <v>215</v>
      </c>
      <c r="C230" s="87">
        <f ca="1">'Etape 2'!C227</f>
        <v>86</v>
      </c>
      <c r="D230" s="87"/>
      <c r="E230" s="61">
        <f ca="1">RANK(BU230,BU$16:BU$315,0)+COUNTIF(BU$16:BU230,BU230)-1</f>
        <v>86</v>
      </c>
      <c r="F230" s="87" t="str">
        <f>'Etape 2'!D227</f>
        <v/>
      </c>
      <c r="G230" s="87" t="str">
        <f>'Etape 2'!E227</f>
        <v/>
      </c>
      <c r="H230" s="87" t="str">
        <f>'Etape 2'!F227</f>
        <v/>
      </c>
      <c r="I230" s="87" t="str">
        <f>'Etape 2'!G227</f>
        <v/>
      </c>
      <c r="J230" s="87" t="str">
        <f>'Etape 2'!H227</f>
        <v/>
      </c>
      <c r="K230" s="87" t="str">
        <f>'Etape 2'!I227</f>
        <v/>
      </c>
      <c r="L230" s="87">
        <f ca="1">'Etape 2'!J227</f>
        <v>999999</v>
      </c>
      <c r="M230" s="87">
        <f>'Etape 2'!K227</f>
        <v>999</v>
      </c>
      <c r="N230" s="87">
        <f ca="1">'Etape 2'!L227</f>
        <v>215</v>
      </c>
      <c r="O230" s="259">
        <f t="shared" si="202"/>
        <v>0.3</v>
      </c>
      <c r="P230" s="259">
        <f t="shared" si="203"/>
        <v>1.1000000000000001</v>
      </c>
      <c r="Q230" s="260">
        <f t="shared" si="204"/>
        <v>0</v>
      </c>
      <c r="R230" s="261">
        <f t="shared" si="230"/>
        <v>0</v>
      </c>
      <c r="S230" s="87">
        <f>IF(ISBLANK('Etape 2'!N227),0,VLOOKUP('Etape 2'!N227,Matrix_Uebersetzung,2,FALSE))</f>
        <v>0</v>
      </c>
      <c r="T230" s="87">
        <f>IF(ISBLANK('Etape 2'!O227),0,VLOOKUP('Etape 2'!O227,Matrix_Uebersetzung,2,FALSE))</f>
        <v>0</v>
      </c>
      <c r="U230" s="87">
        <f>IF(ISBLANK('Etape 2'!P227),0,VLOOKUP('Etape 2'!P227,Matrix_Uebersetzung,2,FALSE))</f>
        <v>0</v>
      </c>
      <c r="V230" s="87" t="str">
        <f>'Etape 2'!Q227</f>
        <v/>
      </c>
      <c r="W230" s="87">
        <f>'Etape 2'!R227</f>
        <v>0</v>
      </c>
      <c r="X230" s="87" t="str">
        <f>'Etape 2'!S227</f>
        <v/>
      </c>
      <c r="Y230" s="89" t="str">
        <f>'Etape 2'!T227</f>
        <v/>
      </c>
      <c r="Z230" s="87">
        <f>'Etape 2'!U227</f>
        <v>0</v>
      </c>
      <c r="AA230" s="87" t="str">
        <f>'Etape 2'!V227</f>
        <v/>
      </c>
      <c r="AB230" s="87">
        <f>IF(ISNUMBER('Etape 2'!W227),'Etape 2'!W227,0)</f>
        <v>0</v>
      </c>
      <c r="AC230" s="87">
        <f>IF(ISNUMBER('Etape 2'!X227),'Etape 2'!X227,0)</f>
        <v>0</v>
      </c>
      <c r="AD230" s="87">
        <f>IF(ISNUMBER('Etape 2'!Y227),'Etape 2'!Y227,0)</f>
        <v>0</v>
      </c>
      <c r="AE230" s="87">
        <f>IF(ISNUMBER('Etape 2'!Z227),'Etape 2'!Z227,0)</f>
        <v>0</v>
      </c>
      <c r="AF230" s="86">
        <f t="shared" si="220"/>
        <v>999</v>
      </c>
      <c r="AG230" s="288">
        <f t="shared" si="221"/>
        <v>0.25</v>
      </c>
      <c r="AH230" s="181" t="e">
        <f t="shared" si="205"/>
        <v>#VALUE!</v>
      </c>
      <c r="AI230" s="181" t="e">
        <f t="shared" si="190"/>
        <v>#VALUE!</v>
      </c>
      <c r="AJ230" s="86">
        <f t="shared" si="206"/>
        <v>200</v>
      </c>
      <c r="AK230" s="91" t="e">
        <f t="shared" si="207"/>
        <v>#N/A</v>
      </c>
      <c r="AL230" s="91" t="e">
        <f t="shared" si="191"/>
        <v>#N/A</v>
      </c>
      <c r="AM230" s="91">
        <f t="shared" si="109"/>
        <v>6</v>
      </c>
      <c r="AN230" s="91" t="e">
        <f t="shared" si="192"/>
        <v>#N/A</v>
      </c>
      <c r="AO230" s="91" t="e">
        <f t="shared" si="193"/>
        <v>#N/A</v>
      </c>
      <c r="AP230" s="21" t="e">
        <f t="shared" si="194"/>
        <v>#N/A</v>
      </c>
      <c r="AQ230" s="21" t="e">
        <f t="shared" si="195"/>
        <v>#N/A</v>
      </c>
      <c r="AR230" s="92" t="str">
        <f t="shared" si="222"/>
        <v/>
      </c>
      <c r="AS230" s="21" t="str">
        <f t="shared" si="223"/>
        <v/>
      </c>
      <c r="AT230" s="59" t="str">
        <f t="shared" si="208"/>
        <v/>
      </c>
      <c r="AU230" s="105">
        <f t="shared" si="113"/>
        <v>1</v>
      </c>
      <c r="AV230" s="105">
        <f t="shared" si="196"/>
        <v>1</v>
      </c>
      <c r="AW230" s="58">
        <f t="shared" si="197"/>
        <v>2</v>
      </c>
      <c r="AX230" s="58">
        <f t="shared" si="198"/>
        <v>3</v>
      </c>
      <c r="AY230" s="58" t="str">
        <f t="shared" si="199"/>
        <v>avec vannes</v>
      </c>
      <c r="AZ230" s="58" t="str">
        <f t="shared" si="200"/>
        <v>fermé</v>
      </c>
      <c r="BA230" s="60">
        <f t="shared" si="231"/>
        <v>0</v>
      </c>
      <c r="BB230" s="60">
        <f t="shared" si="231"/>
        <v>0</v>
      </c>
      <c r="BC230" s="60">
        <f t="shared" si="231"/>
        <v>0</v>
      </c>
      <c r="BD230" s="60">
        <f t="shared" si="231"/>
        <v>0</v>
      </c>
      <c r="BE230" s="286" t="str">
        <f t="shared" si="209"/>
        <v/>
      </c>
      <c r="BF230" s="58" t="str">
        <f t="shared" si="224"/>
        <v/>
      </c>
      <c r="BG230" s="59" t="str">
        <f t="shared" si="210"/>
        <v/>
      </c>
      <c r="BH230" s="158">
        <f t="shared" ca="1" si="211"/>
        <v>1</v>
      </c>
      <c r="BI230" s="60">
        <f t="shared" ca="1" si="212"/>
        <v>0.15</v>
      </c>
      <c r="BJ230" s="60">
        <f t="shared" si="213"/>
        <v>0.2</v>
      </c>
      <c r="BK230" s="60" t="str">
        <f t="shared" si="225"/>
        <v/>
      </c>
      <c r="BL230" s="21" t="str">
        <f t="shared" si="226"/>
        <v/>
      </c>
      <c r="BM230" s="264" t="str">
        <f t="shared" si="214"/>
        <v/>
      </c>
      <c r="BN230" s="60" t="str">
        <f t="shared" si="227"/>
        <v/>
      </c>
      <c r="BO230" s="136">
        <f t="shared" si="228"/>
        <v>0</v>
      </c>
      <c r="BP230" s="59">
        <f t="shared" si="229"/>
        <v>0</v>
      </c>
      <c r="BQ230" s="136">
        <f t="shared" ca="1" si="215"/>
        <v>1415</v>
      </c>
      <c r="BR230" s="136">
        <f t="shared" ca="1" si="216"/>
        <v>1000.7142857142857</v>
      </c>
      <c r="BS230" s="136">
        <f t="shared" ca="1" si="217"/>
        <v>1468800.7142857143</v>
      </c>
      <c r="BT230" s="136">
        <f t="shared" ca="1" si="218"/>
        <v>313875.63701147347</v>
      </c>
      <c r="BU230" s="136">
        <f t="shared" ca="1" si="219"/>
        <v>1000.7142857142857</v>
      </c>
    </row>
    <row r="231" spans="1:73" x14ac:dyDescent="0.2">
      <c r="A231" s="87" t="str">
        <f>'Etape 2'!A228</f>
        <v/>
      </c>
      <c r="B231" s="87">
        <f>'Etape 2'!B228</f>
        <v>216</v>
      </c>
      <c r="C231" s="87">
        <f ca="1">'Etape 2'!C228</f>
        <v>85</v>
      </c>
      <c r="D231" s="87"/>
      <c r="E231" s="61">
        <f ca="1">RANK(BU231,BU$16:BU$315,0)+COUNTIF(BU$16:BU231,BU231)-1</f>
        <v>85</v>
      </c>
      <c r="F231" s="87" t="str">
        <f>'Etape 2'!D228</f>
        <v/>
      </c>
      <c r="G231" s="87" t="str">
        <f>'Etape 2'!E228</f>
        <v/>
      </c>
      <c r="H231" s="87" t="str">
        <f>'Etape 2'!F228</f>
        <v/>
      </c>
      <c r="I231" s="87" t="str">
        <f>'Etape 2'!G228</f>
        <v/>
      </c>
      <c r="J231" s="87" t="str">
        <f>'Etape 2'!H228</f>
        <v/>
      </c>
      <c r="K231" s="87" t="str">
        <f>'Etape 2'!I228</f>
        <v/>
      </c>
      <c r="L231" s="87">
        <f ca="1">'Etape 2'!J228</f>
        <v>999999</v>
      </c>
      <c r="M231" s="87">
        <f>'Etape 2'!K228</f>
        <v>999</v>
      </c>
      <c r="N231" s="87">
        <f ca="1">'Etape 2'!L228</f>
        <v>216</v>
      </c>
      <c r="O231" s="259">
        <f t="shared" si="202"/>
        <v>0.3</v>
      </c>
      <c r="P231" s="259">
        <f t="shared" si="203"/>
        <v>1.1000000000000001</v>
      </c>
      <c r="Q231" s="260">
        <f t="shared" si="204"/>
        <v>0</v>
      </c>
      <c r="R231" s="261">
        <f t="shared" si="230"/>
        <v>0</v>
      </c>
      <c r="S231" s="87">
        <f>IF(ISBLANK('Etape 2'!N228),0,VLOOKUP('Etape 2'!N228,Matrix_Uebersetzung,2,FALSE))</f>
        <v>0</v>
      </c>
      <c r="T231" s="87">
        <f>IF(ISBLANK('Etape 2'!O228),0,VLOOKUP('Etape 2'!O228,Matrix_Uebersetzung,2,FALSE))</f>
        <v>0</v>
      </c>
      <c r="U231" s="87">
        <f>IF(ISBLANK('Etape 2'!P228),0,VLOOKUP('Etape 2'!P228,Matrix_Uebersetzung,2,FALSE))</f>
        <v>0</v>
      </c>
      <c r="V231" s="87" t="str">
        <f>'Etape 2'!Q228</f>
        <v/>
      </c>
      <c r="W231" s="87">
        <f>'Etape 2'!R228</f>
        <v>0</v>
      </c>
      <c r="X231" s="87" t="str">
        <f>'Etape 2'!S228</f>
        <v/>
      </c>
      <c r="Y231" s="89" t="str">
        <f>'Etape 2'!T228</f>
        <v/>
      </c>
      <c r="Z231" s="87">
        <f>'Etape 2'!U228</f>
        <v>0</v>
      </c>
      <c r="AA231" s="87" t="str">
        <f>'Etape 2'!V228</f>
        <v/>
      </c>
      <c r="AB231" s="87">
        <f>IF(ISNUMBER('Etape 2'!W228),'Etape 2'!W228,0)</f>
        <v>0</v>
      </c>
      <c r="AC231" s="87">
        <f>IF(ISNUMBER('Etape 2'!X228),'Etape 2'!X228,0)</f>
        <v>0</v>
      </c>
      <c r="AD231" s="87">
        <f>IF(ISNUMBER('Etape 2'!Y228),'Etape 2'!Y228,0)</f>
        <v>0</v>
      </c>
      <c r="AE231" s="87">
        <f>IF(ISNUMBER('Etape 2'!Z228),'Etape 2'!Z228,0)</f>
        <v>0</v>
      </c>
      <c r="AF231" s="86">
        <f t="shared" si="220"/>
        <v>999</v>
      </c>
      <c r="AG231" s="288">
        <f t="shared" si="221"/>
        <v>0.25</v>
      </c>
      <c r="AH231" s="181" t="e">
        <f t="shared" si="205"/>
        <v>#VALUE!</v>
      </c>
      <c r="AI231" s="181" t="e">
        <f t="shared" si="190"/>
        <v>#VALUE!</v>
      </c>
      <c r="AJ231" s="86">
        <f t="shared" si="206"/>
        <v>200</v>
      </c>
      <c r="AK231" s="91" t="e">
        <f t="shared" si="207"/>
        <v>#N/A</v>
      </c>
      <c r="AL231" s="91" t="e">
        <f t="shared" si="191"/>
        <v>#N/A</v>
      </c>
      <c r="AM231" s="91">
        <f t="shared" si="109"/>
        <v>6</v>
      </c>
      <c r="AN231" s="91" t="e">
        <f t="shared" si="192"/>
        <v>#N/A</v>
      </c>
      <c r="AO231" s="91" t="e">
        <f t="shared" si="193"/>
        <v>#N/A</v>
      </c>
      <c r="AP231" s="21" t="e">
        <f t="shared" si="194"/>
        <v>#N/A</v>
      </c>
      <c r="AQ231" s="21" t="e">
        <f t="shared" si="195"/>
        <v>#N/A</v>
      </c>
      <c r="AR231" s="92" t="str">
        <f t="shared" si="222"/>
        <v/>
      </c>
      <c r="AS231" s="21" t="str">
        <f t="shared" si="223"/>
        <v/>
      </c>
      <c r="AT231" s="59" t="str">
        <f t="shared" si="208"/>
        <v/>
      </c>
      <c r="AU231" s="105">
        <f t="shared" si="113"/>
        <v>1</v>
      </c>
      <c r="AV231" s="105">
        <f t="shared" si="196"/>
        <v>1</v>
      </c>
      <c r="AW231" s="58">
        <f t="shared" si="197"/>
        <v>2</v>
      </c>
      <c r="AX231" s="58">
        <f t="shared" si="198"/>
        <v>3</v>
      </c>
      <c r="AY231" s="58" t="str">
        <f t="shared" si="199"/>
        <v>avec vannes</v>
      </c>
      <c r="AZ231" s="58" t="str">
        <f t="shared" si="200"/>
        <v>fermé</v>
      </c>
      <c r="BA231" s="60">
        <f t="shared" si="231"/>
        <v>0</v>
      </c>
      <c r="BB231" s="60">
        <f t="shared" si="231"/>
        <v>0</v>
      </c>
      <c r="BC231" s="60">
        <f t="shared" si="231"/>
        <v>0</v>
      </c>
      <c r="BD231" s="60">
        <f t="shared" si="231"/>
        <v>0</v>
      </c>
      <c r="BE231" s="286" t="str">
        <f t="shared" si="209"/>
        <v/>
      </c>
      <c r="BF231" s="58" t="str">
        <f t="shared" si="224"/>
        <v/>
      </c>
      <c r="BG231" s="59" t="str">
        <f t="shared" si="210"/>
        <v/>
      </c>
      <c r="BH231" s="158">
        <f t="shared" ca="1" si="211"/>
        <v>1</v>
      </c>
      <c r="BI231" s="60">
        <f t="shared" ca="1" si="212"/>
        <v>0.15</v>
      </c>
      <c r="BJ231" s="60">
        <f t="shared" si="213"/>
        <v>0.2</v>
      </c>
      <c r="BK231" s="60" t="str">
        <f t="shared" si="225"/>
        <v/>
      </c>
      <c r="BL231" s="21" t="str">
        <f t="shared" si="226"/>
        <v/>
      </c>
      <c r="BM231" s="264" t="str">
        <f t="shared" si="214"/>
        <v/>
      </c>
      <c r="BN231" s="60" t="str">
        <f t="shared" si="227"/>
        <v/>
      </c>
      <c r="BO231" s="136">
        <f t="shared" si="228"/>
        <v>0</v>
      </c>
      <c r="BP231" s="59">
        <f t="shared" si="229"/>
        <v>0</v>
      </c>
      <c r="BQ231" s="136">
        <f t="shared" ca="1" si="215"/>
        <v>1416</v>
      </c>
      <c r="BR231" s="136">
        <f t="shared" ca="1" si="216"/>
        <v>1000.7176079734219</v>
      </c>
      <c r="BS231" s="136">
        <f t="shared" ca="1" si="217"/>
        <v>1468800.7176079734</v>
      </c>
      <c r="BT231" s="136">
        <f t="shared" ca="1" si="218"/>
        <v>313875.64033373265</v>
      </c>
      <c r="BU231" s="136">
        <f t="shared" ca="1" si="219"/>
        <v>1000.7176079734219</v>
      </c>
    </row>
    <row r="232" spans="1:73" x14ac:dyDescent="0.2">
      <c r="A232" s="87" t="str">
        <f>'Etape 2'!A229</f>
        <v/>
      </c>
      <c r="B232" s="87">
        <f>'Etape 2'!B229</f>
        <v>217</v>
      </c>
      <c r="C232" s="87">
        <f ca="1">'Etape 2'!C229</f>
        <v>84</v>
      </c>
      <c r="D232" s="87"/>
      <c r="E232" s="61">
        <f ca="1">RANK(BU232,BU$16:BU$315,0)+COUNTIF(BU$16:BU232,BU232)-1</f>
        <v>84</v>
      </c>
      <c r="F232" s="87" t="str">
        <f>'Etape 2'!D229</f>
        <v/>
      </c>
      <c r="G232" s="87" t="str">
        <f>'Etape 2'!E229</f>
        <v/>
      </c>
      <c r="H232" s="87" t="str">
        <f>'Etape 2'!F229</f>
        <v/>
      </c>
      <c r="I232" s="87" t="str">
        <f>'Etape 2'!G229</f>
        <v/>
      </c>
      <c r="J232" s="87" t="str">
        <f>'Etape 2'!H229</f>
        <v/>
      </c>
      <c r="K232" s="87" t="str">
        <f>'Etape 2'!I229</f>
        <v/>
      </c>
      <c r="L232" s="87">
        <f ca="1">'Etape 2'!J229</f>
        <v>999999</v>
      </c>
      <c r="M232" s="87">
        <f>'Etape 2'!K229</f>
        <v>999</v>
      </c>
      <c r="N232" s="87">
        <f ca="1">'Etape 2'!L229</f>
        <v>217</v>
      </c>
      <c r="O232" s="259">
        <f t="shared" si="202"/>
        <v>0.3</v>
      </c>
      <c r="P232" s="259">
        <f t="shared" si="203"/>
        <v>1.1000000000000001</v>
      </c>
      <c r="Q232" s="260">
        <f t="shared" si="204"/>
        <v>0</v>
      </c>
      <c r="R232" s="261">
        <f t="shared" si="230"/>
        <v>0</v>
      </c>
      <c r="S232" s="87">
        <f>IF(ISBLANK('Etape 2'!N229),0,VLOOKUP('Etape 2'!N229,Matrix_Uebersetzung,2,FALSE))</f>
        <v>0</v>
      </c>
      <c r="T232" s="87">
        <f>IF(ISBLANK('Etape 2'!O229),0,VLOOKUP('Etape 2'!O229,Matrix_Uebersetzung,2,FALSE))</f>
        <v>0</v>
      </c>
      <c r="U232" s="87">
        <f>IF(ISBLANK('Etape 2'!P229),0,VLOOKUP('Etape 2'!P229,Matrix_Uebersetzung,2,FALSE))</f>
        <v>0</v>
      </c>
      <c r="V232" s="87" t="str">
        <f>'Etape 2'!Q229</f>
        <v/>
      </c>
      <c r="W232" s="87">
        <f>'Etape 2'!R229</f>
        <v>0</v>
      </c>
      <c r="X232" s="87" t="str">
        <f>'Etape 2'!S229</f>
        <v/>
      </c>
      <c r="Y232" s="89" t="str">
        <f>'Etape 2'!T229</f>
        <v/>
      </c>
      <c r="Z232" s="87">
        <f>'Etape 2'!U229</f>
        <v>0</v>
      </c>
      <c r="AA232" s="87" t="str">
        <f>'Etape 2'!V229</f>
        <v/>
      </c>
      <c r="AB232" s="87">
        <f>IF(ISNUMBER('Etape 2'!W229),'Etape 2'!W229,0)</f>
        <v>0</v>
      </c>
      <c r="AC232" s="87">
        <f>IF(ISNUMBER('Etape 2'!X229),'Etape 2'!X229,0)</f>
        <v>0</v>
      </c>
      <c r="AD232" s="87">
        <f>IF(ISNUMBER('Etape 2'!Y229),'Etape 2'!Y229,0)</f>
        <v>0</v>
      </c>
      <c r="AE232" s="87">
        <f>IF(ISNUMBER('Etape 2'!Z229),'Etape 2'!Z229,0)</f>
        <v>0</v>
      </c>
      <c r="AF232" s="86">
        <f t="shared" si="220"/>
        <v>999</v>
      </c>
      <c r="AG232" s="288">
        <f t="shared" si="221"/>
        <v>0.25</v>
      </c>
      <c r="AH232" s="181" t="e">
        <f t="shared" si="205"/>
        <v>#VALUE!</v>
      </c>
      <c r="AI232" s="181" t="e">
        <f t="shared" si="190"/>
        <v>#VALUE!</v>
      </c>
      <c r="AJ232" s="86">
        <f t="shared" si="206"/>
        <v>200</v>
      </c>
      <c r="AK232" s="91" t="e">
        <f t="shared" si="207"/>
        <v>#N/A</v>
      </c>
      <c r="AL232" s="91" t="e">
        <f t="shared" si="191"/>
        <v>#N/A</v>
      </c>
      <c r="AM232" s="91">
        <f t="shared" si="109"/>
        <v>6</v>
      </c>
      <c r="AN232" s="91" t="e">
        <f t="shared" si="192"/>
        <v>#N/A</v>
      </c>
      <c r="AO232" s="91" t="e">
        <f t="shared" si="193"/>
        <v>#N/A</v>
      </c>
      <c r="AP232" s="21" t="e">
        <f t="shared" si="194"/>
        <v>#N/A</v>
      </c>
      <c r="AQ232" s="21" t="e">
        <f t="shared" si="195"/>
        <v>#N/A</v>
      </c>
      <c r="AR232" s="92" t="str">
        <f t="shared" si="222"/>
        <v/>
      </c>
      <c r="AS232" s="21" t="str">
        <f t="shared" si="223"/>
        <v/>
      </c>
      <c r="AT232" s="59" t="str">
        <f t="shared" si="208"/>
        <v/>
      </c>
      <c r="AU232" s="105">
        <f t="shared" si="113"/>
        <v>1</v>
      </c>
      <c r="AV232" s="105">
        <f t="shared" si="196"/>
        <v>1</v>
      </c>
      <c r="AW232" s="58">
        <f t="shared" si="197"/>
        <v>2</v>
      </c>
      <c r="AX232" s="58">
        <f t="shared" si="198"/>
        <v>3</v>
      </c>
      <c r="AY232" s="58" t="str">
        <f t="shared" si="199"/>
        <v>avec vannes</v>
      </c>
      <c r="AZ232" s="58" t="str">
        <f t="shared" si="200"/>
        <v>fermé</v>
      </c>
      <c r="BA232" s="60">
        <f t="shared" si="231"/>
        <v>0</v>
      </c>
      <c r="BB232" s="60">
        <f t="shared" si="231"/>
        <v>0</v>
      </c>
      <c r="BC232" s="60">
        <f t="shared" si="231"/>
        <v>0</v>
      </c>
      <c r="BD232" s="60">
        <f t="shared" si="231"/>
        <v>0</v>
      </c>
      <c r="BE232" s="286" t="str">
        <f t="shared" si="209"/>
        <v/>
      </c>
      <c r="BF232" s="58" t="str">
        <f t="shared" si="224"/>
        <v/>
      </c>
      <c r="BG232" s="59" t="str">
        <f t="shared" si="210"/>
        <v/>
      </c>
      <c r="BH232" s="158">
        <f t="shared" ca="1" si="211"/>
        <v>1</v>
      </c>
      <c r="BI232" s="60">
        <f t="shared" ca="1" si="212"/>
        <v>0.15</v>
      </c>
      <c r="BJ232" s="60">
        <f t="shared" si="213"/>
        <v>0.2</v>
      </c>
      <c r="BK232" s="60" t="str">
        <f t="shared" si="225"/>
        <v/>
      </c>
      <c r="BL232" s="21" t="str">
        <f t="shared" si="226"/>
        <v/>
      </c>
      <c r="BM232" s="264" t="str">
        <f t="shared" si="214"/>
        <v/>
      </c>
      <c r="BN232" s="60" t="str">
        <f t="shared" si="227"/>
        <v/>
      </c>
      <c r="BO232" s="136">
        <f t="shared" si="228"/>
        <v>0</v>
      </c>
      <c r="BP232" s="59">
        <f t="shared" si="229"/>
        <v>0</v>
      </c>
      <c r="BQ232" s="136">
        <f t="shared" ca="1" si="215"/>
        <v>1417</v>
      </c>
      <c r="BR232" s="136">
        <f t="shared" ca="1" si="216"/>
        <v>1000.7209302325581</v>
      </c>
      <c r="BS232" s="136">
        <f t="shared" ca="1" si="217"/>
        <v>1468800.7209302327</v>
      </c>
      <c r="BT232" s="136">
        <f t="shared" ca="1" si="218"/>
        <v>313875.64365599176</v>
      </c>
      <c r="BU232" s="136">
        <f t="shared" ca="1" si="219"/>
        <v>1000.7209302325581</v>
      </c>
    </row>
    <row r="233" spans="1:73" x14ac:dyDescent="0.2">
      <c r="A233" s="87" t="str">
        <f>'Etape 2'!A230</f>
        <v/>
      </c>
      <c r="B233" s="87">
        <f>'Etape 2'!B230</f>
        <v>218</v>
      </c>
      <c r="C233" s="87">
        <f ca="1">'Etape 2'!C230</f>
        <v>83</v>
      </c>
      <c r="D233" s="87"/>
      <c r="E233" s="61">
        <f ca="1">RANK(BU233,BU$16:BU$315,0)+COUNTIF(BU$16:BU233,BU233)-1</f>
        <v>83</v>
      </c>
      <c r="F233" s="87" t="str">
        <f>'Etape 2'!D230</f>
        <v/>
      </c>
      <c r="G233" s="87" t="str">
        <f>'Etape 2'!E230</f>
        <v/>
      </c>
      <c r="H233" s="87" t="str">
        <f>'Etape 2'!F230</f>
        <v/>
      </c>
      <c r="I233" s="87" t="str">
        <f>'Etape 2'!G230</f>
        <v/>
      </c>
      <c r="J233" s="87" t="str">
        <f>'Etape 2'!H230</f>
        <v/>
      </c>
      <c r="K233" s="87" t="str">
        <f>'Etape 2'!I230</f>
        <v/>
      </c>
      <c r="L233" s="87">
        <f ca="1">'Etape 2'!J230</f>
        <v>999999</v>
      </c>
      <c r="M233" s="87">
        <f>'Etape 2'!K230</f>
        <v>999</v>
      </c>
      <c r="N233" s="87">
        <f ca="1">'Etape 2'!L230</f>
        <v>218</v>
      </c>
      <c r="O233" s="259">
        <f t="shared" si="202"/>
        <v>0.3</v>
      </c>
      <c r="P233" s="259">
        <f t="shared" si="203"/>
        <v>1.1000000000000001</v>
      </c>
      <c r="Q233" s="260">
        <f t="shared" si="204"/>
        <v>0</v>
      </c>
      <c r="R233" s="261">
        <f t="shared" si="230"/>
        <v>0</v>
      </c>
      <c r="S233" s="87">
        <f>IF(ISBLANK('Etape 2'!N230),0,VLOOKUP('Etape 2'!N230,Matrix_Uebersetzung,2,FALSE))</f>
        <v>0</v>
      </c>
      <c r="T233" s="87">
        <f>IF(ISBLANK('Etape 2'!O230),0,VLOOKUP('Etape 2'!O230,Matrix_Uebersetzung,2,FALSE))</f>
        <v>0</v>
      </c>
      <c r="U233" s="87">
        <f>IF(ISBLANK('Etape 2'!P230),0,VLOOKUP('Etape 2'!P230,Matrix_Uebersetzung,2,FALSE))</f>
        <v>0</v>
      </c>
      <c r="V233" s="87" t="str">
        <f>'Etape 2'!Q230</f>
        <v/>
      </c>
      <c r="W233" s="87">
        <f>'Etape 2'!R230</f>
        <v>0</v>
      </c>
      <c r="X233" s="87" t="str">
        <f>'Etape 2'!S230</f>
        <v/>
      </c>
      <c r="Y233" s="89" t="str">
        <f>'Etape 2'!T230</f>
        <v/>
      </c>
      <c r="Z233" s="87">
        <f>'Etape 2'!U230</f>
        <v>0</v>
      </c>
      <c r="AA233" s="87" t="str">
        <f>'Etape 2'!V230</f>
        <v/>
      </c>
      <c r="AB233" s="87">
        <f>IF(ISNUMBER('Etape 2'!W230),'Etape 2'!W230,0)</f>
        <v>0</v>
      </c>
      <c r="AC233" s="87">
        <f>IF(ISNUMBER('Etape 2'!X230),'Etape 2'!X230,0)</f>
        <v>0</v>
      </c>
      <c r="AD233" s="87">
        <f>IF(ISNUMBER('Etape 2'!Y230),'Etape 2'!Y230,0)</f>
        <v>0</v>
      </c>
      <c r="AE233" s="87">
        <f>IF(ISNUMBER('Etape 2'!Z230),'Etape 2'!Z230,0)</f>
        <v>0</v>
      </c>
      <c r="AF233" s="86">
        <f t="shared" si="220"/>
        <v>999</v>
      </c>
      <c r="AG233" s="288">
        <f t="shared" si="221"/>
        <v>0.25</v>
      </c>
      <c r="AH233" s="181" t="e">
        <f t="shared" si="205"/>
        <v>#VALUE!</v>
      </c>
      <c r="AI233" s="181" t="e">
        <f t="shared" si="190"/>
        <v>#VALUE!</v>
      </c>
      <c r="AJ233" s="86">
        <f t="shared" si="206"/>
        <v>200</v>
      </c>
      <c r="AK233" s="91" t="e">
        <f t="shared" si="207"/>
        <v>#N/A</v>
      </c>
      <c r="AL233" s="91" t="e">
        <f t="shared" si="191"/>
        <v>#N/A</v>
      </c>
      <c r="AM233" s="91">
        <f t="shared" si="109"/>
        <v>6</v>
      </c>
      <c r="AN233" s="91" t="e">
        <f t="shared" si="192"/>
        <v>#N/A</v>
      </c>
      <c r="AO233" s="91" t="e">
        <f t="shared" si="193"/>
        <v>#N/A</v>
      </c>
      <c r="AP233" s="21" t="e">
        <f t="shared" si="194"/>
        <v>#N/A</v>
      </c>
      <c r="AQ233" s="21" t="e">
        <f t="shared" si="195"/>
        <v>#N/A</v>
      </c>
      <c r="AR233" s="92" t="str">
        <f t="shared" si="222"/>
        <v/>
      </c>
      <c r="AS233" s="21" t="str">
        <f t="shared" si="223"/>
        <v/>
      </c>
      <c r="AT233" s="59" t="str">
        <f t="shared" si="208"/>
        <v/>
      </c>
      <c r="AU233" s="105">
        <f t="shared" si="113"/>
        <v>1</v>
      </c>
      <c r="AV233" s="105">
        <f t="shared" si="196"/>
        <v>1</v>
      </c>
      <c r="AW233" s="58">
        <f t="shared" si="197"/>
        <v>2</v>
      </c>
      <c r="AX233" s="58">
        <f t="shared" si="198"/>
        <v>3</v>
      </c>
      <c r="AY233" s="58" t="str">
        <f t="shared" si="199"/>
        <v>avec vannes</v>
      </c>
      <c r="AZ233" s="58" t="str">
        <f t="shared" si="200"/>
        <v>fermé</v>
      </c>
      <c r="BA233" s="60">
        <f t="shared" si="231"/>
        <v>0</v>
      </c>
      <c r="BB233" s="60">
        <f t="shared" si="231"/>
        <v>0</v>
      </c>
      <c r="BC233" s="60">
        <f t="shared" si="231"/>
        <v>0</v>
      </c>
      <c r="BD233" s="60">
        <f t="shared" si="231"/>
        <v>0</v>
      </c>
      <c r="BE233" s="286" t="str">
        <f t="shared" si="209"/>
        <v/>
      </c>
      <c r="BF233" s="58" t="str">
        <f t="shared" si="224"/>
        <v/>
      </c>
      <c r="BG233" s="59" t="str">
        <f t="shared" si="210"/>
        <v/>
      </c>
      <c r="BH233" s="158">
        <f t="shared" ca="1" si="211"/>
        <v>1</v>
      </c>
      <c r="BI233" s="60">
        <f t="shared" ca="1" si="212"/>
        <v>0.15</v>
      </c>
      <c r="BJ233" s="60">
        <f t="shared" si="213"/>
        <v>0.2</v>
      </c>
      <c r="BK233" s="60" t="str">
        <f t="shared" si="225"/>
        <v/>
      </c>
      <c r="BL233" s="21" t="str">
        <f t="shared" si="226"/>
        <v/>
      </c>
      <c r="BM233" s="264" t="str">
        <f t="shared" si="214"/>
        <v/>
      </c>
      <c r="BN233" s="60" t="str">
        <f t="shared" si="227"/>
        <v/>
      </c>
      <c r="BO233" s="136">
        <f t="shared" si="228"/>
        <v>0</v>
      </c>
      <c r="BP233" s="59">
        <f t="shared" si="229"/>
        <v>0</v>
      </c>
      <c r="BQ233" s="136">
        <f t="shared" ca="1" si="215"/>
        <v>1418</v>
      </c>
      <c r="BR233" s="136">
        <f t="shared" ca="1" si="216"/>
        <v>1000.7242524916943</v>
      </c>
      <c r="BS233" s="136">
        <f t="shared" ca="1" si="217"/>
        <v>1468800.7242524917</v>
      </c>
      <c r="BT233" s="136">
        <f t="shared" ca="1" si="218"/>
        <v>313875.64697825088</v>
      </c>
      <c r="BU233" s="136">
        <f t="shared" ca="1" si="219"/>
        <v>1000.7242524916943</v>
      </c>
    </row>
    <row r="234" spans="1:73" x14ac:dyDescent="0.2">
      <c r="A234" s="87" t="str">
        <f>'Etape 2'!A231</f>
        <v/>
      </c>
      <c r="B234" s="87">
        <f>'Etape 2'!B231</f>
        <v>219</v>
      </c>
      <c r="C234" s="87">
        <f ca="1">'Etape 2'!C231</f>
        <v>82</v>
      </c>
      <c r="D234" s="87"/>
      <c r="E234" s="61">
        <f ca="1">RANK(BU234,BU$16:BU$315,0)+COUNTIF(BU$16:BU234,BU234)-1</f>
        <v>82</v>
      </c>
      <c r="F234" s="87" t="str">
        <f>'Etape 2'!D231</f>
        <v/>
      </c>
      <c r="G234" s="87" t="str">
        <f>'Etape 2'!E231</f>
        <v/>
      </c>
      <c r="H234" s="87" t="str">
        <f>'Etape 2'!F231</f>
        <v/>
      </c>
      <c r="I234" s="87" t="str">
        <f>'Etape 2'!G231</f>
        <v/>
      </c>
      <c r="J234" s="87" t="str">
        <f>'Etape 2'!H231</f>
        <v/>
      </c>
      <c r="K234" s="87" t="str">
        <f>'Etape 2'!I231</f>
        <v/>
      </c>
      <c r="L234" s="87">
        <f ca="1">'Etape 2'!J231</f>
        <v>999999</v>
      </c>
      <c r="M234" s="87">
        <f>'Etape 2'!K231</f>
        <v>999</v>
      </c>
      <c r="N234" s="87">
        <f ca="1">'Etape 2'!L231</f>
        <v>219</v>
      </c>
      <c r="O234" s="259">
        <f t="shared" si="202"/>
        <v>0.3</v>
      </c>
      <c r="P234" s="259">
        <f t="shared" si="203"/>
        <v>1.1000000000000001</v>
      </c>
      <c r="Q234" s="260">
        <f t="shared" si="204"/>
        <v>0</v>
      </c>
      <c r="R234" s="261">
        <f t="shared" si="230"/>
        <v>0</v>
      </c>
      <c r="S234" s="87">
        <f>IF(ISBLANK('Etape 2'!N231),0,VLOOKUP('Etape 2'!N231,Matrix_Uebersetzung,2,FALSE))</f>
        <v>0</v>
      </c>
      <c r="T234" s="87">
        <f>IF(ISBLANK('Etape 2'!O231),0,VLOOKUP('Etape 2'!O231,Matrix_Uebersetzung,2,FALSE))</f>
        <v>0</v>
      </c>
      <c r="U234" s="87">
        <f>IF(ISBLANK('Etape 2'!P231),0,VLOOKUP('Etape 2'!P231,Matrix_Uebersetzung,2,FALSE))</f>
        <v>0</v>
      </c>
      <c r="V234" s="87" t="str">
        <f>'Etape 2'!Q231</f>
        <v/>
      </c>
      <c r="W234" s="87">
        <f>'Etape 2'!R231</f>
        <v>0</v>
      </c>
      <c r="X234" s="87" t="str">
        <f>'Etape 2'!S231</f>
        <v/>
      </c>
      <c r="Y234" s="89" t="str">
        <f>'Etape 2'!T231</f>
        <v/>
      </c>
      <c r="Z234" s="87">
        <f>'Etape 2'!U231</f>
        <v>0</v>
      </c>
      <c r="AA234" s="87" t="str">
        <f>'Etape 2'!V231</f>
        <v/>
      </c>
      <c r="AB234" s="87">
        <f>IF(ISNUMBER('Etape 2'!W231),'Etape 2'!W231,0)</f>
        <v>0</v>
      </c>
      <c r="AC234" s="87">
        <f>IF(ISNUMBER('Etape 2'!X231),'Etape 2'!X231,0)</f>
        <v>0</v>
      </c>
      <c r="AD234" s="87">
        <f>IF(ISNUMBER('Etape 2'!Y231),'Etape 2'!Y231,0)</f>
        <v>0</v>
      </c>
      <c r="AE234" s="87">
        <f>IF(ISNUMBER('Etape 2'!Z231),'Etape 2'!Z231,0)</f>
        <v>0</v>
      </c>
      <c r="AF234" s="86">
        <f t="shared" si="220"/>
        <v>999</v>
      </c>
      <c r="AG234" s="288">
        <f t="shared" si="221"/>
        <v>0.25</v>
      </c>
      <c r="AH234" s="181" t="e">
        <f t="shared" si="205"/>
        <v>#VALUE!</v>
      </c>
      <c r="AI234" s="181" t="e">
        <f t="shared" si="190"/>
        <v>#VALUE!</v>
      </c>
      <c r="AJ234" s="86">
        <f t="shared" si="206"/>
        <v>200</v>
      </c>
      <c r="AK234" s="91" t="e">
        <f t="shared" si="207"/>
        <v>#N/A</v>
      </c>
      <c r="AL234" s="91" t="e">
        <f t="shared" si="191"/>
        <v>#N/A</v>
      </c>
      <c r="AM234" s="91">
        <f t="shared" si="109"/>
        <v>6</v>
      </c>
      <c r="AN234" s="91" t="e">
        <f t="shared" si="192"/>
        <v>#N/A</v>
      </c>
      <c r="AO234" s="91" t="e">
        <f t="shared" si="193"/>
        <v>#N/A</v>
      </c>
      <c r="AP234" s="21" t="e">
        <f t="shared" si="194"/>
        <v>#N/A</v>
      </c>
      <c r="AQ234" s="21" t="e">
        <f t="shared" si="195"/>
        <v>#N/A</v>
      </c>
      <c r="AR234" s="92" t="str">
        <f t="shared" si="222"/>
        <v/>
      </c>
      <c r="AS234" s="21" t="str">
        <f t="shared" si="223"/>
        <v/>
      </c>
      <c r="AT234" s="59" t="str">
        <f t="shared" si="208"/>
        <v/>
      </c>
      <c r="AU234" s="105">
        <f t="shared" si="113"/>
        <v>1</v>
      </c>
      <c r="AV234" s="105">
        <f t="shared" si="196"/>
        <v>1</v>
      </c>
      <c r="AW234" s="58">
        <f t="shared" si="197"/>
        <v>2</v>
      </c>
      <c r="AX234" s="58">
        <f t="shared" si="198"/>
        <v>3</v>
      </c>
      <c r="AY234" s="58" t="str">
        <f t="shared" si="199"/>
        <v>avec vannes</v>
      </c>
      <c r="AZ234" s="58" t="str">
        <f t="shared" si="200"/>
        <v>fermé</v>
      </c>
      <c r="BA234" s="60">
        <f t="shared" si="231"/>
        <v>0</v>
      </c>
      <c r="BB234" s="60">
        <f t="shared" si="231"/>
        <v>0</v>
      </c>
      <c r="BC234" s="60">
        <f t="shared" si="231"/>
        <v>0</v>
      </c>
      <c r="BD234" s="60">
        <f t="shared" si="231"/>
        <v>0</v>
      </c>
      <c r="BE234" s="286" t="str">
        <f t="shared" si="209"/>
        <v/>
      </c>
      <c r="BF234" s="58" t="str">
        <f t="shared" si="224"/>
        <v/>
      </c>
      <c r="BG234" s="59" t="str">
        <f t="shared" si="210"/>
        <v/>
      </c>
      <c r="BH234" s="158">
        <f t="shared" ca="1" si="211"/>
        <v>1</v>
      </c>
      <c r="BI234" s="60">
        <f t="shared" ca="1" si="212"/>
        <v>0.15</v>
      </c>
      <c r="BJ234" s="60">
        <f t="shared" si="213"/>
        <v>0.2</v>
      </c>
      <c r="BK234" s="60" t="str">
        <f t="shared" si="225"/>
        <v/>
      </c>
      <c r="BL234" s="21" t="str">
        <f t="shared" si="226"/>
        <v/>
      </c>
      <c r="BM234" s="264" t="str">
        <f t="shared" si="214"/>
        <v/>
      </c>
      <c r="BN234" s="60" t="str">
        <f t="shared" si="227"/>
        <v/>
      </c>
      <c r="BO234" s="136">
        <f t="shared" si="228"/>
        <v>0</v>
      </c>
      <c r="BP234" s="59">
        <f t="shared" si="229"/>
        <v>0</v>
      </c>
      <c r="BQ234" s="136">
        <f t="shared" ca="1" si="215"/>
        <v>1419</v>
      </c>
      <c r="BR234" s="136">
        <f t="shared" ca="1" si="216"/>
        <v>1000.7275747508305</v>
      </c>
      <c r="BS234" s="136">
        <f t="shared" ca="1" si="217"/>
        <v>1468800.7275747508</v>
      </c>
      <c r="BT234" s="136">
        <f t="shared" ca="1" si="218"/>
        <v>313875.65030051005</v>
      </c>
      <c r="BU234" s="136">
        <f t="shared" ca="1" si="219"/>
        <v>1000.7275747508305</v>
      </c>
    </row>
    <row r="235" spans="1:73" x14ac:dyDescent="0.2">
      <c r="A235" s="87" t="str">
        <f>'Etape 2'!A232</f>
        <v/>
      </c>
      <c r="B235" s="87">
        <f>'Etape 2'!B232</f>
        <v>220</v>
      </c>
      <c r="C235" s="87">
        <f ca="1">'Etape 2'!C232</f>
        <v>81</v>
      </c>
      <c r="D235" s="87"/>
      <c r="E235" s="61">
        <f ca="1">RANK(BU235,BU$16:BU$315,0)+COUNTIF(BU$16:BU235,BU235)-1</f>
        <v>81</v>
      </c>
      <c r="F235" s="87" t="str">
        <f>'Etape 2'!D232</f>
        <v/>
      </c>
      <c r="G235" s="87" t="str">
        <f>'Etape 2'!E232</f>
        <v/>
      </c>
      <c r="H235" s="87" t="str">
        <f>'Etape 2'!F232</f>
        <v/>
      </c>
      <c r="I235" s="87" t="str">
        <f>'Etape 2'!G232</f>
        <v/>
      </c>
      <c r="J235" s="87" t="str">
        <f>'Etape 2'!H232</f>
        <v/>
      </c>
      <c r="K235" s="87" t="str">
        <f>'Etape 2'!I232</f>
        <v/>
      </c>
      <c r="L235" s="87">
        <f ca="1">'Etape 2'!J232</f>
        <v>999999</v>
      </c>
      <c r="M235" s="87">
        <f>'Etape 2'!K232</f>
        <v>999</v>
      </c>
      <c r="N235" s="87">
        <f ca="1">'Etape 2'!L232</f>
        <v>220</v>
      </c>
      <c r="O235" s="259">
        <f t="shared" si="202"/>
        <v>0.3</v>
      </c>
      <c r="P235" s="259">
        <f t="shared" si="203"/>
        <v>1.1000000000000001</v>
      </c>
      <c r="Q235" s="260">
        <f t="shared" si="204"/>
        <v>0</v>
      </c>
      <c r="R235" s="261">
        <f t="shared" si="230"/>
        <v>0</v>
      </c>
      <c r="S235" s="87">
        <f>IF(ISBLANK('Etape 2'!N232),0,VLOOKUP('Etape 2'!N232,Matrix_Uebersetzung,2,FALSE))</f>
        <v>0</v>
      </c>
      <c r="T235" s="87">
        <f>IF(ISBLANK('Etape 2'!O232),0,VLOOKUP('Etape 2'!O232,Matrix_Uebersetzung,2,FALSE))</f>
        <v>0</v>
      </c>
      <c r="U235" s="87">
        <f>IF(ISBLANK('Etape 2'!P232),0,VLOOKUP('Etape 2'!P232,Matrix_Uebersetzung,2,FALSE))</f>
        <v>0</v>
      </c>
      <c r="V235" s="87" t="str">
        <f>'Etape 2'!Q232</f>
        <v/>
      </c>
      <c r="W235" s="87">
        <f>'Etape 2'!R232</f>
        <v>0</v>
      </c>
      <c r="X235" s="87" t="str">
        <f>'Etape 2'!S232</f>
        <v/>
      </c>
      <c r="Y235" s="89" t="str">
        <f>'Etape 2'!T232</f>
        <v/>
      </c>
      <c r="Z235" s="87">
        <f>'Etape 2'!U232</f>
        <v>0</v>
      </c>
      <c r="AA235" s="87" t="str">
        <f>'Etape 2'!V232</f>
        <v/>
      </c>
      <c r="AB235" s="87">
        <f>IF(ISNUMBER('Etape 2'!W232),'Etape 2'!W232,0)</f>
        <v>0</v>
      </c>
      <c r="AC235" s="87">
        <f>IF(ISNUMBER('Etape 2'!X232),'Etape 2'!X232,0)</f>
        <v>0</v>
      </c>
      <c r="AD235" s="87">
        <f>IF(ISNUMBER('Etape 2'!Y232),'Etape 2'!Y232,0)</f>
        <v>0</v>
      </c>
      <c r="AE235" s="87">
        <f>IF(ISNUMBER('Etape 2'!Z232),'Etape 2'!Z232,0)</f>
        <v>0</v>
      </c>
      <c r="AF235" s="86">
        <f t="shared" si="220"/>
        <v>999</v>
      </c>
      <c r="AG235" s="288">
        <f t="shared" si="221"/>
        <v>0.25</v>
      </c>
      <c r="AH235" s="181" t="e">
        <f t="shared" si="205"/>
        <v>#VALUE!</v>
      </c>
      <c r="AI235" s="181" t="e">
        <f t="shared" si="190"/>
        <v>#VALUE!</v>
      </c>
      <c r="AJ235" s="86">
        <f t="shared" si="206"/>
        <v>200</v>
      </c>
      <c r="AK235" s="91" t="e">
        <f t="shared" si="207"/>
        <v>#N/A</v>
      </c>
      <c r="AL235" s="91" t="e">
        <f t="shared" si="191"/>
        <v>#N/A</v>
      </c>
      <c r="AM235" s="91">
        <f t="shared" si="109"/>
        <v>6</v>
      </c>
      <c r="AN235" s="91" t="e">
        <f t="shared" si="192"/>
        <v>#N/A</v>
      </c>
      <c r="AO235" s="91" t="e">
        <f t="shared" si="193"/>
        <v>#N/A</v>
      </c>
      <c r="AP235" s="21" t="e">
        <f t="shared" si="194"/>
        <v>#N/A</v>
      </c>
      <c r="AQ235" s="21" t="e">
        <f t="shared" si="195"/>
        <v>#N/A</v>
      </c>
      <c r="AR235" s="92" t="str">
        <f t="shared" si="222"/>
        <v/>
      </c>
      <c r="AS235" s="21" t="str">
        <f t="shared" si="223"/>
        <v/>
      </c>
      <c r="AT235" s="59" t="str">
        <f t="shared" si="208"/>
        <v/>
      </c>
      <c r="AU235" s="105">
        <f t="shared" si="113"/>
        <v>1</v>
      </c>
      <c r="AV235" s="105">
        <f t="shared" si="196"/>
        <v>1</v>
      </c>
      <c r="AW235" s="58">
        <f t="shared" si="197"/>
        <v>2</v>
      </c>
      <c r="AX235" s="58">
        <f t="shared" si="198"/>
        <v>3</v>
      </c>
      <c r="AY235" s="58" t="str">
        <f t="shared" si="199"/>
        <v>avec vannes</v>
      </c>
      <c r="AZ235" s="58" t="str">
        <f t="shared" si="200"/>
        <v>fermé</v>
      </c>
      <c r="BA235" s="60">
        <f t="shared" si="231"/>
        <v>0</v>
      </c>
      <c r="BB235" s="60">
        <f t="shared" si="231"/>
        <v>0</v>
      </c>
      <c r="BC235" s="60">
        <f t="shared" si="231"/>
        <v>0</v>
      </c>
      <c r="BD235" s="60">
        <f t="shared" si="231"/>
        <v>0</v>
      </c>
      <c r="BE235" s="286" t="str">
        <f t="shared" si="209"/>
        <v/>
      </c>
      <c r="BF235" s="58" t="str">
        <f t="shared" si="224"/>
        <v/>
      </c>
      <c r="BG235" s="59" t="str">
        <f t="shared" si="210"/>
        <v/>
      </c>
      <c r="BH235" s="158">
        <f t="shared" ca="1" si="211"/>
        <v>1</v>
      </c>
      <c r="BI235" s="60">
        <f t="shared" ca="1" si="212"/>
        <v>0.15</v>
      </c>
      <c r="BJ235" s="60">
        <f t="shared" si="213"/>
        <v>0.2</v>
      </c>
      <c r="BK235" s="60" t="str">
        <f t="shared" si="225"/>
        <v/>
      </c>
      <c r="BL235" s="21" t="str">
        <f t="shared" si="226"/>
        <v/>
      </c>
      <c r="BM235" s="264" t="str">
        <f t="shared" si="214"/>
        <v/>
      </c>
      <c r="BN235" s="60" t="str">
        <f t="shared" si="227"/>
        <v/>
      </c>
      <c r="BO235" s="136">
        <f t="shared" si="228"/>
        <v>0</v>
      </c>
      <c r="BP235" s="59">
        <f t="shared" si="229"/>
        <v>0</v>
      </c>
      <c r="BQ235" s="136">
        <f t="shared" ca="1" si="215"/>
        <v>1420</v>
      </c>
      <c r="BR235" s="136">
        <f t="shared" ca="1" si="216"/>
        <v>1000.7308970099667</v>
      </c>
      <c r="BS235" s="136">
        <f t="shared" ca="1" si="217"/>
        <v>1468800.7308970101</v>
      </c>
      <c r="BT235" s="136">
        <f t="shared" ca="1" si="218"/>
        <v>313875.65362276917</v>
      </c>
      <c r="BU235" s="136">
        <f t="shared" ca="1" si="219"/>
        <v>1000.7308970099667</v>
      </c>
    </row>
    <row r="236" spans="1:73" x14ac:dyDescent="0.2">
      <c r="A236" s="87" t="str">
        <f>'Etape 2'!A233</f>
        <v/>
      </c>
      <c r="B236" s="87">
        <f>'Etape 2'!B233</f>
        <v>221</v>
      </c>
      <c r="C236" s="87">
        <f ca="1">'Etape 2'!C233</f>
        <v>80</v>
      </c>
      <c r="D236" s="87"/>
      <c r="E236" s="61">
        <f ca="1">RANK(BU236,BU$16:BU$315,0)+COUNTIF(BU$16:BU236,BU236)-1</f>
        <v>80</v>
      </c>
      <c r="F236" s="87" t="str">
        <f>'Etape 2'!D233</f>
        <v/>
      </c>
      <c r="G236" s="87" t="str">
        <f>'Etape 2'!E233</f>
        <v/>
      </c>
      <c r="H236" s="87" t="str">
        <f>'Etape 2'!F233</f>
        <v/>
      </c>
      <c r="I236" s="87" t="str">
        <f>'Etape 2'!G233</f>
        <v/>
      </c>
      <c r="J236" s="87" t="str">
        <f>'Etape 2'!H233</f>
        <v/>
      </c>
      <c r="K236" s="87" t="str">
        <f>'Etape 2'!I233</f>
        <v/>
      </c>
      <c r="L236" s="87">
        <f ca="1">'Etape 2'!J233</f>
        <v>999999</v>
      </c>
      <c r="M236" s="87">
        <f>'Etape 2'!K233</f>
        <v>999</v>
      </c>
      <c r="N236" s="87">
        <f ca="1">'Etape 2'!L233</f>
        <v>221</v>
      </c>
      <c r="O236" s="259">
        <f t="shared" si="202"/>
        <v>0.3</v>
      </c>
      <c r="P236" s="259">
        <f t="shared" si="203"/>
        <v>1.1000000000000001</v>
      </c>
      <c r="Q236" s="260">
        <f t="shared" si="204"/>
        <v>0</v>
      </c>
      <c r="R236" s="261">
        <f t="shared" si="230"/>
        <v>0</v>
      </c>
      <c r="S236" s="87">
        <f>IF(ISBLANK('Etape 2'!N233),0,VLOOKUP('Etape 2'!N233,Matrix_Uebersetzung,2,FALSE))</f>
        <v>0</v>
      </c>
      <c r="T236" s="87">
        <f>IF(ISBLANK('Etape 2'!O233),0,VLOOKUP('Etape 2'!O233,Matrix_Uebersetzung,2,FALSE))</f>
        <v>0</v>
      </c>
      <c r="U236" s="87">
        <f>IF(ISBLANK('Etape 2'!P233),0,VLOOKUP('Etape 2'!P233,Matrix_Uebersetzung,2,FALSE))</f>
        <v>0</v>
      </c>
      <c r="V236" s="87" t="str">
        <f>'Etape 2'!Q233</f>
        <v/>
      </c>
      <c r="W236" s="87">
        <f>'Etape 2'!R233</f>
        <v>0</v>
      </c>
      <c r="X236" s="87" t="str">
        <f>'Etape 2'!S233</f>
        <v/>
      </c>
      <c r="Y236" s="89" t="str">
        <f>'Etape 2'!T233</f>
        <v/>
      </c>
      <c r="Z236" s="87">
        <f>'Etape 2'!U233</f>
        <v>0</v>
      </c>
      <c r="AA236" s="87" t="str">
        <f>'Etape 2'!V233</f>
        <v/>
      </c>
      <c r="AB236" s="87">
        <f>IF(ISNUMBER('Etape 2'!W233),'Etape 2'!W233,0)</f>
        <v>0</v>
      </c>
      <c r="AC236" s="87">
        <f>IF(ISNUMBER('Etape 2'!X233),'Etape 2'!X233,0)</f>
        <v>0</v>
      </c>
      <c r="AD236" s="87">
        <f>IF(ISNUMBER('Etape 2'!Y233),'Etape 2'!Y233,0)</f>
        <v>0</v>
      </c>
      <c r="AE236" s="87">
        <f>IF(ISNUMBER('Etape 2'!Z233),'Etape 2'!Z233,0)</f>
        <v>0</v>
      </c>
      <c r="AF236" s="86">
        <f t="shared" si="220"/>
        <v>999</v>
      </c>
      <c r="AG236" s="288">
        <f t="shared" si="221"/>
        <v>0.25</v>
      </c>
      <c r="AH236" s="181" t="e">
        <f t="shared" si="205"/>
        <v>#VALUE!</v>
      </c>
      <c r="AI236" s="181" t="e">
        <f t="shared" si="190"/>
        <v>#VALUE!</v>
      </c>
      <c r="AJ236" s="86">
        <f t="shared" si="206"/>
        <v>200</v>
      </c>
      <c r="AK236" s="91" t="e">
        <f t="shared" si="207"/>
        <v>#N/A</v>
      </c>
      <c r="AL236" s="91" t="e">
        <f t="shared" si="191"/>
        <v>#N/A</v>
      </c>
      <c r="AM236" s="91">
        <f t="shared" si="109"/>
        <v>6</v>
      </c>
      <c r="AN236" s="91" t="e">
        <f t="shared" si="192"/>
        <v>#N/A</v>
      </c>
      <c r="AO236" s="91" t="e">
        <f t="shared" si="193"/>
        <v>#N/A</v>
      </c>
      <c r="AP236" s="21" t="e">
        <f t="shared" si="194"/>
        <v>#N/A</v>
      </c>
      <c r="AQ236" s="21" t="e">
        <f t="shared" si="195"/>
        <v>#N/A</v>
      </c>
      <c r="AR236" s="92" t="str">
        <f t="shared" si="222"/>
        <v/>
      </c>
      <c r="AS236" s="21" t="str">
        <f t="shared" si="223"/>
        <v/>
      </c>
      <c r="AT236" s="59" t="str">
        <f t="shared" si="208"/>
        <v/>
      </c>
      <c r="AU236" s="105">
        <f t="shared" si="113"/>
        <v>1</v>
      </c>
      <c r="AV236" s="105">
        <f t="shared" si="196"/>
        <v>1</v>
      </c>
      <c r="AW236" s="58">
        <f t="shared" si="197"/>
        <v>2</v>
      </c>
      <c r="AX236" s="58">
        <f t="shared" si="198"/>
        <v>3</v>
      </c>
      <c r="AY236" s="58" t="str">
        <f t="shared" si="199"/>
        <v>avec vannes</v>
      </c>
      <c r="AZ236" s="58" t="str">
        <f t="shared" si="200"/>
        <v>fermé</v>
      </c>
      <c r="BA236" s="60">
        <f t="shared" ref="BA236:BD255" si="232">IF(BA$15/$AG236&gt;1,0,VLOOKUP(BA$15/$AG236,Matrix_Regelung.Teilvolumenstrom.Einsparpotential.ID,$AX236,0))</f>
        <v>0</v>
      </c>
      <c r="BB236" s="60">
        <f t="shared" si="232"/>
        <v>0</v>
      </c>
      <c r="BC236" s="60">
        <f t="shared" si="232"/>
        <v>0</v>
      </c>
      <c r="BD236" s="60">
        <f t="shared" si="232"/>
        <v>0</v>
      </c>
      <c r="BE236" s="286" t="str">
        <f t="shared" si="209"/>
        <v/>
      </c>
      <c r="BF236" s="58" t="str">
        <f t="shared" si="224"/>
        <v/>
      </c>
      <c r="BG236" s="59" t="str">
        <f t="shared" si="210"/>
        <v/>
      </c>
      <c r="BH236" s="158">
        <f t="shared" ca="1" si="211"/>
        <v>1</v>
      </c>
      <c r="BI236" s="60">
        <f t="shared" ca="1" si="212"/>
        <v>0.15</v>
      </c>
      <c r="BJ236" s="60">
        <f t="shared" si="213"/>
        <v>0.2</v>
      </c>
      <c r="BK236" s="60" t="str">
        <f t="shared" si="225"/>
        <v/>
      </c>
      <c r="BL236" s="21" t="str">
        <f t="shared" si="226"/>
        <v/>
      </c>
      <c r="BM236" s="264" t="str">
        <f t="shared" si="214"/>
        <v/>
      </c>
      <c r="BN236" s="60" t="str">
        <f t="shared" si="227"/>
        <v/>
      </c>
      <c r="BO236" s="136">
        <f t="shared" si="228"/>
        <v>0</v>
      </c>
      <c r="BP236" s="59">
        <f t="shared" si="229"/>
        <v>0</v>
      </c>
      <c r="BQ236" s="136">
        <f t="shared" ca="1" si="215"/>
        <v>1421</v>
      </c>
      <c r="BR236" s="136">
        <f t="shared" ca="1" si="216"/>
        <v>1000.7342192691029</v>
      </c>
      <c r="BS236" s="136">
        <f t="shared" ca="1" si="217"/>
        <v>1468800.7342192691</v>
      </c>
      <c r="BT236" s="136">
        <f t="shared" ca="1" si="218"/>
        <v>313875.65694502834</v>
      </c>
      <c r="BU236" s="136">
        <f t="shared" ca="1" si="219"/>
        <v>1000.7342192691029</v>
      </c>
    </row>
    <row r="237" spans="1:73" x14ac:dyDescent="0.2">
      <c r="A237" s="87" t="str">
        <f>'Etape 2'!A234</f>
        <v/>
      </c>
      <c r="B237" s="87">
        <f>'Etape 2'!B234</f>
        <v>222</v>
      </c>
      <c r="C237" s="87">
        <f ca="1">'Etape 2'!C234</f>
        <v>79</v>
      </c>
      <c r="D237" s="87"/>
      <c r="E237" s="61">
        <f ca="1">RANK(BU237,BU$16:BU$315,0)+COUNTIF(BU$16:BU237,BU237)-1</f>
        <v>79</v>
      </c>
      <c r="F237" s="87" t="str">
        <f>'Etape 2'!D234</f>
        <v/>
      </c>
      <c r="G237" s="87" t="str">
        <f>'Etape 2'!E234</f>
        <v/>
      </c>
      <c r="H237" s="87" t="str">
        <f>'Etape 2'!F234</f>
        <v/>
      </c>
      <c r="I237" s="87" t="str">
        <f>'Etape 2'!G234</f>
        <v/>
      </c>
      <c r="J237" s="87" t="str">
        <f>'Etape 2'!H234</f>
        <v/>
      </c>
      <c r="K237" s="87" t="str">
        <f>'Etape 2'!I234</f>
        <v/>
      </c>
      <c r="L237" s="87">
        <f ca="1">'Etape 2'!J234</f>
        <v>999999</v>
      </c>
      <c r="M237" s="87">
        <f>'Etape 2'!K234</f>
        <v>999</v>
      </c>
      <c r="N237" s="87">
        <f ca="1">'Etape 2'!L234</f>
        <v>222</v>
      </c>
      <c r="O237" s="259">
        <f t="shared" si="202"/>
        <v>0.3</v>
      </c>
      <c r="P237" s="259">
        <f t="shared" si="203"/>
        <v>1.1000000000000001</v>
      </c>
      <c r="Q237" s="260">
        <f t="shared" si="204"/>
        <v>0</v>
      </c>
      <c r="R237" s="261">
        <f t="shared" si="230"/>
        <v>0</v>
      </c>
      <c r="S237" s="87">
        <f>IF(ISBLANK('Etape 2'!N234),0,VLOOKUP('Etape 2'!N234,Matrix_Uebersetzung,2,FALSE))</f>
        <v>0</v>
      </c>
      <c r="T237" s="87">
        <f>IF(ISBLANK('Etape 2'!O234),0,VLOOKUP('Etape 2'!O234,Matrix_Uebersetzung,2,FALSE))</f>
        <v>0</v>
      </c>
      <c r="U237" s="87">
        <f>IF(ISBLANK('Etape 2'!P234),0,VLOOKUP('Etape 2'!P234,Matrix_Uebersetzung,2,FALSE))</f>
        <v>0</v>
      </c>
      <c r="V237" s="87" t="str">
        <f>'Etape 2'!Q234</f>
        <v/>
      </c>
      <c r="W237" s="87">
        <f>'Etape 2'!R234</f>
        <v>0</v>
      </c>
      <c r="X237" s="87" t="str">
        <f>'Etape 2'!S234</f>
        <v/>
      </c>
      <c r="Y237" s="89" t="str">
        <f>'Etape 2'!T234</f>
        <v/>
      </c>
      <c r="Z237" s="87">
        <f>'Etape 2'!U234</f>
        <v>0</v>
      </c>
      <c r="AA237" s="87" t="str">
        <f>'Etape 2'!V234</f>
        <v/>
      </c>
      <c r="AB237" s="87">
        <f>IF(ISNUMBER('Etape 2'!W234),'Etape 2'!W234,0)</f>
        <v>0</v>
      </c>
      <c r="AC237" s="87">
        <f>IF(ISNUMBER('Etape 2'!X234),'Etape 2'!X234,0)</f>
        <v>0</v>
      </c>
      <c r="AD237" s="87">
        <f>IF(ISNUMBER('Etape 2'!Y234),'Etape 2'!Y234,0)</f>
        <v>0</v>
      </c>
      <c r="AE237" s="87">
        <f>IF(ISNUMBER('Etape 2'!Z234),'Etape 2'!Z234,0)</f>
        <v>0</v>
      </c>
      <c r="AF237" s="86">
        <f t="shared" si="220"/>
        <v>999</v>
      </c>
      <c r="AG237" s="288">
        <f t="shared" si="221"/>
        <v>0.25</v>
      </c>
      <c r="AH237" s="181" t="e">
        <f t="shared" si="205"/>
        <v>#VALUE!</v>
      </c>
      <c r="AI237" s="181" t="e">
        <f t="shared" si="190"/>
        <v>#VALUE!</v>
      </c>
      <c r="AJ237" s="86">
        <f t="shared" si="206"/>
        <v>200</v>
      </c>
      <c r="AK237" s="91" t="e">
        <f t="shared" si="207"/>
        <v>#N/A</v>
      </c>
      <c r="AL237" s="91" t="e">
        <f t="shared" si="191"/>
        <v>#N/A</v>
      </c>
      <c r="AM237" s="91">
        <f t="shared" si="109"/>
        <v>6</v>
      </c>
      <c r="AN237" s="91" t="e">
        <f t="shared" si="192"/>
        <v>#N/A</v>
      </c>
      <c r="AO237" s="91" t="e">
        <f t="shared" si="193"/>
        <v>#N/A</v>
      </c>
      <c r="AP237" s="21" t="e">
        <f t="shared" si="194"/>
        <v>#N/A</v>
      </c>
      <c r="AQ237" s="21" t="e">
        <f t="shared" si="195"/>
        <v>#N/A</v>
      </c>
      <c r="AR237" s="92" t="str">
        <f t="shared" si="222"/>
        <v/>
      </c>
      <c r="AS237" s="21" t="str">
        <f t="shared" si="223"/>
        <v/>
      </c>
      <c r="AT237" s="59" t="str">
        <f t="shared" si="208"/>
        <v/>
      </c>
      <c r="AU237" s="105">
        <f t="shared" si="113"/>
        <v>1</v>
      </c>
      <c r="AV237" s="105">
        <f t="shared" si="196"/>
        <v>1</v>
      </c>
      <c r="AW237" s="58">
        <f t="shared" si="197"/>
        <v>2</v>
      </c>
      <c r="AX237" s="58">
        <f t="shared" si="198"/>
        <v>3</v>
      </c>
      <c r="AY237" s="58" t="str">
        <f t="shared" si="199"/>
        <v>avec vannes</v>
      </c>
      <c r="AZ237" s="58" t="str">
        <f t="shared" si="200"/>
        <v>fermé</v>
      </c>
      <c r="BA237" s="60">
        <f t="shared" si="232"/>
        <v>0</v>
      </c>
      <c r="BB237" s="60">
        <f t="shared" si="232"/>
        <v>0</v>
      </c>
      <c r="BC237" s="60">
        <f t="shared" si="232"/>
        <v>0</v>
      </c>
      <c r="BD237" s="60">
        <f t="shared" si="232"/>
        <v>0</v>
      </c>
      <c r="BE237" s="286" t="str">
        <f t="shared" si="209"/>
        <v/>
      </c>
      <c r="BF237" s="58" t="str">
        <f t="shared" si="224"/>
        <v/>
      </c>
      <c r="BG237" s="59" t="str">
        <f t="shared" si="210"/>
        <v/>
      </c>
      <c r="BH237" s="158">
        <f t="shared" ca="1" si="211"/>
        <v>1</v>
      </c>
      <c r="BI237" s="60">
        <f t="shared" ca="1" si="212"/>
        <v>0.15</v>
      </c>
      <c r="BJ237" s="60">
        <f t="shared" si="213"/>
        <v>0.2</v>
      </c>
      <c r="BK237" s="60" t="str">
        <f t="shared" si="225"/>
        <v/>
      </c>
      <c r="BL237" s="21" t="str">
        <f t="shared" si="226"/>
        <v/>
      </c>
      <c r="BM237" s="264" t="str">
        <f t="shared" si="214"/>
        <v/>
      </c>
      <c r="BN237" s="60" t="str">
        <f t="shared" si="227"/>
        <v/>
      </c>
      <c r="BO237" s="136">
        <f t="shared" si="228"/>
        <v>0</v>
      </c>
      <c r="BP237" s="59">
        <f t="shared" si="229"/>
        <v>0</v>
      </c>
      <c r="BQ237" s="136">
        <f t="shared" ca="1" si="215"/>
        <v>1422</v>
      </c>
      <c r="BR237" s="136">
        <f t="shared" ca="1" si="216"/>
        <v>1000.7375415282391</v>
      </c>
      <c r="BS237" s="136">
        <f t="shared" ca="1" si="217"/>
        <v>1468800.7375415282</v>
      </c>
      <c r="BT237" s="136">
        <f t="shared" ca="1" si="218"/>
        <v>313875.66026728746</v>
      </c>
      <c r="BU237" s="136">
        <f t="shared" ca="1" si="219"/>
        <v>1000.7375415282391</v>
      </c>
    </row>
    <row r="238" spans="1:73" x14ac:dyDescent="0.2">
      <c r="A238" s="87" t="str">
        <f>'Etape 2'!A235</f>
        <v/>
      </c>
      <c r="B238" s="87">
        <f>'Etape 2'!B235</f>
        <v>223</v>
      </c>
      <c r="C238" s="87">
        <f ca="1">'Etape 2'!C235</f>
        <v>78</v>
      </c>
      <c r="D238" s="87"/>
      <c r="E238" s="61">
        <f ca="1">RANK(BU238,BU$16:BU$315,0)+COUNTIF(BU$16:BU238,BU238)-1</f>
        <v>78</v>
      </c>
      <c r="F238" s="87" t="str">
        <f>'Etape 2'!D235</f>
        <v/>
      </c>
      <c r="G238" s="87" t="str">
        <f>'Etape 2'!E235</f>
        <v/>
      </c>
      <c r="H238" s="87" t="str">
        <f>'Etape 2'!F235</f>
        <v/>
      </c>
      <c r="I238" s="87" t="str">
        <f>'Etape 2'!G235</f>
        <v/>
      </c>
      <c r="J238" s="87" t="str">
        <f>'Etape 2'!H235</f>
        <v/>
      </c>
      <c r="K238" s="87" t="str">
        <f>'Etape 2'!I235</f>
        <v/>
      </c>
      <c r="L238" s="87">
        <f ca="1">'Etape 2'!J235</f>
        <v>999999</v>
      </c>
      <c r="M238" s="87">
        <f>'Etape 2'!K235</f>
        <v>999</v>
      </c>
      <c r="N238" s="87">
        <f ca="1">'Etape 2'!L235</f>
        <v>223</v>
      </c>
      <c r="O238" s="259">
        <f t="shared" si="202"/>
        <v>0.3</v>
      </c>
      <c r="P238" s="259">
        <f t="shared" si="203"/>
        <v>1.1000000000000001</v>
      </c>
      <c r="Q238" s="260">
        <f t="shared" si="204"/>
        <v>0</v>
      </c>
      <c r="R238" s="261">
        <f t="shared" si="230"/>
        <v>0</v>
      </c>
      <c r="S238" s="87">
        <f>IF(ISBLANK('Etape 2'!N235),0,VLOOKUP('Etape 2'!N235,Matrix_Uebersetzung,2,FALSE))</f>
        <v>0</v>
      </c>
      <c r="T238" s="87">
        <f>IF(ISBLANK('Etape 2'!O235),0,VLOOKUP('Etape 2'!O235,Matrix_Uebersetzung,2,FALSE))</f>
        <v>0</v>
      </c>
      <c r="U238" s="87">
        <f>IF(ISBLANK('Etape 2'!P235),0,VLOOKUP('Etape 2'!P235,Matrix_Uebersetzung,2,FALSE))</f>
        <v>0</v>
      </c>
      <c r="V238" s="87" t="str">
        <f>'Etape 2'!Q235</f>
        <v/>
      </c>
      <c r="W238" s="87">
        <f>'Etape 2'!R235</f>
        <v>0</v>
      </c>
      <c r="X238" s="87" t="str">
        <f>'Etape 2'!S235</f>
        <v/>
      </c>
      <c r="Y238" s="89" t="str">
        <f>'Etape 2'!T235</f>
        <v/>
      </c>
      <c r="Z238" s="87">
        <f>'Etape 2'!U235</f>
        <v>0</v>
      </c>
      <c r="AA238" s="87" t="str">
        <f>'Etape 2'!V235</f>
        <v/>
      </c>
      <c r="AB238" s="87">
        <f>IF(ISNUMBER('Etape 2'!W235),'Etape 2'!W235,0)</f>
        <v>0</v>
      </c>
      <c r="AC238" s="87">
        <f>IF(ISNUMBER('Etape 2'!X235),'Etape 2'!X235,0)</f>
        <v>0</v>
      </c>
      <c r="AD238" s="87">
        <f>IF(ISNUMBER('Etape 2'!Y235),'Etape 2'!Y235,0)</f>
        <v>0</v>
      </c>
      <c r="AE238" s="87">
        <f>IF(ISNUMBER('Etape 2'!Z235),'Etape 2'!Z235,0)</f>
        <v>0</v>
      </c>
      <c r="AF238" s="86">
        <f t="shared" si="220"/>
        <v>999</v>
      </c>
      <c r="AG238" s="288">
        <f t="shared" si="221"/>
        <v>0.25</v>
      </c>
      <c r="AH238" s="181" t="e">
        <f t="shared" si="205"/>
        <v>#VALUE!</v>
      </c>
      <c r="AI238" s="181" t="e">
        <f t="shared" si="190"/>
        <v>#VALUE!</v>
      </c>
      <c r="AJ238" s="86">
        <f t="shared" si="206"/>
        <v>200</v>
      </c>
      <c r="AK238" s="91" t="e">
        <f t="shared" si="207"/>
        <v>#N/A</v>
      </c>
      <c r="AL238" s="91" t="e">
        <f t="shared" si="191"/>
        <v>#N/A</v>
      </c>
      <c r="AM238" s="91">
        <f t="shared" si="109"/>
        <v>6</v>
      </c>
      <c r="AN238" s="91" t="e">
        <f t="shared" si="192"/>
        <v>#N/A</v>
      </c>
      <c r="AO238" s="91" t="e">
        <f t="shared" si="193"/>
        <v>#N/A</v>
      </c>
      <c r="AP238" s="21" t="e">
        <f t="shared" si="194"/>
        <v>#N/A</v>
      </c>
      <c r="AQ238" s="21" t="e">
        <f t="shared" si="195"/>
        <v>#N/A</v>
      </c>
      <c r="AR238" s="92" t="str">
        <f t="shared" si="222"/>
        <v/>
      </c>
      <c r="AS238" s="21" t="str">
        <f t="shared" si="223"/>
        <v/>
      </c>
      <c r="AT238" s="59" t="str">
        <f t="shared" si="208"/>
        <v/>
      </c>
      <c r="AU238" s="105">
        <f t="shared" si="113"/>
        <v>1</v>
      </c>
      <c r="AV238" s="105">
        <f t="shared" si="196"/>
        <v>1</v>
      </c>
      <c r="AW238" s="58">
        <f t="shared" si="197"/>
        <v>2</v>
      </c>
      <c r="AX238" s="58">
        <f t="shared" si="198"/>
        <v>3</v>
      </c>
      <c r="AY238" s="58" t="str">
        <f t="shared" si="199"/>
        <v>avec vannes</v>
      </c>
      <c r="AZ238" s="58" t="str">
        <f t="shared" si="200"/>
        <v>fermé</v>
      </c>
      <c r="BA238" s="60">
        <f t="shared" si="232"/>
        <v>0</v>
      </c>
      <c r="BB238" s="60">
        <f t="shared" si="232"/>
        <v>0</v>
      </c>
      <c r="BC238" s="60">
        <f t="shared" si="232"/>
        <v>0</v>
      </c>
      <c r="BD238" s="60">
        <f t="shared" si="232"/>
        <v>0</v>
      </c>
      <c r="BE238" s="286" t="str">
        <f t="shared" si="209"/>
        <v/>
      </c>
      <c r="BF238" s="58" t="str">
        <f t="shared" si="224"/>
        <v/>
      </c>
      <c r="BG238" s="59" t="str">
        <f t="shared" si="210"/>
        <v/>
      </c>
      <c r="BH238" s="158">
        <f t="shared" ca="1" si="211"/>
        <v>1</v>
      </c>
      <c r="BI238" s="60">
        <f t="shared" ca="1" si="212"/>
        <v>0.15</v>
      </c>
      <c r="BJ238" s="60">
        <f t="shared" si="213"/>
        <v>0.2</v>
      </c>
      <c r="BK238" s="60" t="str">
        <f t="shared" si="225"/>
        <v/>
      </c>
      <c r="BL238" s="21" t="str">
        <f t="shared" si="226"/>
        <v/>
      </c>
      <c r="BM238" s="264" t="str">
        <f t="shared" si="214"/>
        <v/>
      </c>
      <c r="BN238" s="60" t="str">
        <f t="shared" si="227"/>
        <v/>
      </c>
      <c r="BO238" s="136">
        <f t="shared" si="228"/>
        <v>0</v>
      </c>
      <c r="BP238" s="59">
        <f t="shared" si="229"/>
        <v>0</v>
      </c>
      <c r="BQ238" s="136">
        <f t="shared" ca="1" si="215"/>
        <v>1423</v>
      </c>
      <c r="BR238" s="136">
        <f t="shared" ca="1" si="216"/>
        <v>1000.7408637873754</v>
      </c>
      <c r="BS238" s="136">
        <f t="shared" ca="1" si="217"/>
        <v>1468800.7408637875</v>
      </c>
      <c r="BT238" s="136">
        <f t="shared" ca="1" si="218"/>
        <v>313875.66358954657</v>
      </c>
      <c r="BU238" s="136">
        <f t="shared" ca="1" si="219"/>
        <v>1000.7408637873754</v>
      </c>
    </row>
    <row r="239" spans="1:73" x14ac:dyDescent="0.2">
      <c r="A239" s="87" t="str">
        <f>'Etape 2'!A236</f>
        <v/>
      </c>
      <c r="B239" s="87">
        <f>'Etape 2'!B236</f>
        <v>224</v>
      </c>
      <c r="C239" s="87">
        <f ca="1">'Etape 2'!C236</f>
        <v>77</v>
      </c>
      <c r="D239" s="87"/>
      <c r="E239" s="61">
        <f ca="1">RANK(BU239,BU$16:BU$315,0)+COUNTIF(BU$16:BU239,BU239)-1</f>
        <v>77</v>
      </c>
      <c r="F239" s="87" t="str">
        <f>'Etape 2'!D236</f>
        <v/>
      </c>
      <c r="G239" s="87" t="str">
        <f>'Etape 2'!E236</f>
        <v/>
      </c>
      <c r="H239" s="87" t="str">
        <f>'Etape 2'!F236</f>
        <v/>
      </c>
      <c r="I239" s="87" t="str">
        <f>'Etape 2'!G236</f>
        <v/>
      </c>
      <c r="J239" s="87" t="str">
        <f>'Etape 2'!H236</f>
        <v/>
      </c>
      <c r="K239" s="87" t="str">
        <f>'Etape 2'!I236</f>
        <v/>
      </c>
      <c r="L239" s="87">
        <f ca="1">'Etape 2'!J236</f>
        <v>999999</v>
      </c>
      <c r="M239" s="87">
        <f>'Etape 2'!K236</f>
        <v>999</v>
      </c>
      <c r="N239" s="87">
        <f ca="1">'Etape 2'!L236</f>
        <v>224</v>
      </c>
      <c r="O239" s="259">
        <f t="shared" si="202"/>
        <v>0.3</v>
      </c>
      <c r="P239" s="259">
        <f t="shared" si="203"/>
        <v>1.1000000000000001</v>
      </c>
      <c r="Q239" s="260">
        <f t="shared" si="204"/>
        <v>0</v>
      </c>
      <c r="R239" s="261">
        <f t="shared" si="230"/>
        <v>0</v>
      </c>
      <c r="S239" s="87">
        <f>IF(ISBLANK('Etape 2'!N236),0,VLOOKUP('Etape 2'!N236,Matrix_Uebersetzung,2,FALSE))</f>
        <v>0</v>
      </c>
      <c r="T239" s="87">
        <f>IF(ISBLANK('Etape 2'!O236),0,VLOOKUP('Etape 2'!O236,Matrix_Uebersetzung,2,FALSE))</f>
        <v>0</v>
      </c>
      <c r="U239" s="87">
        <f>IF(ISBLANK('Etape 2'!P236),0,VLOOKUP('Etape 2'!P236,Matrix_Uebersetzung,2,FALSE))</f>
        <v>0</v>
      </c>
      <c r="V239" s="87" t="str">
        <f>'Etape 2'!Q236</f>
        <v/>
      </c>
      <c r="W239" s="87">
        <f>'Etape 2'!R236</f>
        <v>0</v>
      </c>
      <c r="X239" s="87" t="str">
        <f>'Etape 2'!S236</f>
        <v/>
      </c>
      <c r="Y239" s="89" t="str">
        <f>'Etape 2'!T236</f>
        <v/>
      </c>
      <c r="Z239" s="87">
        <f>'Etape 2'!U236</f>
        <v>0</v>
      </c>
      <c r="AA239" s="87" t="str">
        <f>'Etape 2'!V236</f>
        <v/>
      </c>
      <c r="AB239" s="87">
        <f>IF(ISNUMBER('Etape 2'!W236),'Etape 2'!W236,0)</f>
        <v>0</v>
      </c>
      <c r="AC239" s="87">
        <f>IF(ISNUMBER('Etape 2'!X236),'Etape 2'!X236,0)</f>
        <v>0</v>
      </c>
      <c r="AD239" s="87">
        <f>IF(ISNUMBER('Etape 2'!Y236),'Etape 2'!Y236,0)</f>
        <v>0</v>
      </c>
      <c r="AE239" s="87">
        <f>IF(ISNUMBER('Etape 2'!Z236),'Etape 2'!Z236,0)</f>
        <v>0</v>
      </c>
      <c r="AF239" s="86">
        <f t="shared" si="220"/>
        <v>999</v>
      </c>
      <c r="AG239" s="288">
        <f t="shared" si="221"/>
        <v>0.25</v>
      </c>
      <c r="AH239" s="181" t="e">
        <f t="shared" si="205"/>
        <v>#VALUE!</v>
      </c>
      <c r="AI239" s="181" t="e">
        <f t="shared" si="190"/>
        <v>#VALUE!</v>
      </c>
      <c r="AJ239" s="86">
        <f t="shared" si="206"/>
        <v>200</v>
      </c>
      <c r="AK239" s="91" t="e">
        <f t="shared" si="207"/>
        <v>#N/A</v>
      </c>
      <c r="AL239" s="91" t="e">
        <f t="shared" si="191"/>
        <v>#N/A</v>
      </c>
      <c r="AM239" s="91">
        <f t="shared" si="109"/>
        <v>6</v>
      </c>
      <c r="AN239" s="91" t="e">
        <f t="shared" si="192"/>
        <v>#N/A</v>
      </c>
      <c r="AO239" s="91" t="e">
        <f t="shared" si="193"/>
        <v>#N/A</v>
      </c>
      <c r="AP239" s="21" t="e">
        <f t="shared" si="194"/>
        <v>#N/A</v>
      </c>
      <c r="AQ239" s="21" t="e">
        <f t="shared" si="195"/>
        <v>#N/A</v>
      </c>
      <c r="AR239" s="92" t="str">
        <f t="shared" si="222"/>
        <v/>
      </c>
      <c r="AS239" s="21" t="str">
        <f t="shared" si="223"/>
        <v/>
      </c>
      <c r="AT239" s="59" t="str">
        <f t="shared" si="208"/>
        <v/>
      </c>
      <c r="AU239" s="105">
        <f t="shared" si="113"/>
        <v>1</v>
      </c>
      <c r="AV239" s="105">
        <f t="shared" si="196"/>
        <v>1</v>
      </c>
      <c r="AW239" s="58">
        <f t="shared" si="197"/>
        <v>2</v>
      </c>
      <c r="AX239" s="58">
        <f t="shared" si="198"/>
        <v>3</v>
      </c>
      <c r="AY239" s="58" t="str">
        <f t="shared" si="199"/>
        <v>avec vannes</v>
      </c>
      <c r="AZ239" s="58" t="str">
        <f t="shared" si="200"/>
        <v>fermé</v>
      </c>
      <c r="BA239" s="60">
        <f t="shared" si="232"/>
        <v>0</v>
      </c>
      <c r="BB239" s="60">
        <f t="shared" si="232"/>
        <v>0</v>
      </c>
      <c r="BC239" s="60">
        <f t="shared" si="232"/>
        <v>0</v>
      </c>
      <c r="BD239" s="60">
        <f t="shared" si="232"/>
        <v>0</v>
      </c>
      <c r="BE239" s="286" t="str">
        <f t="shared" si="209"/>
        <v/>
      </c>
      <c r="BF239" s="58" t="str">
        <f t="shared" si="224"/>
        <v/>
      </c>
      <c r="BG239" s="59" t="str">
        <f t="shared" si="210"/>
        <v/>
      </c>
      <c r="BH239" s="158">
        <f t="shared" ca="1" si="211"/>
        <v>1</v>
      </c>
      <c r="BI239" s="60">
        <f t="shared" ca="1" si="212"/>
        <v>0.15</v>
      </c>
      <c r="BJ239" s="60">
        <f t="shared" si="213"/>
        <v>0.2</v>
      </c>
      <c r="BK239" s="60" t="str">
        <f t="shared" si="225"/>
        <v/>
      </c>
      <c r="BL239" s="21" t="str">
        <f t="shared" si="226"/>
        <v/>
      </c>
      <c r="BM239" s="264" t="str">
        <f t="shared" si="214"/>
        <v/>
      </c>
      <c r="BN239" s="60" t="str">
        <f t="shared" si="227"/>
        <v/>
      </c>
      <c r="BO239" s="136">
        <f t="shared" si="228"/>
        <v>0</v>
      </c>
      <c r="BP239" s="59">
        <f t="shared" si="229"/>
        <v>0</v>
      </c>
      <c r="BQ239" s="136">
        <f t="shared" ca="1" si="215"/>
        <v>1424</v>
      </c>
      <c r="BR239" s="136">
        <f t="shared" ca="1" si="216"/>
        <v>1000.7441860465116</v>
      </c>
      <c r="BS239" s="136">
        <f t="shared" ca="1" si="217"/>
        <v>1468800.7441860465</v>
      </c>
      <c r="BT239" s="136">
        <f t="shared" ca="1" si="218"/>
        <v>313875.66691180575</v>
      </c>
      <c r="BU239" s="136">
        <f t="shared" ca="1" si="219"/>
        <v>1000.7441860465116</v>
      </c>
    </row>
    <row r="240" spans="1:73" x14ac:dyDescent="0.2">
      <c r="A240" s="87" t="str">
        <f>'Etape 2'!A237</f>
        <v/>
      </c>
      <c r="B240" s="87">
        <f>'Etape 2'!B237</f>
        <v>225</v>
      </c>
      <c r="C240" s="87">
        <f ca="1">'Etape 2'!C237</f>
        <v>76</v>
      </c>
      <c r="D240" s="87"/>
      <c r="E240" s="61">
        <f ca="1">RANK(BU240,BU$16:BU$315,0)+COUNTIF(BU$16:BU240,BU240)-1</f>
        <v>76</v>
      </c>
      <c r="F240" s="87" t="str">
        <f>'Etape 2'!D237</f>
        <v/>
      </c>
      <c r="G240" s="87" t="str">
        <f>'Etape 2'!E237</f>
        <v/>
      </c>
      <c r="H240" s="87" t="str">
        <f>'Etape 2'!F237</f>
        <v/>
      </c>
      <c r="I240" s="87" t="str">
        <f>'Etape 2'!G237</f>
        <v/>
      </c>
      <c r="J240" s="87" t="str">
        <f>'Etape 2'!H237</f>
        <v/>
      </c>
      <c r="K240" s="87" t="str">
        <f>'Etape 2'!I237</f>
        <v/>
      </c>
      <c r="L240" s="87">
        <f ca="1">'Etape 2'!J237</f>
        <v>999999</v>
      </c>
      <c r="M240" s="87">
        <f>'Etape 2'!K237</f>
        <v>999</v>
      </c>
      <c r="N240" s="87">
        <f ca="1">'Etape 2'!L237</f>
        <v>225</v>
      </c>
      <c r="O240" s="259">
        <f t="shared" si="202"/>
        <v>0.3</v>
      </c>
      <c r="P240" s="259">
        <f t="shared" si="203"/>
        <v>1.1000000000000001</v>
      </c>
      <c r="Q240" s="260">
        <f t="shared" si="204"/>
        <v>0</v>
      </c>
      <c r="R240" s="261">
        <f t="shared" si="230"/>
        <v>0</v>
      </c>
      <c r="S240" s="87">
        <f>IF(ISBLANK('Etape 2'!N237),0,VLOOKUP('Etape 2'!N237,Matrix_Uebersetzung,2,FALSE))</f>
        <v>0</v>
      </c>
      <c r="T240" s="87">
        <f>IF(ISBLANK('Etape 2'!O237),0,VLOOKUP('Etape 2'!O237,Matrix_Uebersetzung,2,FALSE))</f>
        <v>0</v>
      </c>
      <c r="U240" s="87">
        <f>IF(ISBLANK('Etape 2'!P237),0,VLOOKUP('Etape 2'!P237,Matrix_Uebersetzung,2,FALSE))</f>
        <v>0</v>
      </c>
      <c r="V240" s="87" t="str">
        <f>'Etape 2'!Q237</f>
        <v/>
      </c>
      <c r="W240" s="87">
        <f>'Etape 2'!R237</f>
        <v>0</v>
      </c>
      <c r="X240" s="87" t="str">
        <f>'Etape 2'!S237</f>
        <v/>
      </c>
      <c r="Y240" s="89" t="str">
        <f>'Etape 2'!T237</f>
        <v/>
      </c>
      <c r="Z240" s="87">
        <f>'Etape 2'!U237</f>
        <v>0</v>
      </c>
      <c r="AA240" s="87" t="str">
        <f>'Etape 2'!V237</f>
        <v/>
      </c>
      <c r="AB240" s="87">
        <f>IF(ISNUMBER('Etape 2'!W237),'Etape 2'!W237,0)</f>
        <v>0</v>
      </c>
      <c r="AC240" s="87">
        <f>IF(ISNUMBER('Etape 2'!X237),'Etape 2'!X237,0)</f>
        <v>0</v>
      </c>
      <c r="AD240" s="87">
        <f>IF(ISNUMBER('Etape 2'!Y237),'Etape 2'!Y237,0)</f>
        <v>0</v>
      </c>
      <c r="AE240" s="87">
        <f>IF(ISNUMBER('Etape 2'!Z237),'Etape 2'!Z237,0)</f>
        <v>0</v>
      </c>
      <c r="AF240" s="86">
        <f t="shared" si="220"/>
        <v>999</v>
      </c>
      <c r="AG240" s="288">
        <f t="shared" si="221"/>
        <v>0.25</v>
      </c>
      <c r="AH240" s="181" t="e">
        <f t="shared" si="205"/>
        <v>#VALUE!</v>
      </c>
      <c r="AI240" s="181" t="e">
        <f t="shared" si="190"/>
        <v>#VALUE!</v>
      </c>
      <c r="AJ240" s="86">
        <f t="shared" si="206"/>
        <v>200</v>
      </c>
      <c r="AK240" s="91" t="e">
        <f t="shared" si="207"/>
        <v>#N/A</v>
      </c>
      <c r="AL240" s="91" t="e">
        <f t="shared" si="191"/>
        <v>#N/A</v>
      </c>
      <c r="AM240" s="91">
        <f t="shared" si="109"/>
        <v>6</v>
      </c>
      <c r="AN240" s="91" t="e">
        <f t="shared" si="192"/>
        <v>#N/A</v>
      </c>
      <c r="AO240" s="91" t="e">
        <f t="shared" si="193"/>
        <v>#N/A</v>
      </c>
      <c r="AP240" s="21" t="e">
        <f t="shared" si="194"/>
        <v>#N/A</v>
      </c>
      <c r="AQ240" s="21" t="e">
        <f t="shared" si="195"/>
        <v>#N/A</v>
      </c>
      <c r="AR240" s="92" t="str">
        <f t="shared" si="222"/>
        <v/>
      </c>
      <c r="AS240" s="21" t="str">
        <f t="shared" si="223"/>
        <v/>
      </c>
      <c r="AT240" s="59" t="str">
        <f t="shared" si="208"/>
        <v/>
      </c>
      <c r="AU240" s="105">
        <f t="shared" si="113"/>
        <v>1</v>
      </c>
      <c r="AV240" s="105">
        <f t="shared" si="196"/>
        <v>1</v>
      </c>
      <c r="AW240" s="58">
        <f t="shared" si="197"/>
        <v>2</v>
      </c>
      <c r="AX240" s="58">
        <f t="shared" si="198"/>
        <v>3</v>
      </c>
      <c r="AY240" s="58" t="str">
        <f t="shared" si="199"/>
        <v>avec vannes</v>
      </c>
      <c r="AZ240" s="58" t="str">
        <f t="shared" si="200"/>
        <v>fermé</v>
      </c>
      <c r="BA240" s="60">
        <f t="shared" si="232"/>
        <v>0</v>
      </c>
      <c r="BB240" s="60">
        <f t="shared" si="232"/>
        <v>0</v>
      </c>
      <c r="BC240" s="60">
        <f t="shared" si="232"/>
        <v>0</v>
      </c>
      <c r="BD240" s="60">
        <f t="shared" si="232"/>
        <v>0</v>
      </c>
      <c r="BE240" s="286" t="str">
        <f t="shared" si="209"/>
        <v/>
      </c>
      <c r="BF240" s="58" t="str">
        <f t="shared" si="224"/>
        <v/>
      </c>
      <c r="BG240" s="59" t="str">
        <f t="shared" si="210"/>
        <v/>
      </c>
      <c r="BH240" s="158">
        <f t="shared" ca="1" si="211"/>
        <v>1</v>
      </c>
      <c r="BI240" s="60">
        <f t="shared" ca="1" si="212"/>
        <v>0.15</v>
      </c>
      <c r="BJ240" s="60">
        <f t="shared" si="213"/>
        <v>0.2</v>
      </c>
      <c r="BK240" s="60" t="str">
        <f t="shared" si="225"/>
        <v/>
      </c>
      <c r="BL240" s="21" t="str">
        <f t="shared" si="226"/>
        <v/>
      </c>
      <c r="BM240" s="264" t="str">
        <f t="shared" si="214"/>
        <v/>
      </c>
      <c r="BN240" s="60" t="str">
        <f t="shared" si="227"/>
        <v/>
      </c>
      <c r="BO240" s="136">
        <f t="shared" si="228"/>
        <v>0</v>
      </c>
      <c r="BP240" s="59">
        <f t="shared" si="229"/>
        <v>0</v>
      </c>
      <c r="BQ240" s="136">
        <f t="shared" ca="1" si="215"/>
        <v>1425</v>
      </c>
      <c r="BR240" s="136">
        <f t="shared" ca="1" si="216"/>
        <v>1000.7475083056478</v>
      </c>
      <c r="BS240" s="136">
        <f t="shared" ca="1" si="217"/>
        <v>1468800.7475083056</v>
      </c>
      <c r="BT240" s="136">
        <f t="shared" ca="1" si="218"/>
        <v>313875.67023406486</v>
      </c>
      <c r="BU240" s="136">
        <f t="shared" ca="1" si="219"/>
        <v>1000.7475083056478</v>
      </c>
    </row>
    <row r="241" spans="1:73" x14ac:dyDescent="0.2">
      <c r="A241" s="87" t="str">
        <f>'Etape 2'!A238</f>
        <v/>
      </c>
      <c r="B241" s="87">
        <f>'Etape 2'!B238</f>
        <v>226</v>
      </c>
      <c r="C241" s="87">
        <f ca="1">'Etape 2'!C238</f>
        <v>75</v>
      </c>
      <c r="D241" s="87"/>
      <c r="E241" s="61">
        <f ca="1">RANK(BU241,BU$16:BU$315,0)+COUNTIF(BU$16:BU241,BU241)-1</f>
        <v>75</v>
      </c>
      <c r="F241" s="87" t="str">
        <f>'Etape 2'!D238</f>
        <v/>
      </c>
      <c r="G241" s="87" t="str">
        <f>'Etape 2'!E238</f>
        <v/>
      </c>
      <c r="H241" s="87" t="str">
        <f>'Etape 2'!F238</f>
        <v/>
      </c>
      <c r="I241" s="87" t="str">
        <f>'Etape 2'!G238</f>
        <v/>
      </c>
      <c r="J241" s="87" t="str">
        <f>'Etape 2'!H238</f>
        <v/>
      </c>
      <c r="K241" s="87" t="str">
        <f>'Etape 2'!I238</f>
        <v/>
      </c>
      <c r="L241" s="87">
        <f ca="1">'Etape 2'!J238</f>
        <v>999999</v>
      </c>
      <c r="M241" s="87">
        <f>'Etape 2'!K238</f>
        <v>999</v>
      </c>
      <c r="N241" s="87">
        <f ca="1">'Etape 2'!L238</f>
        <v>226</v>
      </c>
      <c r="O241" s="259">
        <f t="shared" si="202"/>
        <v>0.3</v>
      </c>
      <c r="P241" s="259">
        <f t="shared" si="203"/>
        <v>1.1000000000000001</v>
      </c>
      <c r="Q241" s="260">
        <f t="shared" si="204"/>
        <v>0</v>
      </c>
      <c r="R241" s="261">
        <f t="shared" si="230"/>
        <v>0</v>
      </c>
      <c r="S241" s="87">
        <f>IF(ISBLANK('Etape 2'!N238),0,VLOOKUP('Etape 2'!N238,Matrix_Uebersetzung,2,FALSE))</f>
        <v>0</v>
      </c>
      <c r="T241" s="87">
        <f>IF(ISBLANK('Etape 2'!O238),0,VLOOKUP('Etape 2'!O238,Matrix_Uebersetzung,2,FALSE))</f>
        <v>0</v>
      </c>
      <c r="U241" s="87">
        <f>IF(ISBLANK('Etape 2'!P238),0,VLOOKUP('Etape 2'!P238,Matrix_Uebersetzung,2,FALSE))</f>
        <v>0</v>
      </c>
      <c r="V241" s="87" t="str">
        <f>'Etape 2'!Q238</f>
        <v/>
      </c>
      <c r="W241" s="87">
        <f>'Etape 2'!R238</f>
        <v>0</v>
      </c>
      <c r="X241" s="87" t="str">
        <f>'Etape 2'!S238</f>
        <v/>
      </c>
      <c r="Y241" s="89" t="str">
        <f>'Etape 2'!T238</f>
        <v/>
      </c>
      <c r="Z241" s="87">
        <f>'Etape 2'!U238</f>
        <v>0</v>
      </c>
      <c r="AA241" s="87" t="str">
        <f>'Etape 2'!V238</f>
        <v/>
      </c>
      <c r="AB241" s="87">
        <f>IF(ISNUMBER('Etape 2'!W238),'Etape 2'!W238,0)</f>
        <v>0</v>
      </c>
      <c r="AC241" s="87">
        <f>IF(ISNUMBER('Etape 2'!X238),'Etape 2'!X238,0)</f>
        <v>0</v>
      </c>
      <c r="AD241" s="87">
        <f>IF(ISNUMBER('Etape 2'!Y238),'Etape 2'!Y238,0)</f>
        <v>0</v>
      </c>
      <c r="AE241" s="87">
        <f>IF(ISNUMBER('Etape 2'!Z238),'Etape 2'!Z238,0)</f>
        <v>0</v>
      </c>
      <c r="AF241" s="86">
        <f t="shared" si="220"/>
        <v>999</v>
      </c>
      <c r="AG241" s="288">
        <f t="shared" si="221"/>
        <v>0.25</v>
      </c>
      <c r="AH241" s="181" t="e">
        <f t="shared" si="205"/>
        <v>#VALUE!</v>
      </c>
      <c r="AI241" s="181" t="e">
        <f t="shared" si="190"/>
        <v>#VALUE!</v>
      </c>
      <c r="AJ241" s="86">
        <f t="shared" si="206"/>
        <v>200</v>
      </c>
      <c r="AK241" s="91" t="e">
        <f t="shared" si="207"/>
        <v>#N/A</v>
      </c>
      <c r="AL241" s="91" t="e">
        <f t="shared" si="191"/>
        <v>#N/A</v>
      </c>
      <c r="AM241" s="91">
        <f t="shared" si="109"/>
        <v>6</v>
      </c>
      <c r="AN241" s="91" t="e">
        <f t="shared" si="192"/>
        <v>#N/A</v>
      </c>
      <c r="AO241" s="91" t="e">
        <f t="shared" si="193"/>
        <v>#N/A</v>
      </c>
      <c r="AP241" s="21" t="e">
        <f t="shared" si="194"/>
        <v>#N/A</v>
      </c>
      <c r="AQ241" s="21" t="e">
        <f t="shared" si="195"/>
        <v>#N/A</v>
      </c>
      <c r="AR241" s="92" t="str">
        <f t="shared" si="222"/>
        <v/>
      </c>
      <c r="AS241" s="21" t="str">
        <f t="shared" si="223"/>
        <v/>
      </c>
      <c r="AT241" s="59" t="str">
        <f t="shared" si="208"/>
        <v/>
      </c>
      <c r="AU241" s="105">
        <f t="shared" si="113"/>
        <v>1</v>
      </c>
      <c r="AV241" s="105">
        <f t="shared" si="196"/>
        <v>1</v>
      </c>
      <c r="AW241" s="58">
        <f t="shared" si="197"/>
        <v>2</v>
      </c>
      <c r="AX241" s="58">
        <f t="shared" si="198"/>
        <v>3</v>
      </c>
      <c r="AY241" s="58" t="str">
        <f t="shared" si="199"/>
        <v>avec vannes</v>
      </c>
      <c r="AZ241" s="58" t="str">
        <f t="shared" si="200"/>
        <v>fermé</v>
      </c>
      <c r="BA241" s="60">
        <f t="shared" si="232"/>
        <v>0</v>
      </c>
      <c r="BB241" s="60">
        <f t="shared" si="232"/>
        <v>0</v>
      </c>
      <c r="BC241" s="60">
        <f t="shared" si="232"/>
        <v>0</v>
      </c>
      <c r="BD241" s="60">
        <f t="shared" si="232"/>
        <v>0</v>
      </c>
      <c r="BE241" s="286" t="str">
        <f t="shared" si="209"/>
        <v/>
      </c>
      <c r="BF241" s="58" t="str">
        <f t="shared" si="224"/>
        <v/>
      </c>
      <c r="BG241" s="59" t="str">
        <f t="shared" si="210"/>
        <v/>
      </c>
      <c r="BH241" s="158">
        <f t="shared" ca="1" si="211"/>
        <v>1</v>
      </c>
      <c r="BI241" s="60">
        <f t="shared" ca="1" si="212"/>
        <v>0.15</v>
      </c>
      <c r="BJ241" s="60">
        <f t="shared" si="213"/>
        <v>0.2</v>
      </c>
      <c r="BK241" s="60" t="str">
        <f t="shared" si="225"/>
        <v/>
      </c>
      <c r="BL241" s="21" t="str">
        <f t="shared" si="226"/>
        <v/>
      </c>
      <c r="BM241" s="264" t="str">
        <f t="shared" si="214"/>
        <v/>
      </c>
      <c r="BN241" s="60" t="str">
        <f t="shared" si="227"/>
        <v/>
      </c>
      <c r="BO241" s="136">
        <f t="shared" si="228"/>
        <v>0</v>
      </c>
      <c r="BP241" s="59">
        <f t="shared" si="229"/>
        <v>0</v>
      </c>
      <c r="BQ241" s="136">
        <f t="shared" ca="1" si="215"/>
        <v>1426</v>
      </c>
      <c r="BR241" s="136">
        <f t="shared" ca="1" si="216"/>
        <v>1000.7508305647841</v>
      </c>
      <c r="BS241" s="136">
        <f t="shared" ca="1" si="217"/>
        <v>1468800.7508305649</v>
      </c>
      <c r="BT241" s="136">
        <f t="shared" ca="1" si="218"/>
        <v>313875.67355632398</v>
      </c>
      <c r="BU241" s="136">
        <f t="shared" ca="1" si="219"/>
        <v>1000.7508305647841</v>
      </c>
    </row>
    <row r="242" spans="1:73" x14ac:dyDescent="0.2">
      <c r="A242" s="87" t="str">
        <f>'Etape 2'!A239</f>
        <v/>
      </c>
      <c r="B242" s="87">
        <f>'Etape 2'!B239</f>
        <v>227</v>
      </c>
      <c r="C242" s="87">
        <f ca="1">'Etape 2'!C239</f>
        <v>74</v>
      </c>
      <c r="D242" s="87"/>
      <c r="E242" s="61">
        <f ca="1">RANK(BU242,BU$16:BU$315,0)+COUNTIF(BU$16:BU242,BU242)-1</f>
        <v>74</v>
      </c>
      <c r="F242" s="87" t="str">
        <f>'Etape 2'!D239</f>
        <v/>
      </c>
      <c r="G242" s="87" t="str">
        <f>'Etape 2'!E239</f>
        <v/>
      </c>
      <c r="H242" s="87" t="str">
        <f>'Etape 2'!F239</f>
        <v/>
      </c>
      <c r="I242" s="87" t="str">
        <f>'Etape 2'!G239</f>
        <v/>
      </c>
      <c r="J242" s="87" t="str">
        <f>'Etape 2'!H239</f>
        <v/>
      </c>
      <c r="K242" s="87" t="str">
        <f>'Etape 2'!I239</f>
        <v/>
      </c>
      <c r="L242" s="87">
        <f ca="1">'Etape 2'!J239</f>
        <v>999999</v>
      </c>
      <c r="M242" s="87">
        <f>'Etape 2'!K239</f>
        <v>999</v>
      </c>
      <c r="N242" s="87">
        <f ca="1">'Etape 2'!L239</f>
        <v>227</v>
      </c>
      <c r="O242" s="259">
        <f t="shared" si="202"/>
        <v>0.3</v>
      </c>
      <c r="P242" s="259">
        <f t="shared" si="203"/>
        <v>1.1000000000000001</v>
      </c>
      <c r="Q242" s="260">
        <f t="shared" si="204"/>
        <v>0</v>
      </c>
      <c r="R242" s="261">
        <f t="shared" si="230"/>
        <v>0</v>
      </c>
      <c r="S242" s="87">
        <f>IF(ISBLANK('Etape 2'!N239),0,VLOOKUP('Etape 2'!N239,Matrix_Uebersetzung,2,FALSE))</f>
        <v>0</v>
      </c>
      <c r="T242" s="87">
        <f>IF(ISBLANK('Etape 2'!O239),0,VLOOKUP('Etape 2'!O239,Matrix_Uebersetzung,2,FALSE))</f>
        <v>0</v>
      </c>
      <c r="U242" s="87">
        <f>IF(ISBLANK('Etape 2'!P239),0,VLOOKUP('Etape 2'!P239,Matrix_Uebersetzung,2,FALSE))</f>
        <v>0</v>
      </c>
      <c r="V242" s="87" t="str">
        <f>'Etape 2'!Q239</f>
        <v/>
      </c>
      <c r="W242" s="87">
        <f>'Etape 2'!R239</f>
        <v>0</v>
      </c>
      <c r="X242" s="87" t="str">
        <f>'Etape 2'!S239</f>
        <v/>
      </c>
      <c r="Y242" s="89" t="str">
        <f>'Etape 2'!T239</f>
        <v/>
      </c>
      <c r="Z242" s="87">
        <f>'Etape 2'!U239</f>
        <v>0</v>
      </c>
      <c r="AA242" s="87" t="str">
        <f>'Etape 2'!V239</f>
        <v/>
      </c>
      <c r="AB242" s="87">
        <f>IF(ISNUMBER('Etape 2'!W239),'Etape 2'!W239,0)</f>
        <v>0</v>
      </c>
      <c r="AC242" s="87">
        <f>IF(ISNUMBER('Etape 2'!X239),'Etape 2'!X239,0)</f>
        <v>0</v>
      </c>
      <c r="AD242" s="87">
        <f>IF(ISNUMBER('Etape 2'!Y239),'Etape 2'!Y239,0)</f>
        <v>0</v>
      </c>
      <c r="AE242" s="87">
        <f>IF(ISNUMBER('Etape 2'!Z239),'Etape 2'!Z239,0)</f>
        <v>0</v>
      </c>
      <c r="AF242" s="86">
        <f t="shared" si="220"/>
        <v>999</v>
      </c>
      <c r="AG242" s="288">
        <f t="shared" si="221"/>
        <v>0.25</v>
      </c>
      <c r="AH242" s="181" t="e">
        <f t="shared" si="205"/>
        <v>#VALUE!</v>
      </c>
      <c r="AI242" s="181" t="e">
        <f t="shared" ref="AI242:AI305" si="233">AH242*Preis_Strom.Schritt2/100</f>
        <v>#VALUE!</v>
      </c>
      <c r="AJ242" s="86">
        <f t="shared" si="206"/>
        <v>200</v>
      </c>
      <c r="AK242" s="91" t="e">
        <f t="shared" si="207"/>
        <v>#N/A</v>
      </c>
      <c r="AL242" s="91" t="e">
        <f t="shared" ref="AL242:AL305" si="234">VLOOKUP(AA242,Matrix_Motor.EffKl.IEID,2,1)</f>
        <v>#N/A</v>
      </c>
      <c r="AM242" s="91">
        <f t="shared" si="109"/>
        <v>6</v>
      </c>
      <c r="AN242" s="91" t="e">
        <f t="shared" ref="AN242:AN305" si="235">CONCATENATE(AK242,AL242,X242)</f>
        <v>#N/A</v>
      </c>
      <c r="AO242" s="91" t="e">
        <f t="shared" ref="AO242:AO305" si="236">CONCATENATE(AK242,AM242,X242)</f>
        <v>#N/A</v>
      </c>
      <c r="AP242" s="21" t="e">
        <f t="shared" ref="AP242:AP305" si="237">(VLOOKUP(AN242,Matrix_Motor.KombiKl.EffParameter,3,0)*(LOG(AJ242))^3+VLOOKUP(AN242,Matrix_Motor.KombiKl.EffParameter,4,0)*(LOG(AJ242))^2+VLOOKUP(AN242,Matrix_Motor.KombiKl.EffParameter,5,0)*(LOG(AJ242))+VLOOKUP(AN242,Matrix_Motor.KombiKl.EffParameter,6,0))/100</f>
        <v>#N/A</v>
      </c>
      <c r="AQ242" s="21" t="e">
        <f t="shared" ref="AQ242:AQ305" si="238">(VLOOKUP(AO242,Matrix_Motor.KombiKl.EffParameter,3,0)*(LOG(AJ242))^3+VLOOKUP(AO242,Matrix_Motor.KombiKl.EffParameter,4,0)*(LOG(AJ242))^2+VLOOKUP(AO242,Matrix_Motor.KombiKl.EffParameter,5,0)*(LOG(AJ242))+VLOOKUP(AO242,Matrix_Motor.KombiKl.EffParameter,6,0))/100</f>
        <v>#N/A</v>
      </c>
      <c r="AR242" s="92" t="str">
        <f t="shared" si="222"/>
        <v/>
      </c>
      <c r="AS242" s="21" t="str">
        <f t="shared" si="223"/>
        <v/>
      </c>
      <c r="AT242" s="59" t="str">
        <f t="shared" si="208"/>
        <v/>
      </c>
      <c r="AU242" s="105">
        <f t="shared" si="113"/>
        <v>1</v>
      </c>
      <c r="AV242" s="105">
        <f t="shared" ref="AV242:AV305" si="239">IF(ISERROR(VLOOKUP(S242,Matrix_Kreislauf.Zahl,2,0)),Wert_Kreislauf.Zahl.Schritt2,VLOOKUP(S242,Matrix_Kreislauf.Zahl,2,0))</f>
        <v>1</v>
      </c>
      <c r="AW242" s="58">
        <f t="shared" ref="AW242:AW305" si="240">AU242+AV242</f>
        <v>2</v>
      </c>
      <c r="AX242" s="58">
        <f t="shared" ref="AX242:AX305" si="241">VLOOKUP(AW242,Matrix_Netztyp.Kreislauf.Spalte,6,0)</f>
        <v>3</v>
      </c>
      <c r="AY242" s="58" t="str">
        <f t="shared" ref="AY242:AY305" si="242">VLOOKUP(AW242,Matrix_Netztyp.Kreislauf.Spalte,2,0)</f>
        <v>avec vannes</v>
      </c>
      <c r="AZ242" s="58" t="str">
        <f t="shared" ref="AZ242:AZ305" si="243">VLOOKUP(AW242,Matrix_Netztyp.Kreislauf.Spalte,4,0)</f>
        <v>fermé</v>
      </c>
      <c r="BA242" s="60">
        <f t="shared" si="232"/>
        <v>0</v>
      </c>
      <c r="BB242" s="60">
        <f t="shared" si="232"/>
        <v>0</v>
      </c>
      <c r="BC242" s="60">
        <f t="shared" si="232"/>
        <v>0</v>
      </c>
      <c r="BD242" s="60">
        <f t="shared" si="232"/>
        <v>0</v>
      </c>
      <c r="BE242" s="286" t="str">
        <f t="shared" si="209"/>
        <v/>
      </c>
      <c r="BF242" s="58" t="str">
        <f t="shared" si="224"/>
        <v/>
      </c>
      <c r="BG242" s="59" t="str">
        <f t="shared" si="210"/>
        <v/>
      </c>
      <c r="BH242" s="158">
        <f t="shared" ca="1" si="211"/>
        <v>1</v>
      </c>
      <c r="BI242" s="60">
        <f t="shared" ca="1" si="212"/>
        <v>0.15</v>
      </c>
      <c r="BJ242" s="60">
        <f t="shared" si="213"/>
        <v>0.2</v>
      </c>
      <c r="BK242" s="60" t="str">
        <f t="shared" si="225"/>
        <v/>
      </c>
      <c r="BL242" s="21" t="str">
        <f t="shared" si="226"/>
        <v/>
      </c>
      <c r="BM242" s="264" t="str">
        <f t="shared" si="214"/>
        <v/>
      </c>
      <c r="BN242" s="60" t="str">
        <f t="shared" si="227"/>
        <v/>
      </c>
      <c r="BO242" s="136">
        <f t="shared" si="228"/>
        <v>0</v>
      </c>
      <c r="BP242" s="59">
        <f t="shared" si="229"/>
        <v>0</v>
      </c>
      <c r="BQ242" s="136">
        <f t="shared" ca="1" si="215"/>
        <v>1427</v>
      </c>
      <c r="BR242" s="136">
        <f t="shared" ca="1" si="216"/>
        <v>1000.7541528239203</v>
      </c>
      <c r="BS242" s="136">
        <f t="shared" ca="1" si="217"/>
        <v>1468800.7541528239</v>
      </c>
      <c r="BT242" s="136">
        <f t="shared" ca="1" si="218"/>
        <v>313875.67687858315</v>
      </c>
      <c r="BU242" s="136">
        <f t="shared" ca="1" si="219"/>
        <v>1000.7541528239203</v>
      </c>
    </row>
    <row r="243" spans="1:73" x14ac:dyDescent="0.2">
      <c r="A243" s="87" t="str">
        <f>'Etape 2'!A240</f>
        <v/>
      </c>
      <c r="B243" s="87">
        <f>'Etape 2'!B240</f>
        <v>228</v>
      </c>
      <c r="C243" s="87">
        <f ca="1">'Etape 2'!C240</f>
        <v>73</v>
      </c>
      <c r="D243" s="87"/>
      <c r="E243" s="61">
        <f ca="1">RANK(BU243,BU$16:BU$315,0)+COUNTIF(BU$16:BU243,BU243)-1</f>
        <v>73</v>
      </c>
      <c r="F243" s="87" t="str">
        <f>'Etape 2'!D240</f>
        <v/>
      </c>
      <c r="G243" s="87" t="str">
        <f>'Etape 2'!E240</f>
        <v/>
      </c>
      <c r="H243" s="87" t="str">
        <f>'Etape 2'!F240</f>
        <v/>
      </c>
      <c r="I243" s="87" t="str">
        <f>'Etape 2'!G240</f>
        <v/>
      </c>
      <c r="J243" s="87" t="str">
        <f>'Etape 2'!H240</f>
        <v/>
      </c>
      <c r="K243" s="87" t="str">
        <f>'Etape 2'!I240</f>
        <v/>
      </c>
      <c r="L243" s="87">
        <f ca="1">'Etape 2'!J240</f>
        <v>999999</v>
      </c>
      <c r="M243" s="87">
        <f>'Etape 2'!K240</f>
        <v>999</v>
      </c>
      <c r="N243" s="87">
        <f ca="1">'Etape 2'!L240</f>
        <v>228</v>
      </c>
      <c r="O243" s="259">
        <f t="shared" si="202"/>
        <v>0.3</v>
      </c>
      <c r="P243" s="259">
        <f t="shared" si="203"/>
        <v>1.1000000000000001</v>
      </c>
      <c r="Q243" s="260">
        <f t="shared" si="204"/>
        <v>0</v>
      </c>
      <c r="R243" s="261">
        <f t="shared" si="230"/>
        <v>0</v>
      </c>
      <c r="S243" s="87">
        <f>IF(ISBLANK('Etape 2'!N240),0,VLOOKUP('Etape 2'!N240,Matrix_Uebersetzung,2,FALSE))</f>
        <v>0</v>
      </c>
      <c r="T243" s="87">
        <f>IF(ISBLANK('Etape 2'!O240),0,VLOOKUP('Etape 2'!O240,Matrix_Uebersetzung,2,FALSE))</f>
        <v>0</v>
      </c>
      <c r="U243" s="87">
        <f>IF(ISBLANK('Etape 2'!P240),0,VLOOKUP('Etape 2'!P240,Matrix_Uebersetzung,2,FALSE))</f>
        <v>0</v>
      </c>
      <c r="V243" s="87" t="str">
        <f>'Etape 2'!Q240</f>
        <v/>
      </c>
      <c r="W243" s="87">
        <f>'Etape 2'!R240</f>
        <v>0</v>
      </c>
      <c r="X243" s="87" t="str">
        <f>'Etape 2'!S240</f>
        <v/>
      </c>
      <c r="Y243" s="89" t="str">
        <f>'Etape 2'!T240</f>
        <v/>
      </c>
      <c r="Z243" s="87">
        <f>'Etape 2'!U240</f>
        <v>0</v>
      </c>
      <c r="AA243" s="87" t="str">
        <f>'Etape 2'!V240</f>
        <v/>
      </c>
      <c r="AB243" s="87">
        <f>IF(ISNUMBER('Etape 2'!W240),'Etape 2'!W240,0)</f>
        <v>0</v>
      </c>
      <c r="AC243" s="87">
        <f>IF(ISNUMBER('Etape 2'!X240),'Etape 2'!X240,0)</f>
        <v>0</v>
      </c>
      <c r="AD243" s="87">
        <f>IF(ISNUMBER('Etape 2'!Y240),'Etape 2'!Y240,0)</f>
        <v>0</v>
      </c>
      <c r="AE243" s="87">
        <f>IF(ISNUMBER('Etape 2'!Z240),'Etape 2'!Z240,0)</f>
        <v>0</v>
      </c>
      <c r="AF243" s="86">
        <f t="shared" si="220"/>
        <v>999</v>
      </c>
      <c r="AG243" s="288">
        <f t="shared" si="221"/>
        <v>0.25</v>
      </c>
      <c r="AH243" s="181" t="e">
        <f t="shared" si="205"/>
        <v>#VALUE!</v>
      </c>
      <c r="AI243" s="181" t="e">
        <f t="shared" si="233"/>
        <v>#VALUE!</v>
      </c>
      <c r="AJ243" s="86">
        <f t="shared" si="206"/>
        <v>200</v>
      </c>
      <c r="AK243" s="91" t="e">
        <f t="shared" si="207"/>
        <v>#N/A</v>
      </c>
      <c r="AL243" s="91" t="e">
        <f t="shared" si="234"/>
        <v>#N/A</v>
      </c>
      <c r="AM243" s="91">
        <f t="shared" si="109"/>
        <v>6</v>
      </c>
      <c r="AN243" s="91" t="e">
        <f t="shared" si="235"/>
        <v>#N/A</v>
      </c>
      <c r="AO243" s="91" t="e">
        <f t="shared" si="236"/>
        <v>#N/A</v>
      </c>
      <c r="AP243" s="21" t="e">
        <f t="shared" si="237"/>
        <v>#N/A</v>
      </c>
      <c r="AQ243" s="21" t="e">
        <f t="shared" si="238"/>
        <v>#N/A</v>
      </c>
      <c r="AR243" s="92" t="str">
        <f t="shared" si="222"/>
        <v/>
      </c>
      <c r="AS243" s="21" t="str">
        <f t="shared" si="223"/>
        <v/>
      </c>
      <c r="AT243" s="59" t="str">
        <f t="shared" si="208"/>
        <v/>
      </c>
      <c r="AU243" s="105">
        <f t="shared" si="113"/>
        <v>1</v>
      </c>
      <c r="AV243" s="105">
        <f t="shared" si="239"/>
        <v>1</v>
      </c>
      <c r="AW243" s="58">
        <f t="shared" si="240"/>
        <v>2</v>
      </c>
      <c r="AX243" s="58">
        <f t="shared" si="241"/>
        <v>3</v>
      </c>
      <c r="AY243" s="58" t="str">
        <f t="shared" si="242"/>
        <v>avec vannes</v>
      </c>
      <c r="AZ243" s="58" t="str">
        <f t="shared" si="243"/>
        <v>fermé</v>
      </c>
      <c r="BA243" s="60">
        <f t="shared" si="232"/>
        <v>0</v>
      </c>
      <c r="BB243" s="60">
        <f t="shared" si="232"/>
        <v>0</v>
      </c>
      <c r="BC243" s="60">
        <f t="shared" si="232"/>
        <v>0</v>
      </c>
      <c r="BD243" s="60">
        <f t="shared" si="232"/>
        <v>0</v>
      </c>
      <c r="BE243" s="286" t="str">
        <f t="shared" si="209"/>
        <v/>
      </c>
      <c r="BF243" s="58" t="str">
        <f t="shared" si="224"/>
        <v/>
      </c>
      <c r="BG243" s="59" t="str">
        <f t="shared" si="210"/>
        <v/>
      </c>
      <c r="BH243" s="158">
        <f t="shared" ca="1" si="211"/>
        <v>1</v>
      </c>
      <c r="BI243" s="60">
        <f t="shared" ca="1" si="212"/>
        <v>0.15</v>
      </c>
      <c r="BJ243" s="60">
        <f t="shared" si="213"/>
        <v>0.2</v>
      </c>
      <c r="BK243" s="60" t="str">
        <f t="shared" si="225"/>
        <v/>
      </c>
      <c r="BL243" s="21" t="str">
        <f t="shared" si="226"/>
        <v/>
      </c>
      <c r="BM243" s="264" t="str">
        <f t="shared" si="214"/>
        <v/>
      </c>
      <c r="BN243" s="60" t="str">
        <f t="shared" si="227"/>
        <v/>
      </c>
      <c r="BO243" s="136">
        <f t="shared" si="228"/>
        <v>0</v>
      </c>
      <c r="BP243" s="59">
        <f t="shared" si="229"/>
        <v>0</v>
      </c>
      <c r="BQ243" s="136">
        <f t="shared" ca="1" si="215"/>
        <v>1428</v>
      </c>
      <c r="BR243" s="136">
        <f t="shared" ca="1" si="216"/>
        <v>1000.7574750830565</v>
      </c>
      <c r="BS243" s="136">
        <f t="shared" ca="1" si="217"/>
        <v>1468800.757475083</v>
      </c>
      <c r="BT243" s="136">
        <f t="shared" ca="1" si="218"/>
        <v>313875.68020084227</v>
      </c>
      <c r="BU243" s="136">
        <f t="shared" ca="1" si="219"/>
        <v>1000.7574750830565</v>
      </c>
    </row>
    <row r="244" spans="1:73" x14ac:dyDescent="0.2">
      <c r="A244" s="87" t="str">
        <f>'Etape 2'!A241</f>
        <v/>
      </c>
      <c r="B244" s="87">
        <f>'Etape 2'!B241</f>
        <v>229</v>
      </c>
      <c r="C244" s="87">
        <f ca="1">'Etape 2'!C241</f>
        <v>72</v>
      </c>
      <c r="D244" s="87"/>
      <c r="E244" s="61">
        <f ca="1">RANK(BU244,BU$16:BU$315,0)+COUNTIF(BU$16:BU244,BU244)-1</f>
        <v>72</v>
      </c>
      <c r="F244" s="87" t="str">
        <f>'Etape 2'!D241</f>
        <v/>
      </c>
      <c r="G244" s="87" t="str">
        <f>'Etape 2'!E241</f>
        <v/>
      </c>
      <c r="H244" s="87" t="str">
        <f>'Etape 2'!F241</f>
        <v/>
      </c>
      <c r="I244" s="87" t="str">
        <f>'Etape 2'!G241</f>
        <v/>
      </c>
      <c r="J244" s="87" t="str">
        <f>'Etape 2'!H241</f>
        <v/>
      </c>
      <c r="K244" s="87" t="str">
        <f>'Etape 2'!I241</f>
        <v/>
      </c>
      <c r="L244" s="87">
        <f ca="1">'Etape 2'!J241</f>
        <v>999999</v>
      </c>
      <c r="M244" s="87">
        <f>'Etape 2'!K241</f>
        <v>999</v>
      </c>
      <c r="N244" s="87">
        <f ca="1">'Etape 2'!L241</f>
        <v>229</v>
      </c>
      <c r="O244" s="259">
        <f t="shared" si="202"/>
        <v>0.3</v>
      </c>
      <c r="P244" s="259">
        <f t="shared" si="203"/>
        <v>1.1000000000000001</v>
      </c>
      <c r="Q244" s="260">
        <f t="shared" si="204"/>
        <v>0</v>
      </c>
      <c r="R244" s="261">
        <f t="shared" si="230"/>
        <v>0</v>
      </c>
      <c r="S244" s="87">
        <f>IF(ISBLANK('Etape 2'!N241),0,VLOOKUP('Etape 2'!N241,Matrix_Uebersetzung,2,FALSE))</f>
        <v>0</v>
      </c>
      <c r="T244" s="87">
        <f>IF(ISBLANK('Etape 2'!O241),0,VLOOKUP('Etape 2'!O241,Matrix_Uebersetzung,2,FALSE))</f>
        <v>0</v>
      </c>
      <c r="U244" s="87">
        <f>IF(ISBLANK('Etape 2'!P241),0,VLOOKUP('Etape 2'!P241,Matrix_Uebersetzung,2,FALSE))</f>
        <v>0</v>
      </c>
      <c r="V244" s="87" t="str">
        <f>'Etape 2'!Q241</f>
        <v/>
      </c>
      <c r="W244" s="87">
        <f>'Etape 2'!R241</f>
        <v>0</v>
      </c>
      <c r="X244" s="87" t="str">
        <f>'Etape 2'!S241</f>
        <v/>
      </c>
      <c r="Y244" s="89" t="str">
        <f>'Etape 2'!T241</f>
        <v/>
      </c>
      <c r="Z244" s="87">
        <f>'Etape 2'!U241</f>
        <v>0</v>
      </c>
      <c r="AA244" s="87" t="str">
        <f>'Etape 2'!V241</f>
        <v/>
      </c>
      <c r="AB244" s="87">
        <f>IF(ISNUMBER('Etape 2'!W241),'Etape 2'!W241,0)</f>
        <v>0</v>
      </c>
      <c r="AC244" s="87">
        <f>IF(ISNUMBER('Etape 2'!X241),'Etape 2'!X241,0)</f>
        <v>0</v>
      </c>
      <c r="AD244" s="87">
        <f>IF(ISNUMBER('Etape 2'!Y241),'Etape 2'!Y241,0)</f>
        <v>0</v>
      </c>
      <c r="AE244" s="87">
        <f>IF(ISNUMBER('Etape 2'!Z241),'Etape 2'!Z241,0)</f>
        <v>0</v>
      </c>
      <c r="AF244" s="86">
        <f t="shared" si="220"/>
        <v>999</v>
      </c>
      <c r="AG244" s="288">
        <f t="shared" si="221"/>
        <v>0.25</v>
      </c>
      <c r="AH244" s="181" t="e">
        <f t="shared" si="205"/>
        <v>#VALUE!</v>
      </c>
      <c r="AI244" s="181" t="e">
        <f t="shared" si="233"/>
        <v>#VALUE!</v>
      </c>
      <c r="AJ244" s="86">
        <f t="shared" si="206"/>
        <v>200</v>
      </c>
      <c r="AK244" s="91" t="e">
        <f t="shared" si="207"/>
        <v>#N/A</v>
      </c>
      <c r="AL244" s="91" t="e">
        <f t="shared" si="234"/>
        <v>#N/A</v>
      </c>
      <c r="AM244" s="91">
        <f t="shared" si="109"/>
        <v>6</v>
      </c>
      <c r="AN244" s="91" t="e">
        <f t="shared" si="235"/>
        <v>#N/A</v>
      </c>
      <c r="AO244" s="91" t="e">
        <f t="shared" si="236"/>
        <v>#N/A</v>
      </c>
      <c r="AP244" s="21" t="e">
        <f t="shared" si="237"/>
        <v>#N/A</v>
      </c>
      <c r="AQ244" s="21" t="e">
        <f t="shared" si="238"/>
        <v>#N/A</v>
      </c>
      <c r="AR244" s="92" t="str">
        <f t="shared" si="222"/>
        <v/>
      </c>
      <c r="AS244" s="21" t="str">
        <f t="shared" si="223"/>
        <v/>
      </c>
      <c r="AT244" s="59" t="str">
        <f t="shared" si="208"/>
        <v/>
      </c>
      <c r="AU244" s="105">
        <f t="shared" si="113"/>
        <v>1</v>
      </c>
      <c r="AV244" s="105">
        <f t="shared" si="239"/>
        <v>1</v>
      </c>
      <c r="AW244" s="58">
        <f t="shared" si="240"/>
        <v>2</v>
      </c>
      <c r="AX244" s="58">
        <f t="shared" si="241"/>
        <v>3</v>
      </c>
      <c r="AY244" s="58" t="str">
        <f t="shared" si="242"/>
        <v>avec vannes</v>
      </c>
      <c r="AZ244" s="58" t="str">
        <f t="shared" si="243"/>
        <v>fermé</v>
      </c>
      <c r="BA244" s="60">
        <f t="shared" si="232"/>
        <v>0</v>
      </c>
      <c r="BB244" s="60">
        <f t="shared" si="232"/>
        <v>0</v>
      </c>
      <c r="BC244" s="60">
        <f t="shared" si="232"/>
        <v>0</v>
      </c>
      <c r="BD244" s="60">
        <f t="shared" si="232"/>
        <v>0</v>
      </c>
      <c r="BE244" s="286" t="str">
        <f t="shared" si="209"/>
        <v/>
      </c>
      <c r="BF244" s="58" t="str">
        <f t="shared" si="224"/>
        <v/>
      </c>
      <c r="BG244" s="59" t="str">
        <f t="shared" si="210"/>
        <v/>
      </c>
      <c r="BH244" s="158">
        <f t="shared" ca="1" si="211"/>
        <v>1</v>
      </c>
      <c r="BI244" s="60">
        <f t="shared" ca="1" si="212"/>
        <v>0.15</v>
      </c>
      <c r="BJ244" s="60">
        <f t="shared" si="213"/>
        <v>0.2</v>
      </c>
      <c r="BK244" s="60" t="str">
        <f t="shared" si="225"/>
        <v/>
      </c>
      <c r="BL244" s="21" t="str">
        <f t="shared" si="226"/>
        <v/>
      </c>
      <c r="BM244" s="264" t="str">
        <f t="shared" si="214"/>
        <v/>
      </c>
      <c r="BN244" s="60" t="str">
        <f t="shared" si="227"/>
        <v/>
      </c>
      <c r="BO244" s="136">
        <f t="shared" si="228"/>
        <v>0</v>
      </c>
      <c r="BP244" s="59">
        <f t="shared" si="229"/>
        <v>0</v>
      </c>
      <c r="BQ244" s="136">
        <f t="shared" ca="1" si="215"/>
        <v>1429</v>
      </c>
      <c r="BR244" s="136">
        <f t="shared" ca="1" si="216"/>
        <v>1000.7607973421927</v>
      </c>
      <c r="BS244" s="136">
        <f t="shared" ca="1" si="217"/>
        <v>1468800.7607973423</v>
      </c>
      <c r="BT244" s="136">
        <f t="shared" ca="1" si="218"/>
        <v>313875.68352310138</v>
      </c>
      <c r="BU244" s="136">
        <f t="shared" ca="1" si="219"/>
        <v>1000.7607973421927</v>
      </c>
    </row>
    <row r="245" spans="1:73" x14ac:dyDescent="0.2">
      <c r="A245" s="87" t="str">
        <f>'Etape 2'!A242</f>
        <v/>
      </c>
      <c r="B245" s="87">
        <f>'Etape 2'!B242</f>
        <v>230</v>
      </c>
      <c r="C245" s="87">
        <f ca="1">'Etape 2'!C242</f>
        <v>71</v>
      </c>
      <c r="D245" s="87"/>
      <c r="E245" s="61">
        <f ca="1">RANK(BU245,BU$16:BU$315,0)+COUNTIF(BU$16:BU245,BU245)-1</f>
        <v>71</v>
      </c>
      <c r="F245" s="87" t="str">
        <f>'Etape 2'!D242</f>
        <v/>
      </c>
      <c r="G245" s="87" t="str">
        <f>'Etape 2'!E242</f>
        <v/>
      </c>
      <c r="H245" s="87" t="str">
        <f>'Etape 2'!F242</f>
        <v/>
      </c>
      <c r="I245" s="87" t="str">
        <f>'Etape 2'!G242</f>
        <v/>
      </c>
      <c r="J245" s="87" t="str">
        <f>'Etape 2'!H242</f>
        <v/>
      </c>
      <c r="K245" s="87" t="str">
        <f>'Etape 2'!I242</f>
        <v/>
      </c>
      <c r="L245" s="87">
        <f ca="1">'Etape 2'!J242</f>
        <v>999999</v>
      </c>
      <c r="M245" s="87">
        <f>'Etape 2'!K242</f>
        <v>999</v>
      </c>
      <c r="N245" s="87">
        <f ca="1">'Etape 2'!L242</f>
        <v>230</v>
      </c>
      <c r="O245" s="259">
        <f t="shared" si="202"/>
        <v>0.3</v>
      </c>
      <c r="P245" s="259">
        <f t="shared" si="203"/>
        <v>1.1000000000000001</v>
      </c>
      <c r="Q245" s="260">
        <f t="shared" si="204"/>
        <v>0</v>
      </c>
      <c r="R245" s="261">
        <f t="shared" si="230"/>
        <v>0</v>
      </c>
      <c r="S245" s="87">
        <f>IF(ISBLANK('Etape 2'!N242),0,VLOOKUP('Etape 2'!N242,Matrix_Uebersetzung,2,FALSE))</f>
        <v>0</v>
      </c>
      <c r="T245" s="87">
        <f>IF(ISBLANK('Etape 2'!O242),0,VLOOKUP('Etape 2'!O242,Matrix_Uebersetzung,2,FALSE))</f>
        <v>0</v>
      </c>
      <c r="U245" s="87">
        <f>IF(ISBLANK('Etape 2'!P242),0,VLOOKUP('Etape 2'!P242,Matrix_Uebersetzung,2,FALSE))</f>
        <v>0</v>
      </c>
      <c r="V245" s="87" t="str">
        <f>'Etape 2'!Q242</f>
        <v/>
      </c>
      <c r="W245" s="87">
        <f>'Etape 2'!R242</f>
        <v>0</v>
      </c>
      <c r="X245" s="87" t="str">
        <f>'Etape 2'!S242</f>
        <v/>
      </c>
      <c r="Y245" s="89" t="str">
        <f>'Etape 2'!T242</f>
        <v/>
      </c>
      <c r="Z245" s="87">
        <f>'Etape 2'!U242</f>
        <v>0</v>
      </c>
      <c r="AA245" s="87" t="str">
        <f>'Etape 2'!V242</f>
        <v/>
      </c>
      <c r="AB245" s="87">
        <f>IF(ISNUMBER('Etape 2'!W242),'Etape 2'!W242,0)</f>
        <v>0</v>
      </c>
      <c r="AC245" s="87">
        <f>IF(ISNUMBER('Etape 2'!X242),'Etape 2'!X242,0)</f>
        <v>0</v>
      </c>
      <c r="AD245" s="87">
        <f>IF(ISNUMBER('Etape 2'!Y242),'Etape 2'!Y242,0)</f>
        <v>0</v>
      </c>
      <c r="AE245" s="87">
        <f>IF(ISNUMBER('Etape 2'!Z242),'Etape 2'!Z242,0)</f>
        <v>0</v>
      </c>
      <c r="AF245" s="86">
        <f t="shared" si="220"/>
        <v>999</v>
      </c>
      <c r="AG245" s="288">
        <f t="shared" si="221"/>
        <v>0.25</v>
      </c>
      <c r="AH245" s="181" t="e">
        <f t="shared" si="205"/>
        <v>#VALUE!</v>
      </c>
      <c r="AI245" s="181" t="e">
        <f t="shared" si="233"/>
        <v>#VALUE!</v>
      </c>
      <c r="AJ245" s="86">
        <f t="shared" si="206"/>
        <v>200</v>
      </c>
      <c r="AK245" s="91" t="e">
        <f t="shared" si="207"/>
        <v>#N/A</v>
      </c>
      <c r="AL245" s="91" t="e">
        <f t="shared" si="234"/>
        <v>#N/A</v>
      </c>
      <c r="AM245" s="91">
        <f t="shared" si="109"/>
        <v>6</v>
      </c>
      <c r="AN245" s="91" t="e">
        <f t="shared" si="235"/>
        <v>#N/A</v>
      </c>
      <c r="AO245" s="91" t="e">
        <f t="shared" si="236"/>
        <v>#N/A</v>
      </c>
      <c r="AP245" s="21" t="e">
        <f t="shared" si="237"/>
        <v>#N/A</v>
      </c>
      <c r="AQ245" s="21" t="e">
        <f t="shared" si="238"/>
        <v>#N/A</v>
      </c>
      <c r="AR245" s="92" t="str">
        <f t="shared" si="222"/>
        <v/>
      </c>
      <c r="AS245" s="21" t="str">
        <f t="shared" si="223"/>
        <v/>
      </c>
      <c r="AT245" s="59" t="str">
        <f t="shared" si="208"/>
        <v/>
      </c>
      <c r="AU245" s="105">
        <f t="shared" si="113"/>
        <v>1</v>
      </c>
      <c r="AV245" s="105">
        <f t="shared" si="239"/>
        <v>1</v>
      </c>
      <c r="AW245" s="58">
        <f t="shared" si="240"/>
        <v>2</v>
      </c>
      <c r="AX245" s="58">
        <f t="shared" si="241"/>
        <v>3</v>
      </c>
      <c r="AY245" s="58" t="str">
        <f t="shared" si="242"/>
        <v>avec vannes</v>
      </c>
      <c r="AZ245" s="58" t="str">
        <f t="shared" si="243"/>
        <v>fermé</v>
      </c>
      <c r="BA245" s="60">
        <f t="shared" si="232"/>
        <v>0</v>
      </c>
      <c r="BB245" s="60">
        <f t="shared" si="232"/>
        <v>0</v>
      </c>
      <c r="BC245" s="60">
        <f t="shared" si="232"/>
        <v>0</v>
      </c>
      <c r="BD245" s="60">
        <f t="shared" si="232"/>
        <v>0</v>
      </c>
      <c r="BE245" s="286" t="str">
        <f t="shared" si="209"/>
        <v/>
      </c>
      <c r="BF245" s="58" t="str">
        <f t="shared" si="224"/>
        <v/>
      </c>
      <c r="BG245" s="59" t="str">
        <f t="shared" si="210"/>
        <v/>
      </c>
      <c r="BH245" s="158">
        <f t="shared" ca="1" si="211"/>
        <v>1</v>
      </c>
      <c r="BI245" s="60">
        <f t="shared" ca="1" si="212"/>
        <v>0.15</v>
      </c>
      <c r="BJ245" s="60">
        <f t="shared" si="213"/>
        <v>0.2</v>
      </c>
      <c r="BK245" s="60" t="str">
        <f t="shared" si="225"/>
        <v/>
      </c>
      <c r="BL245" s="21" t="str">
        <f t="shared" si="226"/>
        <v/>
      </c>
      <c r="BM245" s="264" t="str">
        <f t="shared" si="214"/>
        <v/>
      </c>
      <c r="BN245" s="60" t="str">
        <f t="shared" si="227"/>
        <v/>
      </c>
      <c r="BO245" s="136">
        <f t="shared" si="228"/>
        <v>0</v>
      </c>
      <c r="BP245" s="59">
        <f t="shared" si="229"/>
        <v>0</v>
      </c>
      <c r="BQ245" s="136">
        <f t="shared" ca="1" si="215"/>
        <v>1430</v>
      </c>
      <c r="BR245" s="136">
        <f t="shared" ca="1" si="216"/>
        <v>1000.764119601329</v>
      </c>
      <c r="BS245" s="136">
        <f t="shared" ca="1" si="217"/>
        <v>1468800.7641196013</v>
      </c>
      <c r="BT245" s="136">
        <f t="shared" ca="1" si="218"/>
        <v>313875.68684536056</v>
      </c>
      <c r="BU245" s="136">
        <f t="shared" ca="1" si="219"/>
        <v>1000.764119601329</v>
      </c>
    </row>
    <row r="246" spans="1:73" x14ac:dyDescent="0.2">
      <c r="A246" s="87" t="str">
        <f>'Etape 2'!A243</f>
        <v/>
      </c>
      <c r="B246" s="87">
        <f>'Etape 2'!B243</f>
        <v>231</v>
      </c>
      <c r="C246" s="87">
        <f ca="1">'Etape 2'!C243</f>
        <v>70</v>
      </c>
      <c r="D246" s="87"/>
      <c r="E246" s="61">
        <f ca="1">RANK(BU246,BU$16:BU$315,0)+COUNTIF(BU$16:BU246,BU246)-1</f>
        <v>70</v>
      </c>
      <c r="F246" s="87" t="str">
        <f>'Etape 2'!D243</f>
        <v/>
      </c>
      <c r="G246" s="87" t="str">
        <f>'Etape 2'!E243</f>
        <v/>
      </c>
      <c r="H246" s="87" t="str">
        <f>'Etape 2'!F243</f>
        <v/>
      </c>
      <c r="I246" s="87" t="str">
        <f>'Etape 2'!G243</f>
        <v/>
      </c>
      <c r="J246" s="87" t="str">
        <f>'Etape 2'!H243</f>
        <v/>
      </c>
      <c r="K246" s="87" t="str">
        <f>'Etape 2'!I243</f>
        <v/>
      </c>
      <c r="L246" s="87">
        <f ca="1">'Etape 2'!J243</f>
        <v>999999</v>
      </c>
      <c r="M246" s="87">
        <f>'Etape 2'!K243</f>
        <v>999</v>
      </c>
      <c r="N246" s="87">
        <f ca="1">'Etape 2'!L243</f>
        <v>231</v>
      </c>
      <c r="O246" s="259">
        <f t="shared" si="202"/>
        <v>0.3</v>
      </c>
      <c r="P246" s="259">
        <f t="shared" si="203"/>
        <v>1.1000000000000001</v>
      </c>
      <c r="Q246" s="260">
        <f t="shared" si="204"/>
        <v>0</v>
      </c>
      <c r="R246" s="261">
        <f t="shared" si="230"/>
        <v>0</v>
      </c>
      <c r="S246" s="87">
        <f>IF(ISBLANK('Etape 2'!N243),0,VLOOKUP('Etape 2'!N243,Matrix_Uebersetzung,2,FALSE))</f>
        <v>0</v>
      </c>
      <c r="T246" s="87">
        <f>IF(ISBLANK('Etape 2'!O243),0,VLOOKUP('Etape 2'!O243,Matrix_Uebersetzung,2,FALSE))</f>
        <v>0</v>
      </c>
      <c r="U246" s="87">
        <f>IF(ISBLANK('Etape 2'!P243),0,VLOOKUP('Etape 2'!P243,Matrix_Uebersetzung,2,FALSE))</f>
        <v>0</v>
      </c>
      <c r="V246" s="87" t="str">
        <f>'Etape 2'!Q243</f>
        <v/>
      </c>
      <c r="W246" s="87">
        <f>'Etape 2'!R243</f>
        <v>0</v>
      </c>
      <c r="X246" s="87" t="str">
        <f>'Etape 2'!S243</f>
        <v/>
      </c>
      <c r="Y246" s="89" t="str">
        <f>'Etape 2'!T243</f>
        <v/>
      </c>
      <c r="Z246" s="87">
        <f>'Etape 2'!U243</f>
        <v>0</v>
      </c>
      <c r="AA246" s="87" t="str">
        <f>'Etape 2'!V243</f>
        <v/>
      </c>
      <c r="AB246" s="87">
        <f>IF(ISNUMBER('Etape 2'!W243),'Etape 2'!W243,0)</f>
        <v>0</v>
      </c>
      <c r="AC246" s="87">
        <f>IF(ISNUMBER('Etape 2'!X243),'Etape 2'!X243,0)</f>
        <v>0</v>
      </c>
      <c r="AD246" s="87">
        <f>IF(ISNUMBER('Etape 2'!Y243),'Etape 2'!Y243,0)</f>
        <v>0</v>
      </c>
      <c r="AE246" s="87">
        <f>IF(ISNUMBER('Etape 2'!Z243),'Etape 2'!Z243,0)</f>
        <v>0</v>
      </c>
      <c r="AF246" s="86">
        <f t="shared" si="220"/>
        <v>999</v>
      </c>
      <c r="AG246" s="288">
        <f t="shared" si="221"/>
        <v>0.25</v>
      </c>
      <c r="AH246" s="181" t="e">
        <f t="shared" si="205"/>
        <v>#VALUE!</v>
      </c>
      <c r="AI246" s="181" t="e">
        <f t="shared" si="233"/>
        <v>#VALUE!</v>
      </c>
      <c r="AJ246" s="86">
        <f t="shared" si="206"/>
        <v>200</v>
      </c>
      <c r="AK246" s="91" t="e">
        <f t="shared" si="207"/>
        <v>#N/A</v>
      </c>
      <c r="AL246" s="91" t="e">
        <f t="shared" si="234"/>
        <v>#N/A</v>
      </c>
      <c r="AM246" s="91">
        <f t="shared" si="109"/>
        <v>6</v>
      </c>
      <c r="AN246" s="91" t="e">
        <f t="shared" si="235"/>
        <v>#N/A</v>
      </c>
      <c r="AO246" s="91" t="e">
        <f t="shared" si="236"/>
        <v>#N/A</v>
      </c>
      <c r="AP246" s="21" t="e">
        <f t="shared" si="237"/>
        <v>#N/A</v>
      </c>
      <c r="AQ246" s="21" t="e">
        <f t="shared" si="238"/>
        <v>#N/A</v>
      </c>
      <c r="AR246" s="92" t="str">
        <f t="shared" si="222"/>
        <v/>
      </c>
      <c r="AS246" s="21" t="str">
        <f t="shared" si="223"/>
        <v/>
      </c>
      <c r="AT246" s="59" t="str">
        <f t="shared" si="208"/>
        <v/>
      </c>
      <c r="AU246" s="105">
        <f t="shared" si="113"/>
        <v>1</v>
      </c>
      <c r="AV246" s="105">
        <f t="shared" si="239"/>
        <v>1</v>
      </c>
      <c r="AW246" s="58">
        <f t="shared" si="240"/>
        <v>2</v>
      </c>
      <c r="AX246" s="58">
        <f t="shared" si="241"/>
        <v>3</v>
      </c>
      <c r="AY246" s="58" t="str">
        <f t="shared" si="242"/>
        <v>avec vannes</v>
      </c>
      <c r="AZ246" s="58" t="str">
        <f t="shared" si="243"/>
        <v>fermé</v>
      </c>
      <c r="BA246" s="60">
        <f t="shared" si="232"/>
        <v>0</v>
      </c>
      <c r="BB246" s="60">
        <f t="shared" si="232"/>
        <v>0</v>
      </c>
      <c r="BC246" s="60">
        <f t="shared" si="232"/>
        <v>0</v>
      </c>
      <c r="BD246" s="60">
        <f t="shared" si="232"/>
        <v>0</v>
      </c>
      <c r="BE246" s="286" t="str">
        <f t="shared" si="209"/>
        <v/>
      </c>
      <c r="BF246" s="58" t="str">
        <f t="shared" si="224"/>
        <v/>
      </c>
      <c r="BG246" s="59" t="str">
        <f t="shared" si="210"/>
        <v/>
      </c>
      <c r="BH246" s="158">
        <f t="shared" ca="1" si="211"/>
        <v>1</v>
      </c>
      <c r="BI246" s="60">
        <f t="shared" ca="1" si="212"/>
        <v>0.15</v>
      </c>
      <c r="BJ246" s="60">
        <f t="shared" si="213"/>
        <v>0.2</v>
      </c>
      <c r="BK246" s="60" t="str">
        <f t="shared" si="225"/>
        <v/>
      </c>
      <c r="BL246" s="21" t="str">
        <f t="shared" si="226"/>
        <v/>
      </c>
      <c r="BM246" s="264" t="str">
        <f t="shared" si="214"/>
        <v/>
      </c>
      <c r="BN246" s="60" t="str">
        <f t="shared" si="227"/>
        <v/>
      </c>
      <c r="BO246" s="136">
        <f t="shared" si="228"/>
        <v>0</v>
      </c>
      <c r="BP246" s="59">
        <f t="shared" si="229"/>
        <v>0</v>
      </c>
      <c r="BQ246" s="136">
        <f t="shared" ca="1" si="215"/>
        <v>1431</v>
      </c>
      <c r="BR246" s="136">
        <f t="shared" ca="1" si="216"/>
        <v>1000.7674418604652</v>
      </c>
      <c r="BS246" s="136">
        <f t="shared" ca="1" si="217"/>
        <v>1468800.7674418604</v>
      </c>
      <c r="BT246" s="136">
        <f t="shared" ca="1" si="218"/>
        <v>313875.69016761967</v>
      </c>
      <c r="BU246" s="136">
        <f t="shared" ca="1" si="219"/>
        <v>1000.7674418604652</v>
      </c>
    </row>
    <row r="247" spans="1:73" x14ac:dyDescent="0.2">
      <c r="A247" s="87" t="str">
        <f>'Etape 2'!A244</f>
        <v/>
      </c>
      <c r="B247" s="87">
        <f>'Etape 2'!B244</f>
        <v>232</v>
      </c>
      <c r="C247" s="87">
        <f ca="1">'Etape 2'!C244</f>
        <v>69</v>
      </c>
      <c r="D247" s="87"/>
      <c r="E247" s="61">
        <f ca="1">RANK(BU247,BU$16:BU$315,0)+COUNTIF(BU$16:BU247,BU247)-1</f>
        <v>69</v>
      </c>
      <c r="F247" s="87" t="str">
        <f>'Etape 2'!D244</f>
        <v/>
      </c>
      <c r="G247" s="87" t="str">
        <f>'Etape 2'!E244</f>
        <v/>
      </c>
      <c r="H247" s="87" t="str">
        <f>'Etape 2'!F244</f>
        <v/>
      </c>
      <c r="I247" s="87" t="str">
        <f>'Etape 2'!G244</f>
        <v/>
      </c>
      <c r="J247" s="87" t="str">
        <f>'Etape 2'!H244</f>
        <v/>
      </c>
      <c r="K247" s="87" t="str">
        <f>'Etape 2'!I244</f>
        <v/>
      </c>
      <c r="L247" s="87">
        <f ca="1">'Etape 2'!J244</f>
        <v>999999</v>
      </c>
      <c r="M247" s="87">
        <f>'Etape 2'!K244</f>
        <v>999</v>
      </c>
      <c r="N247" s="87">
        <f ca="1">'Etape 2'!L244</f>
        <v>232</v>
      </c>
      <c r="O247" s="259">
        <f t="shared" si="202"/>
        <v>0.3</v>
      </c>
      <c r="P247" s="259">
        <f t="shared" si="203"/>
        <v>1.1000000000000001</v>
      </c>
      <c r="Q247" s="260">
        <f t="shared" si="204"/>
        <v>0</v>
      </c>
      <c r="R247" s="261">
        <f t="shared" si="230"/>
        <v>0</v>
      </c>
      <c r="S247" s="87">
        <f>IF(ISBLANK('Etape 2'!N244),0,VLOOKUP('Etape 2'!N244,Matrix_Uebersetzung,2,FALSE))</f>
        <v>0</v>
      </c>
      <c r="T247" s="87">
        <f>IF(ISBLANK('Etape 2'!O244),0,VLOOKUP('Etape 2'!O244,Matrix_Uebersetzung,2,FALSE))</f>
        <v>0</v>
      </c>
      <c r="U247" s="87">
        <f>IF(ISBLANK('Etape 2'!P244),0,VLOOKUP('Etape 2'!P244,Matrix_Uebersetzung,2,FALSE))</f>
        <v>0</v>
      </c>
      <c r="V247" s="87" t="str">
        <f>'Etape 2'!Q244</f>
        <v/>
      </c>
      <c r="W247" s="87">
        <f>'Etape 2'!R244</f>
        <v>0</v>
      </c>
      <c r="X247" s="87" t="str">
        <f>'Etape 2'!S244</f>
        <v/>
      </c>
      <c r="Y247" s="89" t="str">
        <f>'Etape 2'!T244</f>
        <v/>
      </c>
      <c r="Z247" s="87">
        <f>'Etape 2'!U244</f>
        <v>0</v>
      </c>
      <c r="AA247" s="87" t="str">
        <f>'Etape 2'!V244</f>
        <v/>
      </c>
      <c r="AB247" s="87">
        <f>IF(ISNUMBER('Etape 2'!W244),'Etape 2'!W244,0)</f>
        <v>0</v>
      </c>
      <c r="AC247" s="87">
        <f>IF(ISNUMBER('Etape 2'!X244),'Etape 2'!X244,0)</f>
        <v>0</v>
      </c>
      <c r="AD247" s="87">
        <f>IF(ISNUMBER('Etape 2'!Y244),'Etape 2'!Y244,0)</f>
        <v>0</v>
      </c>
      <c r="AE247" s="87">
        <f>IF(ISNUMBER('Etape 2'!Z244),'Etape 2'!Z244,0)</f>
        <v>0</v>
      </c>
      <c r="AF247" s="86">
        <f t="shared" si="220"/>
        <v>999</v>
      </c>
      <c r="AG247" s="288">
        <f t="shared" si="221"/>
        <v>0.25</v>
      </c>
      <c r="AH247" s="181" t="e">
        <f t="shared" si="205"/>
        <v>#VALUE!</v>
      </c>
      <c r="AI247" s="181" t="e">
        <f t="shared" si="233"/>
        <v>#VALUE!</v>
      </c>
      <c r="AJ247" s="86">
        <f t="shared" si="206"/>
        <v>200</v>
      </c>
      <c r="AK247" s="91" t="e">
        <f t="shared" si="207"/>
        <v>#N/A</v>
      </c>
      <c r="AL247" s="91" t="e">
        <f t="shared" si="234"/>
        <v>#N/A</v>
      </c>
      <c r="AM247" s="91">
        <f t="shared" si="109"/>
        <v>6</v>
      </c>
      <c r="AN247" s="91" t="e">
        <f t="shared" si="235"/>
        <v>#N/A</v>
      </c>
      <c r="AO247" s="91" t="e">
        <f t="shared" si="236"/>
        <v>#N/A</v>
      </c>
      <c r="AP247" s="21" t="e">
        <f t="shared" si="237"/>
        <v>#N/A</v>
      </c>
      <c r="AQ247" s="21" t="e">
        <f t="shared" si="238"/>
        <v>#N/A</v>
      </c>
      <c r="AR247" s="92" t="str">
        <f t="shared" si="222"/>
        <v/>
      </c>
      <c r="AS247" s="21" t="str">
        <f t="shared" si="223"/>
        <v/>
      </c>
      <c r="AT247" s="59" t="str">
        <f t="shared" si="208"/>
        <v/>
      </c>
      <c r="AU247" s="105">
        <f t="shared" si="113"/>
        <v>1</v>
      </c>
      <c r="AV247" s="105">
        <f t="shared" si="239"/>
        <v>1</v>
      </c>
      <c r="AW247" s="58">
        <f t="shared" si="240"/>
        <v>2</v>
      </c>
      <c r="AX247" s="58">
        <f t="shared" si="241"/>
        <v>3</v>
      </c>
      <c r="AY247" s="58" t="str">
        <f t="shared" si="242"/>
        <v>avec vannes</v>
      </c>
      <c r="AZ247" s="58" t="str">
        <f t="shared" si="243"/>
        <v>fermé</v>
      </c>
      <c r="BA247" s="60">
        <f t="shared" si="232"/>
        <v>0</v>
      </c>
      <c r="BB247" s="60">
        <f t="shared" si="232"/>
        <v>0</v>
      </c>
      <c r="BC247" s="60">
        <f t="shared" si="232"/>
        <v>0</v>
      </c>
      <c r="BD247" s="60">
        <f t="shared" si="232"/>
        <v>0</v>
      </c>
      <c r="BE247" s="286" t="str">
        <f t="shared" si="209"/>
        <v/>
      </c>
      <c r="BF247" s="58" t="str">
        <f t="shared" si="224"/>
        <v/>
      </c>
      <c r="BG247" s="59" t="str">
        <f t="shared" si="210"/>
        <v/>
      </c>
      <c r="BH247" s="158">
        <f t="shared" ca="1" si="211"/>
        <v>1</v>
      </c>
      <c r="BI247" s="60">
        <f t="shared" ca="1" si="212"/>
        <v>0.15</v>
      </c>
      <c r="BJ247" s="60">
        <f t="shared" si="213"/>
        <v>0.2</v>
      </c>
      <c r="BK247" s="60" t="str">
        <f t="shared" si="225"/>
        <v/>
      </c>
      <c r="BL247" s="21" t="str">
        <f t="shared" si="226"/>
        <v/>
      </c>
      <c r="BM247" s="264" t="str">
        <f t="shared" si="214"/>
        <v/>
      </c>
      <c r="BN247" s="60" t="str">
        <f t="shared" si="227"/>
        <v/>
      </c>
      <c r="BO247" s="136">
        <f t="shared" si="228"/>
        <v>0</v>
      </c>
      <c r="BP247" s="59">
        <f t="shared" si="229"/>
        <v>0</v>
      </c>
      <c r="BQ247" s="136">
        <f t="shared" ca="1" si="215"/>
        <v>1432</v>
      </c>
      <c r="BR247" s="136">
        <f t="shared" ca="1" si="216"/>
        <v>1000.7707641196014</v>
      </c>
      <c r="BS247" s="136">
        <f t="shared" ca="1" si="217"/>
        <v>1468800.7707641197</v>
      </c>
      <c r="BT247" s="136">
        <f t="shared" ca="1" si="218"/>
        <v>313875.69348987879</v>
      </c>
      <c r="BU247" s="136">
        <f t="shared" ca="1" si="219"/>
        <v>1000.7707641196014</v>
      </c>
    </row>
    <row r="248" spans="1:73" x14ac:dyDescent="0.2">
      <c r="A248" s="87" t="str">
        <f>'Etape 2'!A245</f>
        <v/>
      </c>
      <c r="B248" s="87">
        <f>'Etape 2'!B245</f>
        <v>233</v>
      </c>
      <c r="C248" s="87">
        <f ca="1">'Etape 2'!C245</f>
        <v>68</v>
      </c>
      <c r="D248" s="87"/>
      <c r="E248" s="61">
        <f ca="1">RANK(BU248,BU$16:BU$315,0)+COUNTIF(BU$16:BU248,BU248)-1</f>
        <v>68</v>
      </c>
      <c r="F248" s="87" t="str">
        <f>'Etape 2'!D245</f>
        <v/>
      </c>
      <c r="G248" s="87" t="str">
        <f>'Etape 2'!E245</f>
        <v/>
      </c>
      <c r="H248" s="87" t="str">
        <f>'Etape 2'!F245</f>
        <v/>
      </c>
      <c r="I248" s="87" t="str">
        <f>'Etape 2'!G245</f>
        <v/>
      </c>
      <c r="J248" s="87" t="str">
        <f>'Etape 2'!H245</f>
        <v/>
      </c>
      <c r="K248" s="87" t="str">
        <f>'Etape 2'!I245</f>
        <v/>
      </c>
      <c r="L248" s="87">
        <f ca="1">'Etape 2'!J245</f>
        <v>999999</v>
      </c>
      <c r="M248" s="87">
        <f>'Etape 2'!K245</f>
        <v>999</v>
      </c>
      <c r="N248" s="87">
        <f ca="1">'Etape 2'!L245</f>
        <v>233</v>
      </c>
      <c r="O248" s="259">
        <f t="shared" si="202"/>
        <v>0.3</v>
      </c>
      <c r="P248" s="259">
        <f t="shared" si="203"/>
        <v>1.1000000000000001</v>
      </c>
      <c r="Q248" s="260">
        <f t="shared" si="204"/>
        <v>0</v>
      </c>
      <c r="R248" s="261">
        <f t="shared" si="230"/>
        <v>0</v>
      </c>
      <c r="S248" s="87">
        <f>IF(ISBLANK('Etape 2'!N245),0,VLOOKUP('Etape 2'!N245,Matrix_Uebersetzung,2,FALSE))</f>
        <v>0</v>
      </c>
      <c r="T248" s="87">
        <f>IF(ISBLANK('Etape 2'!O245),0,VLOOKUP('Etape 2'!O245,Matrix_Uebersetzung,2,FALSE))</f>
        <v>0</v>
      </c>
      <c r="U248" s="87">
        <f>IF(ISBLANK('Etape 2'!P245),0,VLOOKUP('Etape 2'!P245,Matrix_Uebersetzung,2,FALSE))</f>
        <v>0</v>
      </c>
      <c r="V248" s="87" t="str">
        <f>'Etape 2'!Q245</f>
        <v/>
      </c>
      <c r="W248" s="87">
        <f>'Etape 2'!R245</f>
        <v>0</v>
      </c>
      <c r="X248" s="87" t="str">
        <f>'Etape 2'!S245</f>
        <v/>
      </c>
      <c r="Y248" s="89" t="str">
        <f>'Etape 2'!T245</f>
        <v/>
      </c>
      <c r="Z248" s="87">
        <f>'Etape 2'!U245</f>
        <v>0</v>
      </c>
      <c r="AA248" s="87" t="str">
        <f>'Etape 2'!V245</f>
        <v/>
      </c>
      <c r="AB248" s="87">
        <f>IF(ISNUMBER('Etape 2'!W245),'Etape 2'!W245,0)</f>
        <v>0</v>
      </c>
      <c r="AC248" s="87">
        <f>IF(ISNUMBER('Etape 2'!X245),'Etape 2'!X245,0)</f>
        <v>0</v>
      </c>
      <c r="AD248" s="87">
        <f>IF(ISNUMBER('Etape 2'!Y245),'Etape 2'!Y245,0)</f>
        <v>0</v>
      </c>
      <c r="AE248" s="87">
        <f>IF(ISNUMBER('Etape 2'!Z245),'Etape 2'!Z245,0)</f>
        <v>0</v>
      </c>
      <c r="AF248" s="86">
        <f t="shared" si="220"/>
        <v>999</v>
      </c>
      <c r="AG248" s="288">
        <f t="shared" si="221"/>
        <v>0.25</v>
      </c>
      <c r="AH248" s="181" t="e">
        <f t="shared" si="205"/>
        <v>#VALUE!</v>
      </c>
      <c r="AI248" s="181" t="e">
        <f t="shared" si="233"/>
        <v>#VALUE!</v>
      </c>
      <c r="AJ248" s="86">
        <f t="shared" si="206"/>
        <v>200</v>
      </c>
      <c r="AK248" s="91" t="e">
        <f t="shared" si="207"/>
        <v>#N/A</v>
      </c>
      <c r="AL248" s="91" t="e">
        <f t="shared" si="234"/>
        <v>#N/A</v>
      </c>
      <c r="AM248" s="91">
        <f t="shared" si="109"/>
        <v>6</v>
      </c>
      <c r="AN248" s="91" t="e">
        <f t="shared" si="235"/>
        <v>#N/A</v>
      </c>
      <c r="AO248" s="91" t="e">
        <f t="shared" si="236"/>
        <v>#N/A</v>
      </c>
      <c r="AP248" s="21" t="e">
        <f t="shared" si="237"/>
        <v>#N/A</v>
      </c>
      <c r="AQ248" s="21" t="e">
        <f t="shared" si="238"/>
        <v>#N/A</v>
      </c>
      <c r="AR248" s="92" t="str">
        <f t="shared" si="222"/>
        <v/>
      </c>
      <c r="AS248" s="21" t="str">
        <f t="shared" si="223"/>
        <v/>
      </c>
      <c r="AT248" s="59" t="str">
        <f t="shared" si="208"/>
        <v/>
      </c>
      <c r="AU248" s="105">
        <f t="shared" si="113"/>
        <v>1</v>
      </c>
      <c r="AV248" s="105">
        <f t="shared" si="239"/>
        <v>1</v>
      </c>
      <c r="AW248" s="58">
        <f t="shared" si="240"/>
        <v>2</v>
      </c>
      <c r="AX248" s="58">
        <f t="shared" si="241"/>
        <v>3</v>
      </c>
      <c r="AY248" s="58" t="str">
        <f t="shared" si="242"/>
        <v>avec vannes</v>
      </c>
      <c r="AZ248" s="58" t="str">
        <f t="shared" si="243"/>
        <v>fermé</v>
      </c>
      <c r="BA248" s="60">
        <f t="shared" si="232"/>
        <v>0</v>
      </c>
      <c r="BB248" s="60">
        <f t="shared" si="232"/>
        <v>0</v>
      </c>
      <c r="BC248" s="60">
        <f t="shared" si="232"/>
        <v>0</v>
      </c>
      <c r="BD248" s="60">
        <f t="shared" si="232"/>
        <v>0</v>
      </c>
      <c r="BE248" s="286" t="str">
        <f t="shared" si="209"/>
        <v/>
      </c>
      <c r="BF248" s="58" t="str">
        <f t="shared" si="224"/>
        <v/>
      </c>
      <c r="BG248" s="59" t="str">
        <f t="shared" si="210"/>
        <v/>
      </c>
      <c r="BH248" s="158">
        <f t="shared" ca="1" si="211"/>
        <v>1</v>
      </c>
      <c r="BI248" s="60">
        <f t="shared" ca="1" si="212"/>
        <v>0.15</v>
      </c>
      <c r="BJ248" s="60">
        <f t="shared" si="213"/>
        <v>0.2</v>
      </c>
      <c r="BK248" s="60" t="str">
        <f t="shared" si="225"/>
        <v/>
      </c>
      <c r="BL248" s="21" t="str">
        <f t="shared" si="226"/>
        <v/>
      </c>
      <c r="BM248" s="264" t="str">
        <f t="shared" si="214"/>
        <v/>
      </c>
      <c r="BN248" s="60" t="str">
        <f t="shared" si="227"/>
        <v/>
      </c>
      <c r="BO248" s="136">
        <f t="shared" si="228"/>
        <v>0</v>
      </c>
      <c r="BP248" s="59">
        <f t="shared" si="229"/>
        <v>0</v>
      </c>
      <c r="BQ248" s="136">
        <f t="shared" ca="1" si="215"/>
        <v>1433</v>
      </c>
      <c r="BR248" s="136">
        <f t="shared" ca="1" si="216"/>
        <v>1000.7740863787376</v>
      </c>
      <c r="BS248" s="136">
        <f t="shared" ca="1" si="217"/>
        <v>1468800.7740863787</v>
      </c>
      <c r="BT248" s="136">
        <f t="shared" ca="1" si="218"/>
        <v>313875.69681213796</v>
      </c>
      <c r="BU248" s="136">
        <f t="shared" ca="1" si="219"/>
        <v>1000.7740863787376</v>
      </c>
    </row>
    <row r="249" spans="1:73" x14ac:dyDescent="0.2">
      <c r="A249" s="87" t="str">
        <f>'Etape 2'!A246</f>
        <v/>
      </c>
      <c r="B249" s="87">
        <f>'Etape 2'!B246</f>
        <v>234</v>
      </c>
      <c r="C249" s="87">
        <f ca="1">'Etape 2'!C246</f>
        <v>67</v>
      </c>
      <c r="D249" s="87"/>
      <c r="E249" s="61">
        <f ca="1">RANK(BU249,BU$16:BU$315,0)+COUNTIF(BU$16:BU249,BU249)-1</f>
        <v>67</v>
      </c>
      <c r="F249" s="87" t="str">
        <f>'Etape 2'!D246</f>
        <v/>
      </c>
      <c r="G249" s="87" t="str">
        <f>'Etape 2'!E246</f>
        <v/>
      </c>
      <c r="H249" s="87" t="str">
        <f>'Etape 2'!F246</f>
        <v/>
      </c>
      <c r="I249" s="87" t="str">
        <f>'Etape 2'!G246</f>
        <v/>
      </c>
      <c r="J249" s="87" t="str">
        <f>'Etape 2'!H246</f>
        <v/>
      </c>
      <c r="K249" s="87" t="str">
        <f>'Etape 2'!I246</f>
        <v/>
      </c>
      <c r="L249" s="87">
        <f ca="1">'Etape 2'!J246</f>
        <v>999999</v>
      </c>
      <c r="M249" s="87">
        <f>'Etape 2'!K246</f>
        <v>999</v>
      </c>
      <c r="N249" s="87">
        <f ca="1">'Etape 2'!L246</f>
        <v>234</v>
      </c>
      <c r="O249" s="259">
        <f t="shared" si="202"/>
        <v>0.3</v>
      </c>
      <c r="P249" s="259">
        <f t="shared" si="203"/>
        <v>1.1000000000000001</v>
      </c>
      <c r="Q249" s="260">
        <f t="shared" si="204"/>
        <v>0</v>
      </c>
      <c r="R249" s="261">
        <f t="shared" si="230"/>
        <v>0</v>
      </c>
      <c r="S249" s="87">
        <f>IF(ISBLANK('Etape 2'!N246),0,VLOOKUP('Etape 2'!N246,Matrix_Uebersetzung,2,FALSE))</f>
        <v>0</v>
      </c>
      <c r="T249" s="87">
        <f>IF(ISBLANK('Etape 2'!O246),0,VLOOKUP('Etape 2'!O246,Matrix_Uebersetzung,2,FALSE))</f>
        <v>0</v>
      </c>
      <c r="U249" s="87">
        <f>IF(ISBLANK('Etape 2'!P246),0,VLOOKUP('Etape 2'!P246,Matrix_Uebersetzung,2,FALSE))</f>
        <v>0</v>
      </c>
      <c r="V249" s="87" t="str">
        <f>'Etape 2'!Q246</f>
        <v/>
      </c>
      <c r="W249" s="87">
        <f>'Etape 2'!R246</f>
        <v>0</v>
      </c>
      <c r="X249" s="87" t="str">
        <f>'Etape 2'!S246</f>
        <v/>
      </c>
      <c r="Y249" s="89" t="str">
        <f>'Etape 2'!T246</f>
        <v/>
      </c>
      <c r="Z249" s="87">
        <f>'Etape 2'!U246</f>
        <v>0</v>
      </c>
      <c r="AA249" s="87" t="str">
        <f>'Etape 2'!V246</f>
        <v/>
      </c>
      <c r="AB249" s="87">
        <f>IF(ISNUMBER('Etape 2'!W246),'Etape 2'!W246,0)</f>
        <v>0</v>
      </c>
      <c r="AC249" s="87">
        <f>IF(ISNUMBER('Etape 2'!X246),'Etape 2'!X246,0)</f>
        <v>0</v>
      </c>
      <c r="AD249" s="87">
        <f>IF(ISNUMBER('Etape 2'!Y246),'Etape 2'!Y246,0)</f>
        <v>0</v>
      </c>
      <c r="AE249" s="87">
        <f>IF(ISNUMBER('Etape 2'!Z246),'Etape 2'!Z246,0)</f>
        <v>0</v>
      </c>
      <c r="AF249" s="86">
        <f t="shared" si="220"/>
        <v>999</v>
      </c>
      <c r="AG249" s="288">
        <f t="shared" si="221"/>
        <v>0.25</v>
      </c>
      <c r="AH249" s="181" t="e">
        <f t="shared" si="205"/>
        <v>#VALUE!</v>
      </c>
      <c r="AI249" s="181" t="e">
        <f t="shared" si="233"/>
        <v>#VALUE!</v>
      </c>
      <c r="AJ249" s="86">
        <f t="shared" si="206"/>
        <v>200</v>
      </c>
      <c r="AK249" s="91" t="e">
        <f t="shared" si="207"/>
        <v>#N/A</v>
      </c>
      <c r="AL249" s="91" t="e">
        <f t="shared" si="234"/>
        <v>#N/A</v>
      </c>
      <c r="AM249" s="91">
        <f t="shared" si="109"/>
        <v>6</v>
      </c>
      <c r="AN249" s="91" t="e">
        <f t="shared" si="235"/>
        <v>#N/A</v>
      </c>
      <c r="AO249" s="91" t="e">
        <f t="shared" si="236"/>
        <v>#N/A</v>
      </c>
      <c r="AP249" s="21" t="e">
        <f t="shared" si="237"/>
        <v>#N/A</v>
      </c>
      <c r="AQ249" s="21" t="e">
        <f t="shared" si="238"/>
        <v>#N/A</v>
      </c>
      <c r="AR249" s="92" t="str">
        <f t="shared" si="222"/>
        <v/>
      </c>
      <c r="AS249" s="21" t="str">
        <f t="shared" si="223"/>
        <v/>
      </c>
      <c r="AT249" s="59" t="str">
        <f t="shared" si="208"/>
        <v/>
      </c>
      <c r="AU249" s="105">
        <f t="shared" si="113"/>
        <v>1</v>
      </c>
      <c r="AV249" s="105">
        <f t="shared" si="239"/>
        <v>1</v>
      </c>
      <c r="AW249" s="58">
        <f t="shared" si="240"/>
        <v>2</v>
      </c>
      <c r="AX249" s="58">
        <f t="shared" si="241"/>
        <v>3</v>
      </c>
      <c r="AY249" s="58" t="str">
        <f t="shared" si="242"/>
        <v>avec vannes</v>
      </c>
      <c r="AZ249" s="58" t="str">
        <f t="shared" si="243"/>
        <v>fermé</v>
      </c>
      <c r="BA249" s="60">
        <f t="shared" si="232"/>
        <v>0</v>
      </c>
      <c r="BB249" s="60">
        <f t="shared" si="232"/>
        <v>0</v>
      </c>
      <c r="BC249" s="60">
        <f t="shared" si="232"/>
        <v>0</v>
      </c>
      <c r="BD249" s="60">
        <f t="shared" si="232"/>
        <v>0</v>
      </c>
      <c r="BE249" s="286" t="str">
        <f t="shared" si="209"/>
        <v/>
      </c>
      <c r="BF249" s="58" t="str">
        <f t="shared" si="224"/>
        <v/>
      </c>
      <c r="BG249" s="59" t="str">
        <f t="shared" si="210"/>
        <v/>
      </c>
      <c r="BH249" s="158">
        <f t="shared" ca="1" si="211"/>
        <v>1</v>
      </c>
      <c r="BI249" s="60">
        <f t="shared" ca="1" si="212"/>
        <v>0.15</v>
      </c>
      <c r="BJ249" s="60">
        <f t="shared" si="213"/>
        <v>0.2</v>
      </c>
      <c r="BK249" s="60" t="str">
        <f t="shared" si="225"/>
        <v/>
      </c>
      <c r="BL249" s="21" t="str">
        <f t="shared" si="226"/>
        <v/>
      </c>
      <c r="BM249" s="264" t="str">
        <f t="shared" si="214"/>
        <v/>
      </c>
      <c r="BN249" s="60" t="str">
        <f t="shared" si="227"/>
        <v/>
      </c>
      <c r="BO249" s="136">
        <f t="shared" si="228"/>
        <v>0</v>
      </c>
      <c r="BP249" s="59">
        <f t="shared" si="229"/>
        <v>0</v>
      </c>
      <c r="BQ249" s="136">
        <f t="shared" ca="1" si="215"/>
        <v>1434</v>
      </c>
      <c r="BR249" s="136">
        <f t="shared" ca="1" si="216"/>
        <v>1000.7774086378738</v>
      </c>
      <c r="BS249" s="136">
        <f t="shared" ca="1" si="217"/>
        <v>1468800.7774086378</v>
      </c>
      <c r="BT249" s="136">
        <f t="shared" ca="1" si="218"/>
        <v>313875.70013439708</v>
      </c>
      <c r="BU249" s="136">
        <f t="shared" ca="1" si="219"/>
        <v>1000.7774086378738</v>
      </c>
    </row>
    <row r="250" spans="1:73" x14ac:dyDescent="0.2">
      <c r="A250" s="87" t="str">
        <f>'Etape 2'!A247</f>
        <v/>
      </c>
      <c r="B250" s="87">
        <f>'Etape 2'!B247</f>
        <v>235</v>
      </c>
      <c r="C250" s="87">
        <f ca="1">'Etape 2'!C247</f>
        <v>66</v>
      </c>
      <c r="D250" s="87"/>
      <c r="E250" s="61">
        <f ca="1">RANK(BU250,BU$16:BU$315,0)+COUNTIF(BU$16:BU250,BU250)-1</f>
        <v>66</v>
      </c>
      <c r="F250" s="87" t="str">
        <f>'Etape 2'!D247</f>
        <v/>
      </c>
      <c r="G250" s="87" t="str">
        <f>'Etape 2'!E247</f>
        <v/>
      </c>
      <c r="H250" s="87" t="str">
        <f>'Etape 2'!F247</f>
        <v/>
      </c>
      <c r="I250" s="87" t="str">
        <f>'Etape 2'!G247</f>
        <v/>
      </c>
      <c r="J250" s="87" t="str">
        <f>'Etape 2'!H247</f>
        <v/>
      </c>
      <c r="K250" s="87" t="str">
        <f>'Etape 2'!I247</f>
        <v/>
      </c>
      <c r="L250" s="87">
        <f ca="1">'Etape 2'!J247</f>
        <v>999999</v>
      </c>
      <c r="M250" s="87">
        <f>'Etape 2'!K247</f>
        <v>999</v>
      </c>
      <c r="N250" s="87">
        <f ca="1">'Etape 2'!L247</f>
        <v>235</v>
      </c>
      <c r="O250" s="259">
        <f t="shared" si="202"/>
        <v>0.3</v>
      </c>
      <c r="P250" s="259">
        <f t="shared" si="203"/>
        <v>1.1000000000000001</v>
      </c>
      <c r="Q250" s="260">
        <f t="shared" si="204"/>
        <v>0</v>
      </c>
      <c r="R250" s="261">
        <f t="shared" si="230"/>
        <v>0</v>
      </c>
      <c r="S250" s="87">
        <f>IF(ISBLANK('Etape 2'!N247),0,VLOOKUP('Etape 2'!N247,Matrix_Uebersetzung,2,FALSE))</f>
        <v>0</v>
      </c>
      <c r="T250" s="87">
        <f>IF(ISBLANK('Etape 2'!O247),0,VLOOKUP('Etape 2'!O247,Matrix_Uebersetzung,2,FALSE))</f>
        <v>0</v>
      </c>
      <c r="U250" s="87">
        <f>IF(ISBLANK('Etape 2'!P247),0,VLOOKUP('Etape 2'!P247,Matrix_Uebersetzung,2,FALSE))</f>
        <v>0</v>
      </c>
      <c r="V250" s="87" t="str">
        <f>'Etape 2'!Q247</f>
        <v/>
      </c>
      <c r="W250" s="87">
        <f>'Etape 2'!R247</f>
        <v>0</v>
      </c>
      <c r="X250" s="87" t="str">
        <f>'Etape 2'!S247</f>
        <v/>
      </c>
      <c r="Y250" s="89" t="str">
        <f>'Etape 2'!T247</f>
        <v/>
      </c>
      <c r="Z250" s="87">
        <f>'Etape 2'!U247</f>
        <v>0</v>
      </c>
      <c r="AA250" s="87" t="str">
        <f>'Etape 2'!V247</f>
        <v/>
      </c>
      <c r="AB250" s="87">
        <f>IF(ISNUMBER('Etape 2'!W247),'Etape 2'!W247,0)</f>
        <v>0</v>
      </c>
      <c r="AC250" s="87">
        <f>IF(ISNUMBER('Etape 2'!X247),'Etape 2'!X247,0)</f>
        <v>0</v>
      </c>
      <c r="AD250" s="87">
        <f>IF(ISNUMBER('Etape 2'!Y247),'Etape 2'!Y247,0)</f>
        <v>0</v>
      </c>
      <c r="AE250" s="87">
        <f>IF(ISNUMBER('Etape 2'!Z247),'Etape 2'!Z247,0)</f>
        <v>0</v>
      </c>
      <c r="AF250" s="86">
        <f t="shared" si="220"/>
        <v>999</v>
      </c>
      <c r="AG250" s="288">
        <f t="shared" si="221"/>
        <v>0.25</v>
      </c>
      <c r="AH250" s="181" t="e">
        <f t="shared" si="205"/>
        <v>#VALUE!</v>
      </c>
      <c r="AI250" s="181" t="e">
        <f t="shared" si="233"/>
        <v>#VALUE!</v>
      </c>
      <c r="AJ250" s="86">
        <f t="shared" si="206"/>
        <v>200</v>
      </c>
      <c r="AK250" s="91" t="e">
        <f t="shared" si="207"/>
        <v>#N/A</v>
      </c>
      <c r="AL250" s="91" t="e">
        <f t="shared" si="234"/>
        <v>#N/A</v>
      </c>
      <c r="AM250" s="91">
        <f t="shared" si="109"/>
        <v>6</v>
      </c>
      <c r="AN250" s="91" t="e">
        <f t="shared" si="235"/>
        <v>#N/A</v>
      </c>
      <c r="AO250" s="91" t="e">
        <f t="shared" si="236"/>
        <v>#N/A</v>
      </c>
      <c r="AP250" s="21" t="e">
        <f t="shared" si="237"/>
        <v>#N/A</v>
      </c>
      <c r="AQ250" s="21" t="e">
        <f t="shared" si="238"/>
        <v>#N/A</v>
      </c>
      <c r="AR250" s="92" t="str">
        <f t="shared" si="222"/>
        <v/>
      </c>
      <c r="AS250" s="21" t="str">
        <f t="shared" si="223"/>
        <v/>
      </c>
      <c r="AT250" s="59" t="str">
        <f t="shared" si="208"/>
        <v/>
      </c>
      <c r="AU250" s="105">
        <f t="shared" si="113"/>
        <v>1</v>
      </c>
      <c r="AV250" s="105">
        <f t="shared" si="239"/>
        <v>1</v>
      </c>
      <c r="AW250" s="58">
        <f t="shared" si="240"/>
        <v>2</v>
      </c>
      <c r="AX250" s="58">
        <f t="shared" si="241"/>
        <v>3</v>
      </c>
      <c r="AY250" s="58" t="str">
        <f t="shared" si="242"/>
        <v>avec vannes</v>
      </c>
      <c r="AZ250" s="58" t="str">
        <f t="shared" si="243"/>
        <v>fermé</v>
      </c>
      <c r="BA250" s="60">
        <f t="shared" si="232"/>
        <v>0</v>
      </c>
      <c r="BB250" s="60">
        <f t="shared" si="232"/>
        <v>0</v>
      </c>
      <c r="BC250" s="60">
        <f t="shared" si="232"/>
        <v>0</v>
      </c>
      <c r="BD250" s="60">
        <f t="shared" si="232"/>
        <v>0</v>
      </c>
      <c r="BE250" s="286" t="str">
        <f t="shared" si="209"/>
        <v/>
      </c>
      <c r="BF250" s="58" t="str">
        <f t="shared" si="224"/>
        <v/>
      </c>
      <c r="BG250" s="59" t="str">
        <f t="shared" si="210"/>
        <v/>
      </c>
      <c r="BH250" s="158">
        <f t="shared" ca="1" si="211"/>
        <v>1</v>
      </c>
      <c r="BI250" s="60">
        <f t="shared" ca="1" si="212"/>
        <v>0.15</v>
      </c>
      <c r="BJ250" s="60">
        <f t="shared" si="213"/>
        <v>0.2</v>
      </c>
      <c r="BK250" s="60" t="str">
        <f t="shared" si="225"/>
        <v/>
      </c>
      <c r="BL250" s="21" t="str">
        <f t="shared" si="226"/>
        <v/>
      </c>
      <c r="BM250" s="264" t="str">
        <f t="shared" si="214"/>
        <v/>
      </c>
      <c r="BN250" s="60" t="str">
        <f t="shared" si="227"/>
        <v/>
      </c>
      <c r="BO250" s="136">
        <f t="shared" si="228"/>
        <v>0</v>
      </c>
      <c r="BP250" s="59">
        <f t="shared" si="229"/>
        <v>0</v>
      </c>
      <c r="BQ250" s="136">
        <f t="shared" ca="1" si="215"/>
        <v>1435</v>
      </c>
      <c r="BR250" s="136">
        <f t="shared" ca="1" si="216"/>
        <v>1000.78073089701</v>
      </c>
      <c r="BS250" s="136">
        <f t="shared" ca="1" si="217"/>
        <v>1468800.7807308971</v>
      </c>
      <c r="BT250" s="136">
        <f t="shared" ca="1" si="218"/>
        <v>313875.70345665625</v>
      </c>
      <c r="BU250" s="136">
        <f t="shared" ca="1" si="219"/>
        <v>1000.78073089701</v>
      </c>
    </row>
    <row r="251" spans="1:73" x14ac:dyDescent="0.2">
      <c r="A251" s="87" t="str">
        <f>'Etape 2'!A248</f>
        <v/>
      </c>
      <c r="B251" s="87">
        <f>'Etape 2'!B248</f>
        <v>236</v>
      </c>
      <c r="C251" s="87">
        <f ca="1">'Etape 2'!C248</f>
        <v>65</v>
      </c>
      <c r="D251" s="87"/>
      <c r="E251" s="61">
        <f ca="1">RANK(BU251,BU$16:BU$315,0)+COUNTIF(BU$16:BU251,BU251)-1</f>
        <v>65</v>
      </c>
      <c r="F251" s="87" t="str">
        <f>'Etape 2'!D248</f>
        <v/>
      </c>
      <c r="G251" s="87" t="str">
        <f>'Etape 2'!E248</f>
        <v/>
      </c>
      <c r="H251" s="87" t="str">
        <f>'Etape 2'!F248</f>
        <v/>
      </c>
      <c r="I251" s="87" t="str">
        <f>'Etape 2'!G248</f>
        <v/>
      </c>
      <c r="J251" s="87" t="str">
        <f>'Etape 2'!H248</f>
        <v/>
      </c>
      <c r="K251" s="87" t="str">
        <f>'Etape 2'!I248</f>
        <v/>
      </c>
      <c r="L251" s="87">
        <f ca="1">'Etape 2'!J248</f>
        <v>999999</v>
      </c>
      <c r="M251" s="87">
        <f>'Etape 2'!K248</f>
        <v>999</v>
      </c>
      <c r="N251" s="87">
        <f ca="1">'Etape 2'!L248</f>
        <v>236</v>
      </c>
      <c r="O251" s="259">
        <f t="shared" si="202"/>
        <v>0.3</v>
      </c>
      <c r="P251" s="259">
        <f t="shared" si="203"/>
        <v>1.1000000000000001</v>
      </c>
      <c r="Q251" s="260">
        <f t="shared" si="204"/>
        <v>0</v>
      </c>
      <c r="R251" s="261">
        <f t="shared" si="230"/>
        <v>0</v>
      </c>
      <c r="S251" s="87">
        <f>IF(ISBLANK('Etape 2'!N248),0,VLOOKUP('Etape 2'!N248,Matrix_Uebersetzung,2,FALSE))</f>
        <v>0</v>
      </c>
      <c r="T251" s="87">
        <f>IF(ISBLANK('Etape 2'!O248),0,VLOOKUP('Etape 2'!O248,Matrix_Uebersetzung,2,FALSE))</f>
        <v>0</v>
      </c>
      <c r="U251" s="87">
        <f>IF(ISBLANK('Etape 2'!P248),0,VLOOKUP('Etape 2'!P248,Matrix_Uebersetzung,2,FALSE))</f>
        <v>0</v>
      </c>
      <c r="V251" s="87" t="str">
        <f>'Etape 2'!Q248</f>
        <v/>
      </c>
      <c r="W251" s="87">
        <f>'Etape 2'!R248</f>
        <v>0</v>
      </c>
      <c r="X251" s="87" t="str">
        <f>'Etape 2'!S248</f>
        <v/>
      </c>
      <c r="Y251" s="89" t="str">
        <f>'Etape 2'!T248</f>
        <v/>
      </c>
      <c r="Z251" s="87">
        <f>'Etape 2'!U248</f>
        <v>0</v>
      </c>
      <c r="AA251" s="87" t="str">
        <f>'Etape 2'!V248</f>
        <v/>
      </c>
      <c r="AB251" s="87">
        <f>IF(ISNUMBER('Etape 2'!W248),'Etape 2'!W248,0)</f>
        <v>0</v>
      </c>
      <c r="AC251" s="87">
        <f>IF(ISNUMBER('Etape 2'!X248),'Etape 2'!X248,0)</f>
        <v>0</v>
      </c>
      <c r="AD251" s="87">
        <f>IF(ISNUMBER('Etape 2'!Y248),'Etape 2'!Y248,0)</f>
        <v>0</v>
      </c>
      <c r="AE251" s="87">
        <f>IF(ISNUMBER('Etape 2'!Z248),'Etape 2'!Z248,0)</f>
        <v>0</v>
      </c>
      <c r="AF251" s="86">
        <f t="shared" si="220"/>
        <v>999</v>
      </c>
      <c r="AG251" s="288">
        <f t="shared" si="221"/>
        <v>0.25</v>
      </c>
      <c r="AH251" s="181" t="e">
        <f t="shared" si="205"/>
        <v>#VALUE!</v>
      </c>
      <c r="AI251" s="181" t="e">
        <f t="shared" si="233"/>
        <v>#VALUE!</v>
      </c>
      <c r="AJ251" s="86">
        <f t="shared" si="206"/>
        <v>200</v>
      </c>
      <c r="AK251" s="91" t="e">
        <f t="shared" si="207"/>
        <v>#N/A</v>
      </c>
      <c r="AL251" s="91" t="e">
        <f t="shared" si="234"/>
        <v>#N/A</v>
      </c>
      <c r="AM251" s="91">
        <f t="shared" si="109"/>
        <v>6</v>
      </c>
      <c r="AN251" s="91" t="e">
        <f t="shared" si="235"/>
        <v>#N/A</v>
      </c>
      <c r="AO251" s="91" t="e">
        <f t="shared" si="236"/>
        <v>#N/A</v>
      </c>
      <c r="AP251" s="21" t="e">
        <f t="shared" si="237"/>
        <v>#N/A</v>
      </c>
      <c r="AQ251" s="21" t="e">
        <f t="shared" si="238"/>
        <v>#N/A</v>
      </c>
      <c r="AR251" s="92" t="str">
        <f t="shared" si="222"/>
        <v/>
      </c>
      <c r="AS251" s="21" t="str">
        <f t="shared" si="223"/>
        <v/>
      </c>
      <c r="AT251" s="59" t="str">
        <f t="shared" si="208"/>
        <v/>
      </c>
      <c r="AU251" s="105">
        <f t="shared" si="113"/>
        <v>1</v>
      </c>
      <c r="AV251" s="105">
        <f t="shared" si="239"/>
        <v>1</v>
      </c>
      <c r="AW251" s="58">
        <f t="shared" si="240"/>
        <v>2</v>
      </c>
      <c r="AX251" s="58">
        <f t="shared" si="241"/>
        <v>3</v>
      </c>
      <c r="AY251" s="58" t="str">
        <f t="shared" si="242"/>
        <v>avec vannes</v>
      </c>
      <c r="AZ251" s="58" t="str">
        <f t="shared" si="243"/>
        <v>fermé</v>
      </c>
      <c r="BA251" s="60">
        <f t="shared" si="232"/>
        <v>0</v>
      </c>
      <c r="BB251" s="60">
        <f t="shared" si="232"/>
        <v>0</v>
      </c>
      <c r="BC251" s="60">
        <f t="shared" si="232"/>
        <v>0</v>
      </c>
      <c r="BD251" s="60">
        <f t="shared" si="232"/>
        <v>0</v>
      </c>
      <c r="BE251" s="286" t="str">
        <f t="shared" si="209"/>
        <v/>
      </c>
      <c r="BF251" s="58" t="str">
        <f t="shared" si="224"/>
        <v/>
      </c>
      <c r="BG251" s="59" t="str">
        <f t="shared" si="210"/>
        <v/>
      </c>
      <c r="BH251" s="158">
        <f t="shared" ca="1" si="211"/>
        <v>1</v>
      </c>
      <c r="BI251" s="60">
        <f t="shared" ca="1" si="212"/>
        <v>0.15</v>
      </c>
      <c r="BJ251" s="60">
        <f t="shared" si="213"/>
        <v>0.2</v>
      </c>
      <c r="BK251" s="60" t="str">
        <f t="shared" si="225"/>
        <v/>
      </c>
      <c r="BL251" s="21" t="str">
        <f t="shared" si="226"/>
        <v/>
      </c>
      <c r="BM251" s="264" t="str">
        <f t="shared" si="214"/>
        <v/>
      </c>
      <c r="BN251" s="60" t="str">
        <f t="shared" si="227"/>
        <v/>
      </c>
      <c r="BO251" s="136">
        <f t="shared" si="228"/>
        <v>0</v>
      </c>
      <c r="BP251" s="59">
        <f t="shared" si="229"/>
        <v>0</v>
      </c>
      <c r="BQ251" s="136">
        <f t="shared" ca="1" si="215"/>
        <v>1436</v>
      </c>
      <c r="BR251" s="136">
        <f t="shared" ca="1" si="216"/>
        <v>1000.7840531561462</v>
      </c>
      <c r="BS251" s="136">
        <f t="shared" ca="1" si="217"/>
        <v>1468800.7840531562</v>
      </c>
      <c r="BT251" s="136">
        <f t="shared" ca="1" si="218"/>
        <v>313875.70677891537</v>
      </c>
      <c r="BU251" s="136">
        <f t="shared" ca="1" si="219"/>
        <v>1000.7840531561462</v>
      </c>
    </row>
    <row r="252" spans="1:73" x14ac:dyDescent="0.2">
      <c r="A252" s="87" t="str">
        <f>'Etape 2'!A249</f>
        <v/>
      </c>
      <c r="B252" s="87">
        <f>'Etape 2'!B249</f>
        <v>237</v>
      </c>
      <c r="C252" s="87">
        <f ca="1">'Etape 2'!C249</f>
        <v>64</v>
      </c>
      <c r="D252" s="87"/>
      <c r="E252" s="61">
        <f ca="1">RANK(BU252,BU$16:BU$315,0)+COUNTIF(BU$16:BU252,BU252)-1</f>
        <v>64</v>
      </c>
      <c r="F252" s="87" t="str">
        <f>'Etape 2'!D249</f>
        <v/>
      </c>
      <c r="G252" s="87" t="str">
        <f>'Etape 2'!E249</f>
        <v/>
      </c>
      <c r="H252" s="87" t="str">
        <f>'Etape 2'!F249</f>
        <v/>
      </c>
      <c r="I252" s="87" t="str">
        <f>'Etape 2'!G249</f>
        <v/>
      </c>
      <c r="J252" s="87" t="str">
        <f>'Etape 2'!H249</f>
        <v/>
      </c>
      <c r="K252" s="87" t="str">
        <f>'Etape 2'!I249</f>
        <v/>
      </c>
      <c r="L252" s="87">
        <f ca="1">'Etape 2'!J249</f>
        <v>999999</v>
      </c>
      <c r="M252" s="87">
        <f>'Etape 2'!K249</f>
        <v>999</v>
      </c>
      <c r="N252" s="87">
        <f ca="1">'Etape 2'!L249</f>
        <v>237</v>
      </c>
      <c r="O252" s="259">
        <f t="shared" si="202"/>
        <v>0.3</v>
      </c>
      <c r="P252" s="259">
        <f t="shared" si="203"/>
        <v>1.1000000000000001</v>
      </c>
      <c r="Q252" s="260">
        <f t="shared" si="204"/>
        <v>0</v>
      </c>
      <c r="R252" s="261">
        <f t="shared" si="230"/>
        <v>0</v>
      </c>
      <c r="S252" s="87">
        <f>IF(ISBLANK('Etape 2'!N249),0,VLOOKUP('Etape 2'!N249,Matrix_Uebersetzung,2,FALSE))</f>
        <v>0</v>
      </c>
      <c r="T252" s="87">
        <f>IF(ISBLANK('Etape 2'!O249),0,VLOOKUP('Etape 2'!O249,Matrix_Uebersetzung,2,FALSE))</f>
        <v>0</v>
      </c>
      <c r="U252" s="87">
        <f>IF(ISBLANK('Etape 2'!P249),0,VLOOKUP('Etape 2'!P249,Matrix_Uebersetzung,2,FALSE))</f>
        <v>0</v>
      </c>
      <c r="V252" s="87" t="str">
        <f>'Etape 2'!Q249</f>
        <v/>
      </c>
      <c r="W252" s="87">
        <f>'Etape 2'!R249</f>
        <v>0</v>
      </c>
      <c r="X252" s="87" t="str">
        <f>'Etape 2'!S249</f>
        <v/>
      </c>
      <c r="Y252" s="89" t="str">
        <f>'Etape 2'!T249</f>
        <v/>
      </c>
      <c r="Z252" s="87">
        <f>'Etape 2'!U249</f>
        <v>0</v>
      </c>
      <c r="AA252" s="87" t="str">
        <f>'Etape 2'!V249</f>
        <v/>
      </c>
      <c r="AB252" s="87">
        <f>IF(ISNUMBER('Etape 2'!W249),'Etape 2'!W249,0)</f>
        <v>0</v>
      </c>
      <c r="AC252" s="87">
        <f>IF(ISNUMBER('Etape 2'!X249),'Etape 2'!X249,0)</f>
        <v>0</v>
      </c>
      <c r="AD252" s="87">
        <f>IF(ISNUMBER('Etape 2'!Y249),'Etape 2'!Y249,0)</f>
        <v>0</v>
      </c>
      <c r="AE252" s="87">
        <f>IF(ISNUMBER('Etape 2'!Z249),'Etape 2'!Z249,0)</f>
        <v>0</v>
      </c>
      <c r="AF252" s="86">
        <f t="shared" si="220"/>
        <v>999</v>
      </c>
      <c r="AG252" s="288">
        <f t="shared" si="221"/>
        <v>0.25</v>
      </c>
      <c r="AH252" s="181" t="e">
        <f t="shared" si="205"/>
        <v>#VALUE!</v>
      </c>
      <c r="AI252" s="181" t="e">
        <f t="shared" si="233"/>
        <v>#VALUE!</v>
      </c>
      <c r="AJ252" s="86">
        <f t="shared" si="206"/>
        <v>200</v>
      </c>
      <c r="AK252" s="91" t="e">
        <f t="shared" si="207"/>
        <v>#N/A</v>
      </c>
      <c r="AL252" s="91" t="e">
        <f t="shared" si="234"/>
        <v>#N/A</v>
      </c>
      <c r="AM252" s="91">
        <f t="shared" si="109"/>
        <v>6</v>
      </c>
      <c r="AN252" s="91" t="e">
        <f t="shared" si="235"/>
        <v>#N/A</v>
      </c>
      <c r="AO252" s="91" t="e">
        <f t="shared" si="236"/>
        <v>#N/A</v>
      </c>
      <c r="AP252" s="21" t="e">
        <f t="shared" si="237"/>
        <v>#N/A</v>
      </c>
      <c r="AQ252" s="21" t="e">
        <f t="shared" si="238"/>
        <v>#N/A</v>
      </c>
      <c r="AR252" s="92" t="str">
        <f t="shared" si="222"/>
        <v/>
      </c>
      <c r="AS252" s="21" t="str">
        <f t="shared" si="223"/>
        <v/>
      </c>
      <c r="AT252" s="59" t="str">
        <f t="shared" si="208"/>
        <v/>
      </c>
      <c r="AU252" s="105">
        <f t="shared" si="113"/>
        <v>1</v>
      </c>
      <c r="AV252" s="105">
        <f t="shared" si="239"/>
        <v>1</v>
      </c>
      <c r="AW252" s="58">
        <f t="shared" si="240"/>
        <v>2</v>
      </c>
      <c r="AX252" s="58">
        <f t="shared" si="241"/>
        <v>3</v>
      </c>
      <c r="AY252" s="58" t="str">
        <f t="shared" si="242"/>
        <v>avec vannes</v>
      </c>
      <c r="AZ252" s="58" t="str">
        <f t="shared" si="243"/>
        <v>fermé</v>
      </c>
      <c r="BA252" s="60">
        <f t="shared" si="232"/>
        <v>0</v>
      </c>
      <c r="BB252" s="60">
        <f t="shared" si="232"/>
        <v>0</v>
      </c>
      <c r="BC252" s="60">
        <f t="shared" si="232"/>
        <v>0</v>
      </c>
      <c r="BD252" s="60">
        <f t="shared" si="232"/>
        <v>0</v>
      </c>
      <c r="BE252" s="286" t="str">
        <f t="shared" si="209"/>
        <v/>
      </c>
      <c r="BF252" s="58" t="str">
        <f t="shared" si="224"/>
        <v/>
      </c>
      <c r="BG252" s="59" t="str">
        <f t="shared" si="210"/>
        <v/>
      </c>
      <c r="BH252" s="158">
        <f t="shared" ca="1" si="211"/>
        <v>1</v>
      </c>
      <c r="BI252" s="60">
        <f t="shared" ca="1" si="212"/>
        <v>0.15</v>
      </c>
      <c r="BJ252" s="60">
        <f t="shared" si="213"/>
        <v>0.2</v>
      </c>
      <c r="BK252" s="60" t="str">
        <f t="shared" si="225"/>
        <v/>
      </c>
      <c r="BL252" s="21" t="str">
        <f t="shared" si="226"/>
        <v/>
      </c>
      <c r="BM252" s="264" t="str">
        <f t="shared" si="214"/>
        <v/>
      </c>
      <c r="BN252" s="60" t="str">
        <f t="shared" si="227"/>
        <v/>
      </c>
      <c r="BO252" s="136">
        <f t="shared" si="228"/>
        <v>0</v>
      </c>
      <c r="BP252" s="59">
        <f t="shared" si="229"/>
        <v>0</v>
      </c>
      <c r="BQ252" s="136">
        <f t="shared" ca="1" si="215"/>
        <v>1437</v>
      </c>
      <c r="BR252" s="136">
        <f t="shared" ca="1" si="216"/>
        <v>1000.7873754152824</v>
      </c>
      <c r="BS252" s="136">
        <f t="shared" ca="1" si="217"/>
        <v>1468800.7873754152</v>
      </c>
      <c r="BT252" s="136">
        <f t="shared" ca="1" si="218"/>
        <v>313875.71010117448</v>
      </c>
      <c r="BU252" s="136">
        <f t="shared" ca="1" si="219"/>
        <v>1000.7873754152824</v>
      </c>
    </row>
    <row r="253" spans="1:73" x14ac:dyDescent="0.2">
      <c r="A253" s="87" t="str">
        <f>'Etape 2'!A250</f>
        <v/>
      </c>
      <c r="B253" s="87">
        <f>'Etape 2'!B250</f>
        <v>238</v>
      </c>
      <c r="C253" s="87">
        <f ca="1">'Etape 2'!C250</f>
        <v>63</v>
      </c>
      <c r="D253" s="87"/>
      <c r="E253" s="61">
        <f ca="1">RANK(BU253,BU$16:BU$315,0)+COUNTIF(BU$16:BU253,BU253)-1</f>
        <v>63</v>
      </c>
      <c r="F253" s="87" t="str">
        <f>'Etape 2'!D250</f>
        <v/>
      </c>
      <c r="G253" s="87" t="str">
        <f>'Etape 2'!E250</f>
        <v/>
      </c>
      <c r="H253" s="87" t="str">
        <f>'Etape 2'!F250</f>
        <v/>
      </c>
      <c r="I253" s="87" t="str">
        <f>'Etape 2'!G250</f>
        <v/>
      </c>
      <c r="J253" s="87" t="str">
        <f>'Etape 2'!H250</f>
        <v/>
      </c>
      <c r="K253" s="87" t="str">
        <f>'Etape 2'!I250</f>
        <v/>
      </c>
      <c r="L253" s="87">
        <f ca="1">'Etape 2'!J250</f>
        <v>999999</v>
      </c>
      <c r="M253" s="87">
        <f>'Etape 2'!K250</f>
        <v>999</v>
      </c>
      <c r="N253" s="87">
        <f ca="1">'Etape 2'!L250</f>
        <v>238</v>
      </c>
      <c r="O253" s="259">
        <f t="shared" si="202"/>
        <v>0.3</v>
      </c>
      <c r="P253" s="259">
        <f t="shared" si="203"/>
        <v>1.1000000000000001</v>
      </c>
      <c r="Q253" s="260">
        <f t="shared" si="204"/>
        <v>0</v>
      </c>
      <c r="R253" s="261">
        <f t="shared" si="230"/>
        <v>0</v>
      </c>
      <c r="S253" s="87">
        <f>IF(ISBLANK('Etape 2'!N250),0,VLOOKUP('Etape 2'!N250,Matrix_Uebersetzung,2,FALSE))</f>
        <v>0</v>
      </c>
      <c r="T253" s="87">
        <f>IF(ISBLANK('Etape 2'!O250),0,VLOOKUP('Etape 2'!O250,Matrix_Uebersetzung,2,FALSE))</f>
        <v>0</v>
      </c>
      <c r="U253" s="87">
        <f>IF(ISBLANK('Etape 2'!P250),0,VLOOKUP('Etape 2'!P250,Matrix_Uebersetzung,2,FALSE))</f>
        <v>0</v>
      </c>
      <c r="V253" s="87" t="str">
        <f>'Etape 2'!Q250</f>
        <v/>
      </c>
      <c r="W253" s="87">
        <f>'Etape 2'!R250</f>
        <v>0</v>
      </c>
      <c r="X253" s="87" t="str">
        <f>'Etape 2'!S250</f>
        <v/>
      </c>
      <c r="Y253" s="89" t="str">
        <f>'Etape 2'!T250</f>
        <v/>
      </c>
      <c r="Z253" s="87">
        <f>'Etape 2'!U250</f>
        <v>0</v>
      </c>
      <c r="AA253" s="87" t="str">
        <f>'Etape 2'!V250</f>
        <v/>
      </c>
      <c r="AB253" s="87">
        <f>IF(ISNUMBER('Etape 2'!W250),'Etape 2'!W250,0)</f>
        <v>0</v>
      </c>
      <c r="AC253" s="87">
        <f>IF(ISNUMBER('Etape 2'!X250),'Etape 2'!X250,0)</f>
        <v>0</v>
      </c>
      <c r="AD253" s="87">
        <f>IF(ISNUMBER('Etape 2'!Y250),'Etape 2'!Y250,0)</f>
        <v>0</v>
      </c>
      <c r="AE253" s="87">
        <f>IF(ISNUMBER('Etape 2'!Z250),'Etape 2'!Z250,0)</f>
        <v>0</v>
      </c>
      <c r="AF253" s="86">
        <f t="shared" si="220"/>
        <v>999</v>
      </c>
      <c r="AG253" s="288">
        <f t="shared" si="221"/>
        <v>0.25</v>
      </c>
      <c r="AH253" s="181" t="e">
        <f t="shared" si="205"/>
        <v>#VALUE!</v>
      </c>
      <c r="AI253" s="181" t="e">
        <f t="shared" si="233"/>
        <v>#VALUE!</v>
      </c>
      <c r="AJ253" s="86">
        <f t="shared" si="206"/>
        <v>200</v>
      </c>
      <c r="AK253" s="91" t="e">
        <f t="shared" si="207"/>
        <v>#N/A</v>
      </c>
      <c r="AL253" s="91" t="e">
        <f t="shared" si="234"/>
        <v>#N/A</v>
      </c>
      <c r="AM253" s="91">
        <f t="shared" si="109"/>
        <v>6</v>
      </c>
      <c r="AN253" s="91" t="e">
        <f t="shared" si="235"/>
        <v>#N/A</v>
      </c>
      <c r="AO253" s="91" t="e">
        <f t="shared" si="236"/>
        <v>#N/A</v>
      </c>
      <c r="AP253" s="21" t="e">
        <f t="shared" si="237"/>
        <v>#N/A</v>
      </c>
      <c r="AQ253" s="21" t="e">
        <f t="shared" si="238"/>
        <v>#N/A</v>
      </c>
      <c r="AR253" s="92" t="str">
        <f t="shared" si="222"/>
        <v/>
      </c>
      <c r="AS253" s="21" t="str">
        <f t="shared" si="223"/>
        <v/>
      </c>
      <c r="AT253" s="59" t="str">
        <f t="shared" si="208"/>
        <v/>
      </c>
      <c r="AU253" s="105">
        <f t="shared" si="113"/>
        <v>1</v>
      </c>
      <c r="AV253" s="105">
        <f t="shared" si="239"/>
        <v>1</v>
      </c>
      <c r="AW253" s="58">
        <f t="shared" si="240"/>
        <v>2</v>
      </c>
      <c r="AX253" s="58">
        <f t="shared" si="241"/>
        <v>3</v>
      </c>
      <c r="AY253" s="58" t="str">
        <f t="shared" si="242"/>
        <v>avec vannes</v>
      </c>
      <c r="AZ253" s="58" t="str">
        <f t="shared" si="243"/>
        <v>fermé</v>
      </c>
      <c r="BA253" s="60">
        <f t="shared" si="232"/>
        <v>0</v>
      </c>
      <c r="BB253" s="60">
        <f t="shared" si="232"/>
        <v>0</v>
      </c>
      <c r="BC253" s="60">
        <f t="shared" si="232"/>
        <v>0</v>
      </c>
      <c r="BD253" s="60">
        <f t="shared" si="232"/>
        <v>0</v>
      </c>
      <c r="BE253" s="286" t="str">
        <f t="shared" si="209"/>
        <v/>
      </c>
      <c r="BF253" s="58" t="str">
        <f t="shared" si="224"/>
        <v/>
      </c>
      <c r="BG253" s="59" t="str">
        <f t="shared" si="210"/>
        <v/>
      </c>
      <c r="BH253" s="158">
        <f t="shared" ca="1" si="211"/>
        <v>1</v>
      </c>
      <c r="BI253" s="60">
        <f t="shared" ca="1" si="212"/>
        <v>0.15</v>
      </c>
      <c r="BJ253" s="60">
        <f t="shared" si="213"/>
        <v>0.2</v>
      </c>
      <c r="BK253" s="60" t="str">
        <f t="shared" si="225"/>
        <v/>
      </c>
      <c r="BL253" s="21" t="str">
        <f t="shared" si="226"/>
        <v/>
      </c>
      <c r="BM253" s="264" t="str">
        <f t="shared" si="214"/>
        <v/>
      </c>
      <c r="BN253" s="60" t="str">
        <f t="shared" si="227"/>
        <v/>
      </c>
      <c r="BO253" s="136">
        <f t="shared" si="228"/>
        <v>0</v>
      </c>
      <c r="BP253" s="59">
        <f t="shared" si="229"/>
        <v>0</v>
      </c>
      <c r="BQ253" s="136">
        <f t="shared" ca="1" si="215"/>
        <v>1438</v>
      </c>
      <c r="BR253" s="136">
        <f t="shared" ca="1" si="216"/>
        <v>1000.7906976744187</v>
      </c>
      <c r="BS253" s="136">
        <f t="shared" ca="1" si="217"/>
        <v>1468800.7906976745</v>
      </c>
      <c r="BT253" s="136">
        <f t="shared" ca="1" si="218"/>
        <v>313875.71342343366</v>
      </c>
      <c r="BU253" s="136">
        <f t="shared" ca="1" si="219"/>
        <v>1000.7906976744187</v>
      </c>
    </row>
    <row r="254" spans="1:73" x14ac:dyDescent="0.2">
      <c r="A254" s="87" t="str">
        <f>'Etape 2'!A251</f>
        <v/>
      </c>
      <c r="B254" s="87">
        <f>'Etape 2'!B251</f>
        <v>239</v>
      </c>
      <c r="C254" s="87">
        <f ca="1">'Etape 2'!C251</f>
        <v>62</v>
      </c>
      <c r="D254" s="87"/>
      <c r="E254" s="61">
        <f ca="1">RANK(BU254,BU$16:BU$315,0)+COUNTIF(BU$16:BU254,BU254)-1</f>
        <v>62</v>
      </c>
      <c r="F254" s="87" t="str">
        <f>'Etape 2'!D251</f>
        <v/>
      </c>
      <c r="G254" s="87" t="str">
        <f>'Etape 2'!E251</f>
        <v/>
      </c>
      <c r="H254" s="87" t="str">
        <f>'Etape 2'!F251</f>
        <v/>
      </c>
      <c r="I254" s="87" t="str">
        <f>'Etape 2'!G251</f>
        <v/>
      </c>
      <c r="J254" s="87" t="str">
        <f>'Etape 2'!H251</f>
        <v/>
      </c>
      <c r="K254" s="87" t="str">
        <f>'Etape 2'!I251</f>
        <v/>
      </c>
      <c r="L254" s="87">
        <f ca="1">'Etape 2'!J251</f>
        <v>999999</v>
      </c>
      <c r="M254" s="87">
        <f>'Etape 2'!K251</f>
        <v>999</v>
      </c>
      <c r="N254" s="87">
        <f ca="1">'Etape 2'!L251</f>
        <v>239</v>
      </c>
      <c r="O254" s="259">
        <f t="shared" si="202"/>
        <v>0.3</v>
      </c>
      <c r="P254" s="259">
        <f t="shared" si="203"/>
        <v>1.1000000000000001</v>
      </c>
      <c r="Q254" s="260">
        <f t="shared" si="204"/>
        <v>0</v>
      </c>
      <c r="R254" s="261">
        <f t="shared" si="230"/>
        <v>0</v>
      </c>
      <c r="S254" s="87">
        <f>IF(ISBLANK('Etape 2'!N251),0,VLOOKUP('Etape 2'!N251,Matrix_Uebersetzung,2,FALSE))</f>
        <v>0</v>
      </c>
      <c r="T254" s="87">
        <f>IF(ISBLANK('Etape 2'!O251),0,VLOOKUP('Etape 2'!O251,Matrix_Uebersetzung,2,FALSE))</f>
        <v>0</v>
      </c>
      <c r="U254" s="87">
        <f>IF(ISBLANK('Etape 2'!P251),0,VLOOKUP('Etape 2'!P251,Matrix_Uebersetzung,2,FALSE))</f>
        <v>0</v>
      </c>
      <c r="V254" s="87" t="str">
        <f>'Etape 2'!Q251</f>
        <v/>
      </c>
      <c r="W254" s="87">
        <f>'Etape 2'!R251</f>
        <v>0</v>
      </c>
      <c r="X254" s="87" t="str">
        <f>'Etape 2'!S251</f>
        <v/>
      </c>
      <c r="Y254" s="89" t="str">
        <f>'Etape 2'!T251</f>
        <v/>
      </c>
      <c r="Z254" s="87">
        <f>'Etape 2'!U251</f>
        <v>0</v>
      </c>
      <c r="AA254" s="87" t="str">
        <f>'Etape 2'!V251</f>
        <v/>
      </c>
      <c r="AB254" s="87">
        <f>IF(ISNUMBER('Etape 2'!W251),'Etape 2'!W251,0)</f>
        <v>0</v>
      </c>
      <c r="AC254" s="87">
        <f>IF(ISNUMBER('Etape 2'!X251),'Etape 2'!X251,0)</f>
        <v>0</v>
      </c>
      <c r="AD254" s="87">
        <f>IF(ISNUMBER('Etape 2'!Y251),'Etape 2'!Y251,0)</f>
        <v>0</v>
      </c>
      <c r="AE254" s="87">
        <f>IF(ISNUMBER('Etape 2'!Z251),'Etape 2'!Z251,0)</f>
        <v>0</v>
      </c>
      <c r="AF254" s="86">
        <f t="shared" si="220"/>
        <v>999</v>
      </c>
      <c r="AG254" s="288">
        <f t="shared" si="221"/>
        <v>0.25</v>
      </c>
      <c r="AH254" s="181" t="e">
        <f t="shared" si="205"/>
        <v>#VALUE!</v>
      </c>
      <c r="AI254" s="181" t="e">
        <f t="shared" si="233"/>
        <v>#VALUE!</v>
      </c>
      <c r="AJ254" s="86">
        <f t="shared" si="206"/>
        <v>200</v>
      </c>
      <c r="AK254" s="91" t="e">
        <f t="shared" si="207"/>
        <v>#N/A</v>
      </c>
      <c r="AL254" s="91" t="e">
        <f t="shared" si="234"/>
        <v>#N/A</v>
      </c>
      <c r="AM254" s="91">
        <f t="shared" si="109"/>
        <v>6</v>
      </c>
      <c r="AN254" s="91" t="e">
        <f t="shared" si="235"/>
        <v>#N/A</v>
      </c>
      <c r="AO254" s="91" t="e">
        <f t="shared" si="236"/>
        <v>#N/A</v>
      </c>
      <c r="AP254" s="21" t="e">
        <f t="shared" si="237"/>
        <v>#N/A</v>
      </c>
      <c r="AQ254" s="21" t="e">
        <f t="shared" si="238"/>
        <v>#N/A</v>
      </c>
      <c r="AR254" s="92" t="str">
        <f t="shared" si="222"/>
        <v/>
      </c>
      <c r="AS254" s="21" t="str">
        <f t="shared" si="223"/>
        <v/>
      </c>
      <c r="AT254" s="59" t="str">
        <f t="shared" si="208"/>
        <v/>
      </c>
      <c r="AU254" s="105">
        <f t="shared" si="113"/>
        <v>1</v>
      </c>
      <c r="AV254" s="105">
        <f t="shared" si="239"/>
        <v>1</v>
      </c>
      <c r="AW254" s="58">
        <f t="shared" si="240"/>
        <v>2</v>
      </c>
      <c r="AX254" s="58">
        <f t="shared" si="241"/>
        <v>3</v>
      </c>
      <c r="AY254" s="58" t="str">
        <f t="shared" si="242"/>
        <v>avec vannes</v>
      </c>
      <c r="AZ254" s="58" t="str">
        <f t="shared" si="243"/>
        <v>fermé</v>
      </c>
      <c r="BA254" s="60">
        <f t="shared" si="232"/>
        <v>0</v>
      </c>
      <c r="BB254" s="60">
        <f t="shared" si="232"/>
        <v>0</v>
      </c>
      <c r="BC254" s="60">
        <f t="shared" si="232"/>
        <v>0</v>
      </c>
      <c r="BD254" s="60">
        <f t="shared" si="232"/>
        <v>0</v>
      </c>
      <c r="BE254" s="286" t="str">
        <f t="shared" si="209"/>
        <v/>
      </c>
      <c r="BF254" s="58" t="str">
        <f t="shared" si="224"/>
        <v/>
      </c>
      <c r="BG254" s="59" t="str">
        <f t="shared" si="210"/>
        <v/>
      </c>
      <c r="BH254" s="158">
        <f t="shared" ca="1" si="211"/>
        <v>1</v>
      </c>
      <c r="BI254" s="60">
        <f t="shared" ca="1" si="212"/>
        <v>0.15</v>
      </c>
      <c r="BJ254" s="60">
        <f t="shared" si="213"/>
        <v>0.2</v>
      </c>
      <c r="BK254" s="60" t="str">
        <f t="shared" si="225"/>
        <v/>
      </c>
      <c r="BL254" s="21" t="str">
        <f t="shared" si="226"/>
        <v/>
      </c>
      <c r="BM254" s="264" t="str">
        <f t="shared" si="214"/>
        <v/>
      </c>
      <c r="BN254" s="60" t="str">
        <f t="shared" si="227"/>
        <v/>
      </c>
      <c r="BO254" s="136">
        <f t="shared" si="228"/>
        <v>0</v>
      </c>
      <c r="BP254" s="59">
        <f t="shared" si="229"/>
        <v>0</v>
      </c>
      <c r="BQ254" s="136">
        <f t="shared" ca="1" si="215"/>
        <v>1439</v>
      </c>
      <c r="BR254" s="136">
        <f t="shared" ca="1" si="216"/>
        <v>1000.7940199335549</v>
      </c>
      <c r="BS254" s="136">
        <f t="shared" ca="1" si="217"/>
        <v>1468800.7940199336</v>
      </c>
      <c r="BT254" s="136">
        <f t="shared" ca="1" si="218"/>
        <v>313875.71674569277</v>
      </c>
      <c r="BU254" s="136">
        <f t="shared" ca="1" si="219"/>
        <v>1000.7940199335549</v>
      </c>
    </row>
    <row r="255" spans="1:73" x14ac:dyDescent="0.2">
      <c r="A255" s="87" t="str">
        <f>'Etape 2'!A252</f>
        <v/>
      </c>
      <c r="B255" s="87">
        <f>'Etape 2'!B252</f>
        <v>240</v>
      </c>
      <c r="C255" s="87">
        <f ca="1">'Etape 2'!C252</f>
        <v>61</v>
      </c>
      <c r="D255" s="87"/>
      <c r="E255" s="61">
        <f ca="1">RANK(BU255,BU$16:BU$315,0)+COUNTIF(BU$16:BU255,BU255)-1</f>
        <v>61</v>
      </c>
      <c r="F255" s="87" t="str">
        <f>'Etape 2'!D252</f>
        <v/>
      </c>
      <c r="G255" s="87" t="str">
        <f>'Etape 2'!E252</f>
        <v/>
      </c>
      <c r="H255" s="87" t="str">
        <f>'Etape 2'!F252</f>
        <v/>
      </c>
      <c r="I255" s="87" t="str">
        <f>'Etape 2'!G252</f>
        <v/>
      </c>
      <c r="J255" s="87" t="str">
        <f>'Etape 2'!H252</f>
        <v/>
      </c>
      <c r="K255" s="87" t="str">
        <f>'Etape 2'!I252</f>
        <v/>
      </c>
      <c r="L255" s="87">
        <f ca="1">'Etape 2'!J252</f>
        <v>999999</v>
      </c>
      <c r="M255" s="87">
        <f>'Etape 2'!K252</f>
        <v>999</v>
      </c>
      <c r="N255" s="87">
        <f ca="1">'Etape 2'!L252</f>
        <v>240</v>
      </c>
      <c r="O255" s="259">
        <f t="shared" si="202"/>
        <v>0.3</v>
      </c>
      <c r="P255" s="259">
        <f t="shared" si="203"/>
        <v>1.1000000000000001</v>
      </c>
      <c r="Q255" s="260">
        <f t="shared" si="204"/>
        <v>0</v>
      </c>
      <c r="R255" s="261">
        <f t="shared" si="230"/>
        <v>0</v>
      </c>
      <c r="S255" s="87">
        <f>IF(ISBLANK('Etape 2'!N252),0,VLOOKUP('Etape 2'!N252,Matrix_Uebersetzung,2,FALSE))</f>
        <v>0</v>
      </c>
      <c r="T255" s="87">
        <f>IF(ISBLANK('Etape 2'!O252),0,VLOOKUP('Etape 2'!O252,Matrix_Uebersetzung,2,FALSE))</f>
        <v>0</v>
      </c>
      <c r="U255" s="87">
        <f>IF(ISBLANK('Etape 2'!P252),0,VLOOKUP('Etape 2'!P252,Matrix_Uebersetzung,2,FALSE))</f>
        <v>0</v>
      </c>
      <c r="V255" s="87" t="str">
        <f>'Etape 2'!Q252</f>
        <v/>
      </c>
      <c r="W255" s="87">
        <f>'Etape 2'!R252</f>
        <v>0</v>
      </c>
      <c r="X255" s="87" t="str">
        <f>'Etape 2'!S252</f>
        <v/>
      </c>
      <c r="Y255" s="89" t="str">
        <f>'Etape 2'!T252</f>
        <v/>
      </c>
      <c r="Z255" s="87">
        <f>'Etape 2'!U252</f>
        <v>0</v>
      </c>
      <c r="AA255" s="87" t="str">
        <f>'Etape 2'!V252</f>
        <v/>
      </c>
      <c r="AB255" s="87">
        <f>IF(ISNUMBER('Etape 2'!W252),'Etape 2'!W252,0)</f>
        <v>0</v>
      </c>
      <c r="AC255" s="87">
        <f>IF(ISNUMBER('Etape 2'!X252),'Etape 2'!X252,0)</f>
        <v>0</v>
      </c>
      <c r="AD255" s="87">
        <f>IF(ISNUMBER('Etape 2'!Y252),'Etape 2'!Y252,0)</f>
        <v>0</v>
      </c>
      <c r="AE255" s="87">
        <f>IF(ISNUMBER('Etape 2'!Z252),'Etape 2'!Z252,0)</f>
        <v>0</v>
      </c>
      <c r="AF255" s="86">
        <f t="shared" si="220"/>
        <v>999</v>
      </c>
      <c r="AG255" s="288">
        <f t="shared" si="221"/>
        <v>0.25</v>
      </c>
      <c r="AH255" s="181" t="e">
        <f t="shared" si="205"/>
        <v>#VALUE!</v>
      </c>
      <c r="AI255" s="181" t="e">
        <f t="shared" si="233"/>
        <v>#VALUE!</v>
      </c>
      <c r="AJ255" s="86">
        <f t="shared" si="206"/>
        <v>200</v>
      </c>
      <c r="AK255" s="91" t="e">
        <f t="shared" si="207"/>
        <v>#N/A</v>
      </c>
      <c r="AL255" s="91" t="e">
        <f t="shared" si="234"/>
        <v>#N/A</v>
      </c>
      <c r="AM255" s="91">
        <f t="shared" si="109"/>
        <v>6</v>
      </c>
      <c r="AN255" s="91" t="e">
        <f t="shared" si="235"/>
        <v>#N/A</v>
      </c>
      <c r="AO255" s="91" t="e">
        <f t="shared" si="236"/>
        <v>#N/A</v>
      </c>
      <c r="AP255" s="21" t="e">
        <f t="shared" si="237"/>
        <v>#N/A</v>
      </c>
      <c r="AQ255" s="21" t="e">
        <f t="shared" si="238"/>
        <v>#N/A</v>
      </c>
      <c r="AR255" s="92" t="str">
        <f t="shared" si="222"/>
        <v/>
      </c>
      <c r="AS255" s="21" t="str">
        <f t="shared" si="223"/>
        <v/>
      </c>
      <c r="AT255" s="59" t="str">
        <f t="shared" si="208"/>
        <v/>
      </c>
      <c r="AU255" s="105">
        <f t="shared" si="113"/>
        <v>1</v>
      </c>
      <c r="AV255" s="105">
        <f t="shared" si="239"/>
        <v>1</v>
      </c>
      <c r="AW255" s="58">
        <f t="shared" si="240"/>
        <v>2</v>
      </c>
      <c r="AX255" s="58">
        <f t="shared" si="241"/>
        <v>3</v>
      </c>
      <c r="AY255" s="58" t="str">
        <f t="shared" si="242"/>
        <v>avec vannes</v>
      </c>
      <c r="AZ255" s="58" t="str">
        <f t="shared" si="243"/>
        <v>fermé</v>
      </c>
      <c r="BA255" s="60">
        <f t="shared" si="232"/>
        <v>0</v>
      </c>
      <c r="BB255" s="60">
        <f t="shared" si="232"/>
        <v>0</v>
      </c>
      <c r="BC255" s="60">
        <f t="shared" si="232"/>
        <v>0</v>
      </c>
      <c r="BD255" s="60">
        <f t="shared" si="232"/>
        <v>0</v>
      </c>
      <c r="BE255" s="286" t="str">
        <f t="shared" si="209"/>
        <v/>
      </c>
      <c r="BF255" s="58" t="str">
        <f t="shared" si="224"/>
        <v/>
      </c>
      <c r="BG255" s="59" t="str">
        <f t="shared" si="210"/>
        <v/>
      </c>
      <c r="BH255" s="158">
        <f t="shared" ca="1" si="211"/>
        <v>1</v>
      </c>
      <c r="BI255" s="60">
        <f t="shared" ca="1" si="212"/>
        <v>0.15</v>
      </c>
      <c r="BJ255" s="60">
        <f t="shared" si="213"/>
        <v>0.2</v>
      </c>
      <c r="BK255" s="60" t="str">
        <f t="shared" si="225"/>
        <v/>
      </c>
      <c r="BL255" s="21" t="str">
        <f t="shared" si="226"/>
        <v/>
      </c>
      <c r="BM255" s="264" t="str">
        <f t="shared" si="214"/>
        <v/>
      </c>
      <c r="BN255" s="60" t="str">
        <f t="shared" si="227"/>
        <v/>
      </c>
      <c r="BO255" s="136">
        <f t="shared" si="228"/>
        <v>0</v>
      </c>
      <c r="BP255" s="59">
        <f t="shared" si="229"/>
        <v>0</v>
      </c>
      <c r="BQ255" s="136">
        <f t="shared" ca="1" si="215"/>
        <v>1440</v>
      </c>
      <c r="BR255" s="136">
        <f t="shared" ca="1" si="216"/>
        <v>1000.7973421926911</v>
      </c>
      <c r="BS255" s="136">
        <f t="shared" ca="1" si="217"/>
        <v>1468800.7973421926</v>
      </c>
      <c r="BT255" s="136">
        <f t="shared" ca="1" si="218"/>
        <v>313875.72006795189</v>
      </c>
      <c r="BU255" s="136">
        <f t="shared" ca="1" si="219"/>
        <v>1000.7973421926911</v>
      </c>
    </row>
    <row r="256" spans="1:73" x14ac:dyDescent="0.2">
      <c r="A256" s="87" t="str">
        <f>'Etape 2'!A253</f>
        <v/>
      </c>
      <c r="B256" s="87">
        <f>'Etape 2'!B253</f>
        <v>241</v>
      </c>
      <c r="C256" s="87">
        <f ca="1">'Etape 2'!C253</f>
        <v>60</v>
      </c>
      <c r="D256" s="87"/>
      <c r="E256" s="61">
        <f ca="1">RANK(BU256,BU$16:BU$315,0)+COUNTIF(BU$16:BU256,BU256)-1</f>
        <v>60</v>
      </c>
      <c r="F256" s="87" t="str">
        <f>'Etape 2'!D253</f>
        <v/>
      </c>
      <c r="G256" s="87" t="str">
        <f>'Etape 2'!E253</f>
        <v/>
      </c>
      <c r="H256" s="87" t="str">
        <f>'Etape 2'!F253</f>
        <v/>
      </c>
      <c r="I256" s="87" t="str">
        <f>'Etape 2'!G253</f>
        <v/>
      </c>
      <c r="J256" s="87" t="str">
        <f>'Etape 2'!H253</f>
        <v/>
      </c>
      <c r="K256" s="87" t="str">
        <f>'Etape 2'!I253</f>
        <v/>
      </c>
      <c r="L256" s="87">
        <f ca="1">'Etape 2'!J253</f>
        <v>999999</v>
      </c>
      <c r="M256" s="87">
        <f>'Etape 2'!K253</f>
        <v>999</v>
      </c>
      <c r="N256" s="87">
        <f ca="1">'Etape 2'!L253</f>
        <v>241</v>
      </c>
      <c r="O256" s="259">
        <f t="shared" si="202"/>
        <v>0.3</v>
      </c>
      <c r="P256" s="259">
        <f t="shared" si="203"/>
        <v>1.1000000000000001</v>
      </c>
      <c r="Q256" s="260">
        <f t="shared" si="204"/>
        <v>0</v>
      </c>
      <c r="R256" s="261">
        <f t="shared" si="230"/>
        <v>0</v>
      </c>
      <c r="S256" s="87">
        <f>IF(ISBLANK('Etape 2'!N253),0,VLOOKUP('Etape 2'!N253,Matrix_Uebersetzung,2,FALSE))</f>
        <v>0</v>
      </c>
      <c r="T256" s="87">
        <f>IF(ISBLANK('Etape 2'!O253),0,VLOOKUP('Etape 2'!O253,Matrix_Uebersetzung,2,FALSE))</f>
        <v>0</v>
      </c>
      <c r="U256" s="87">
        <f>IF(ISBLANK('Etape 2'!P253),0,VLOOKUP('Etape 2'!P253,Matrix_Uebersetzung,2,FALSE))</f>
        <v>0</v>
      </c>
      <c r="V256" s="87" t="str">
        <f>'Etape 2'!Q253</f>
        <v/>
      </c>
      <c r="W256" s="87">
        <f>'Etape 2'!R253</f>
        <v>0</v>
      </c>
      <c r="X256" s="87" t="str">
        <f>'Etape 2'!S253</f>
        <v/>
      </c>
      <c r="Y256" s="89" t="str">
        <f>'Etape 2'!T253</f>
        <v/>
      </c>
      <c r="Z256" s="87">
        <f>'Etape 2'!U253</f>
        <v>0</v>
      </c>
      <c r="AA256" s="87" t="str">
        <f>'Etape 2'!V253</f>
        <v/>
      </c>
      <c r="AB256" s="87">
        <f>IF(ISNUMBER('Etape 2'!W253),'Etape 2'!W253,0)</f>
        <v>0</v>
      </c>
      <c r="AC256" s="87">
        <f>IF(ISNUMBER('Etape 2'!X253),'Etape 2'!X253,0)</f>
        <v>0</v>
      </c>
      <c r="AD256" s="87">
        <f>IF(ISNUMBER('Etape 2'!Y253),'Etape 2'!Y253,0)</f>
        <v>0</v>
      </c>
      <c r="AE256" s="87">
        <f>IF(ISNUMBER('Etape 2'!Z253),'Etape 2'!Z253,0)</f>
        <v>0</v>
      </c>
      <c r="AF256" s="86">
        <f t="shared" si="220"/>
        <v>999</v>
      </c>
      <c r="AG256" s="288">
        <f t="shared" si="221"/>
        <v>0.25</v>
      </c>
      <c r="AH256" s="181" t="e">
        <f t="shared" si="205"/>
        <v>#VALUE!</v>
      </c>
      <c r="AI256" s="181" t="e">
        <f t="shared" si="233"/>
        <v>#VALUE!</v>
      </c>
      <c r="AJ256" s="86">
        <f t="shared" si="206"/>
        <v>200</v>
      </c>
      <c r="AK256" s="91" t="e">
        <f t="shared" si="207"/>
        <v>#N/A</v>
      </c>
      <c r="AL256" s="91" t="e">
        <f t="shared" si="234"/>
        <v>#N/A</v>
      </c>
      <c r="AM256" s="91">
        <f t="shared" si="109"/>
        <v>6</v>
      </c>
      <c r="AN256" s="91" t="e">
        <f t="shared" si="235"/>
        <v>#N/A</v>
      </c>
      <c r="AO256" s="91" t="e">
        <f t="shared" si="236"/>
        <v>#N/A</v>
      </c>
      <c r="AP256" s="21" t="e">
        <f t="shared" si="237"/>
        <v>#N/A</v>
      </c>
      <c r="AQ256" s="21" t="e">
        <f t="shared" si="238"/>
        <v>#N/A</v>
      </c>
      <c r="AR256" s="92" t="str">
        <f t="shared" si="222"/>
        <v/>
      </c>
      <c r="AS256" s="21" t="str">
        <f t="shared" si="223"/>
        <v/>
      </c>
      <c r="AT256" s="59" t="str">
        <f t="shared" si="208"/>
        <v/>
      </c>
      <c r="AU256" s="105">
        <f t="shared" si="113"/>
        <v>1</v>
      </c>
      <c r="AV256" s="105">
        <f t="shared" si="239"/>
        <v>1</v>
      </c>
      <c r="AW256" s="58">
        <f t="shared" si="240"/>
        <v>2</v>
      </c>
      <c r="AX256" s="58">
        <f t="shared" si="241"/>
        <v>3</v>
      </c>
      <c r="AY256" s="58" t="str">
        <f t="shared" si="242"/>
        <v>avec vannes</v>
      </c>
      <c r="AZ256" s="58" t="str">
        <f t="shared" si="243"/>
        <v>fermé</v>
      </c>
      <c r="BA256" s="60">
        <f t="shared" ref="BA256:BD275" si="244">IF(BA$15/$AG256&gt;1,0,VLOOKUP(BA$15/$AG256,Matrix_Regelung.Teilvolumenstrom.Einsparpotential.ID,$AX256,0))</f>
        <v>0</v>
      </c>
      <c r="BB256" s="60">
        <f t="shared" si="244"/>
        <v>0</v>
      </c>
      <c r="BC256" s="60">
        <f t="shared" si="244"/>
        <v>0</v>
      </c>
      <c r="BD256" s="60">
        <f t="shared" si="244"/>
        <v>0</v>
      </c>
      <c r="BE256" s="286" t="str">
        <f t="shared" si="209"/>
        <v/>
      </c>
      <c r="BF256" s="58" t="str">
        <f t="shared" si="224"/>
        <v/>
      </c>
      <c r="BG256" s="59" t="str">
        <f t="shared" si="210"/>
        <v/>
      </c>
      <c r="BH256" s="158">
        <f t="shared" ca="1" si="211"/>
        <v>1</v>
      </c>
      <c r="BI256" s="60">
        <f t="shared" ca="1" si="212"/>
        <v>0.15</v>
      </c>
      <c r="BJ256" s="60">
        <f t="shared" si="213"/>
        <v>0.2</v>
      </c>
      <c r="BK256" s="60" t="str">
        <f t="shared" si="225"/>
        <v/>
      </c>
      <c r="BL256" s="21" t="str">
        <f t="shared" si="226"/>
        <v/>
      </c>
      <c r="BM256" s="264" t="str">
        <f t="shared" si="214"/>
        <v/>
      </c>
      <c r="BN256" s="60" t="str">
        <f t="shared" si="227"/>
        <v/>
      </c>
      <c r="BO256" s="136">
        <f t="shared" si="228"/>
        <v>0</v>
      </c>
      <c r="BP256" s="59">
        <f t="shared" si="229"/>
        <v>0</v>
      </c>
      <c r="BQ256" s="136">
        <f t="shared" ca="1" si="215"/>
        <v>1441</v>
      </c>
      <c r="BR256" s="136">
        <f t="shared" ca="1" si="216"/>
        <v>1000.8006644518273</v>
      </c>
      <c r="BS256" s="136">
        <f t="shared" ca="1" si="217"/>
        <v>1468800.8006644519</v>
      </c>
      <c r="BT256" s="136">
        <f t="shared" ca="1" si="218"/>
        <v>313875.72339021106</v>
      </c>
      <c r="BU256" s="136">
        <f t="shared" ca="1" si="219"/>
        <v>1000.8006644518273</v>
      </c>
    </row>
    <row r="257" spans="1:73" x14ac:dyDescent="0.2">
      <c r="A257" s="87" t="str">
        <f>'Etape 2'!A254</f>
        <v/>
      </c>
      <c r="B257" s="87">
        <f>'Etape 2'!B254</f>
        <v>242</v>
      </c>
      <c r="C257" s="87">
        <f ca="1">'Etape 2'!C254</f>
        <v>59</v>
      </c>
      <c r="D257" s="87"/>
      <c r="E257" s="61">
        <f ca="1">RANK(BU257,BU$16:BU$315,0)+COUNTIF(BU$16:BU257,BU257)-1</f>
        <v>59</v>
      </c>
      <c r="F257" s="87" t="str">
        <f>'Etape 2'!D254</f>
        <v/>
      </c>
      <c r="G257" s="87" t="str">
        <f>'Etape 2'!E254</f>
        <v/>
      </c>
      <c r="H257" s="87" t="str">
        <f>'Etape 2'!F254</f>
        <v/>
      </c>
      <c r="I257" s="87" t="str">
        <f>'Etape 2'!G254</f>
        <v/>
      </c>
      <c r="J257" s="87" t="str">
        <f>'Etape 2'!H254</f>
        <v/>
      </c>
      <c r="K257" s="87" t="str">
        <f>'Etape 2'!I254</f>
        <v/>
      </c>
      <c r="L257" s="87">
        <f ca="1">'Etape 2'!J254</f>
        <v>999999</v>
      </c>
      <c r="M257" s="87">
        <f>'Etape 2'!K254</f>
        <v>999</v>
      </c>
      <c r="N257" s="87">
        <f ca="1">'Etape 2'!L254</f>
        <v>242</v>
      </c>
      <c r="O257" s="259">
        <f t="shared" si="202"/>
        <v>0.3</v>
      </c>
      <c r="P257" s="259">
        <f t="shared" si="203"/>
        <v>1.1000000000000001</v>
      </c>
      <c r="Q257" s="260">
        <f t="shared" si="204"/>
        <v>0</v>
      </c>
      <c r="R257" s="261">
        <f t="shared" si="230"/>
        <v>0</v>
      </c>
      <c r="S257" s="87">
        <f>IF(ISBLANK('Etape 2'!N254),0,VLOOKUP('Etape 2'!N254,Matrix_Uebersetzung,2,FALSE))</f>
        <v>0</v>
      </c>
      <c r="T257" s="87">
        <f>IF(ISBLANK('Etape 2'!O254),0,VLOOKUP('Etape 2'!O254,Matrix_Uebersetzung,2,FALSE))</f>
        <v>0</v>
      </c>
      <c r="U257" s="87">
        <f>IF(ISBLANK('Etape 2'!P254),0,VLOOKUP('Etape 2'!P254,Matrix_Uebersetzung,2,FALSE))</f>
        <v>0</v>
      </c>
      <c r="V257" s="87" t="str">
        <f>'Etape 2'!Q254</f>
        <v/>
      </c>
      <c r="W257" s="87">
        <f>'Etape 2'!R254</f>
        <v>0</v>
      </c>
      <c r="X257" s="87" t="str">
        <f>'Etape 2'!S254</f>
        <v/>
      </c>
      <c r="Y257" s="89" t="str">
        <f>'Etape 2'!T254</f>
        <v/>
      </c>
      <c r="Z257" s="87">
        <f>'Etape 2'!U254</f>
        <v>0</v>
      </c>
      <c r="AA257" s="87" t="str">
        <f>'Etape 2'!V254</f>
        <v/>
      </c>
      <c r="AB257" s="87">
        <f>IF(ISNUMBER('Etape 2'!W254),'Etape 2'!W254,0)</f>
        <v>0</v>
      </c>
      <c r="AC257" s="87">
        <f>IF(ISNUMBER('Etape 2'!X254),'Etape 2'!X254,0)</f>
        <v>0</v>
      </c>
      <c r="AD257" s="87">
        <f>IF(ISNUMBER('Etape 2'!Y254),'Etape 2'!Y254,0)</f>
        <v>0</v>
      </c>
      <c r="AE257" s="87">
        <f>IF(ISNUMBER('Etape 2'!Z254),'Etape 2'!Z254,0)</f>
        <v>0</v>
      </c>
      <c r="AF257" s="86">
        <f t="shared" si="220"/>
        <v>999</v>
      </c>
      <c r="AG257" s="288">
        <f t="shared" si="221"/>
        <v>0.25</v>
      </c>
      <c r="AH257" s="181" t="e">
        <f t="shared" si="205"/>
        <v>#VALUE!</v>
      </c>
      <c r="AI257" s="181" t="e">
        <f t="shared" si="233"/>
        <v>#VALUE!</v>
      </c>
      <c r="AJ257" s="86">
        <f t="shared" si="206"/>
        <v>200</v>
      </c>
      <c r="AK257" s="91" t="e">
        <f t="shared" si="207"/>
        <v>#N/A</v>
      </c>
      <c r="AL257" s="91" t="e">
        <f t="shared" si="234"/>
        <v>#N/A</v>
      </c>
      <c r="AM257" s="91">
        <f t="shared" si="109"/>
        <v>6</v>
      </c>
      <c r="AN257" s="91" t="e">
        <f t="shared" si="235"/>
        <v>#N/A</v>
      </c>
      <c r="AO257" s="91" t="e">
        <f t="shared" si="236"/>
        <v>#N/A</v>
      </c>
      <c r="AP257" s="21" t="e">
        <f t="shared" si="237"/>
        <v>#N/A</v>
      </c>
      <c r="AQ257" s="21" t="e">
        <f t="shared" si="238"/>
        <v>#N/A</v>
      </c>
      <c r="AR257" s="92" t="str">
        <f t="shared" si="222"/>
        <v/>
      </c>
      <c r="AS257" s="21" t="str">
        <f t="shared" si="223"/>
        <v/>
      </c>
      <c r="AT257" s="59" t="str">
        <f t="shared" si="208"/>
        <v/>
      </c>
      <c r="AU257" s="105">
        <f t="shared" si="113"/>
        <v>1</v>
      </c>
      <c r="AV257" s="105">
        <f t="shared" si="239"/>
        <v>1</v>
      </c>
      <c r="AW257" s="58">
        <f t="shared" si="240"/>
        <v>2</v>
      </c>
      <c r="AX257" s="58">
        <f t="shared" si="241"/>
        <v>3</v>
      </c>
      <c r="AY257" s="58" t="str">
        <f t="shared" si="242"/>
        <v>avec vannes</v>
      </c>
      <c r="AZ257" s="58" t="str">
        <f t="shared" si="243"/>
        <v>fermé</v>
      </c>
      <c r="BA257" s="60">
        <f t="shared" si="244"/>
        <v>0</v>
      </c>
      <c r="BB257" s="60">
        <f t="shared" si="244"/>
        <v>0</v>
      </c>
      <c r="BC257" s="60">
        <f t="shared" si="244"/>
        <v>0</v>
      </c>
      <c r="BD257" s="60">
        <f t="shared" si="244"/>
        <v>0</v>
      </c>
      <c r="BE257" s="286" t="str">
        <f t="shared" si="209"/>
        <v/>
      </c>
      <c r="BF257" s="58" t="str">
        <f t="shared" si="224"/>
        <v/>
      </c>
      <c r="BG257" s="59" t="str">
        <f t="shared" si="210"/>
        <v/>
      </c>
      <c r="BH257" s="158">
        <f t="shared" ca="1" si="211"/>
        <v>1</v>
      </c>
      <c r="BI257" s="60">
        <f t="shared" ca="1" si="212"/>
        <v>0.15</v>
      </c>
      <c r="BJ257" s="60">
        <f t="shared" si="213"/>
        <v>0.2</v>
      </c>
      <c r="BK257" s="60" t="str">
        <f t="shared" si="225"/>
        <v/>
      </c>
      <c r="BL257" s="21" t="str">
        <f t="shared" si="226"/>
        <v/>
      </c>
      <c r="BM257" s="264" t="str">
        <f t="shared" si="214"/>
        <v/>
      </c>
      <c r="BN257" s="60" t="str">
        <f t="shared" si="227"/>
        <v/>
      </c>
      <c r="BO257" s="136">
        <f t="shared" si="228"/>
        <v>0</v>
      </c>
      <c r="BP257" s="59">
        <f t="shared" si="229"/>
        <v>0</v>
      </c>
      <c r="BQ257" s="136">
        <f t="shared" ca="1" si="215"/>
        <v>1442</v>
      </c>
      <c r="BR257" s="136">
        <f t="shared" ca="1" si="216"/>
        <v>1000.8039867109635</v>
      </c>
      <c r="BS257" s="136">
        <f t="shared" ca="1" si="217"/>
        <v>1468800.803986711</v>
      </c>
      <c r="BT257" s="136">
        <f t="shared" ca="1" si="218"/>
        <v>313875.72671247018</v>
      </c>
      <c r="BU257" s="136">
        <f t="shared" ca="1" si="219"/>
        <v>1000.8039867109635</v>
      </c>
    </row>
    <row r="258" spans="1:73" x14ac:dyDescent="0.2">
      <c r="A258" s="87" t="str">
        <f>'Etape 2'!A255</f>
        <v/>
      </c>
      <c r="B258" s="87">
        <f>'Etape 2'!B255</f>
        <v>243</v>
      </c>
      <c r="C258" s="87">
        <f ca="1">'Etape 2'!C255</f>
        <v>58</v>
      </c>
      <c r="D258" s="87"/>
      <c r="E258" s="61">
        <f ca="1">RANK(BU258,BU$16:BU$315,0)+COUNTIF(BU$16:BU258,BU258)-1</f>
        <v>58</v>
      </c>
      <c r="F258" s="87" t="str">
        <f>'Etape 2'!D255</f>
        <v/>
      </c>
      <c r="G258" s="87" t="str">
        <f>'Etape 2'!E255</f>
        <v/>
      </c>
      <c r="H258" s="87" t="str">
        <f>'Etape 2'!F255</f>
        <v/>
      </c>
      <c r="I258" s="87" t="str">
        <f>'Etape 2'!G255</f>
        <v/>
      </c>
      <c r="J258" s="87" t="str">
        <f>'Etape 2'!H255</f>
        <v/>
      </c>
      <c r="K258" s="87" t="str">
        <f>'Etape 2'!I255</f>
        <v/>
      </c>
      <c r="L258" s="87">
        <f ca="1">'Etape 2'!J255</f>
        <v>999999</v>
      </c>
      <c r="M258" s="87">
        <f>'Etape 2'!K255</f>
        <v>999</v>
      </c>
      <c r="N258" s="87">
        <f ca="1">'Etape 2'!L255</f>
        <v>243</v>
      </c>
      <c r="O258" s="259">
        <f t="shared" si="202"/>
        <v>0.3</v>
      </c>
      <c r="P258" s="259">
        <f t="shared" si="203"/>
        <v>1.1000000000000001</v>
      </c>
      <c r="Q258" s="260">
        <f t="shared" si="204"/>
        <v>0</v>
      </c>
      <c r="R258" s="261">
        <f t="shared" si="230"/>
        <v>0</v>
      </c>
      <c r="S258" s="87">
        <f>IF(ISBLANK('Etape 2'!N255),0,VLOOKUP('Etape 2'!N255,Matrix_Uebersetzung,2,FALSE))</f>
        <v>0</v>
      </c>
      <c r="T258" s="87">
        <f>IF(ISBLANK('Etape 2'!O255),0,VLOOKUP('Etape 2'!O255,Matrix_Uebersetzung,2,FALSE))</f>
        <v>0</v>
      </c>
      <c r="U258" s="87">
        <f>IF(ISBLANK('Etape 2'!P255),0,VLOOKUP('Etape 2'!P255,Matrix_Uebersetzung,2,FALSE))</f>
        <v>0</v>
      </c>
      <c r="V258" s="87" t="str">
        <f>'Etape 2'!Q255</f>
        <v/>
      </c>
      <c r="W258" s="87">
        <f>'Etape 2'!R255</f>
        <v>0</v>
      </c>
      <c r="X258" s="87" t="str">
        <f>'Etape 2'!S255</f>
        <v/>
      </c>
      <c r="Y258" s="89" t="str">
        <f>'Etape 2'!T255</f>
        <v/>
      </c>
      <c r="Z258" s="87">
        <f>'Etape 2'!U255</f>
        <v>0</v>
      </c>
      <c r="AA258" s="87" t="str">
        <f>'Etape 2'!V255</f>
        <v/>
      </c>
      <c r="AB258" s="87">
        <f>IF(ISNUMBER('Etape 2'!W255),'Etape 2'!W255,0)</f>
        <v>0</v>
      </c>
      <c r="AC258" s="87">
        <f>IF(ISNUMBER('Etape 2'!X255),'Etape 2'!X255,0)</f>
        <v>0</v>
      </c>
      <c r="AD258" s="87">
        <f>IF(ISNUMBER('Etape 2'!Y255),'Etape 2'!Y255,0)</f>
        <v>0</v>
      </c>
      <c r="AE258" s="87">
        <f>IF(ISNUMBER('Etape 2'!Z255),'Etape 2'!Z255,0)</f>
        <v>0</v>
      </c>
      <c r="AF258" s="86">
        <f t="shared" si="220"/>
        <v>999</v>
      </c>
      <c r="AG258" s="288">
        <f t="shared" si="221"/>
        <v>0.25</v>
      </c>
      <c r="AH258" s="181" t="e">
        <f t="shared" si="205"/>
        <v>#VALUE!</v>
      </c>
      <c r="AI258" s="181" t="e">
        <f t="shared" si="233"/>
        <v>#VALUE!</v>
      </c>
      <c r="AJ258" s="86">
        <f t="shared" si="206"/>
        <v>200</v>
      </c>
      <c r="AK258" s="91" t="e">
        <f t="shared" si="207"/>
        <v>#N/A</v>
      </c>
      <c r="AL258" s="91" t="e">
        <f t="shared" si="234"/>
        <v>#N/A</v>
      </c>
      <c r="AM258" s="91">
        <f t="shared" si="109"/>
        <v>6</v>
      </c>
      <c r="AN258" s="91" t="e">
        <f t="shared" si="235"/>
        <v>#N/A</v>
      </c>
      <c r="AO258" s="91" t="e">
        <f t="shared" si="236"/>
        <v>#N/A</v>
      </c>
      <c r="AP258" s="21" t="e">
        <f t="shared" si="237"/>
        <v>#N/A</v>
      </c>
      <c r="AQ258" s="21" t="e">
        <f t="shared" si="238"/>
        <v>#N/A</v>
      </c>
      <c r="AR258" s="92" t="str">
        <f t="shared" si="222"/>
        <v/>
      </c>
      <c r="AS258" s="21" t="str">
        <f t="shared" si="223"/>
        <v/>
      </c>
      <c r="AT258" s="59" t="str">
        <f t="shared" si="208"/>
        <v/>
      </c>
      <c r="AU258" s="105">
        <f t="shared" si="113"/>
        <v>1</v>
      </c>
      <c r="AV258" s="105">
        <f t="shared" si="239"/>
        <v>1</v>
      </c>
      <c r="AW258" s="58">
        <f t="shared" si="240"/>
        <v>2</v>
      </c>
      <c r="AX258" s="58">
        <f t="shared" si="241"/>
        <v>3</v>
      </c>
      <c r="AY258" s="58" t="str">
        <f t="shared" si="242"/>
        <v>avec vannes</v>
      </c>
      <c r="AZ258" s="58" t="str">
        <f t="shared" si="243"/>
        <v>fermé</v>
      </c>
      <c r="BA258" s="60">
        <f t="shared" si="244"/>
        <v>0</v>
      </c>
      <c r="BB258" s="60">
        <f t="shared" si="244"/>
        <v>0</v>
      </c>
      <c r="BC258" s="60">
        <f t="shared" si="244"/>
        <v>0</v>
      </c>
      <c r="BD258" s="60">
        <f t="shared" si="244"/>
        <v>0</v>
      </c>
      <c r="BE258" s="286" t="str">
        <f t="shared" si="209"/>
        <v/>
      </c>
      <c r="BF258" s="58" t="str">
        <f t="shared" si="224"/>
        <v/>
      </c>
      <c r="BG258" s="59" t="str">
        <f t="shared" si="210"/>
        <v/>
      </c>
      <c r="BH258" s="158">
        <f t="shared" ca="1" si="211"/>
        <v>1</v>
      </c>
      <c r="BI258" s="60">
        <f t="shared" ca="1" si="212"/>
        <v>0.15</v>
      </c>
      <c r="BJ258" s="60">
        <f t="shared" si="213"/>
        <v>0.2</v>
      </c>
      <c r="BK258" s="60" t="str">
        <f t="shared" si="225"/>
        <v/>
      </c>
      <c r="BL258" s="21" t="str">
        <f t="shared" si="226"/>
        <v/>
      </c>
      <c r="BM258" s="264" t="str">
        <f t="shared" si="214"/>
        <v/>
      </c>
      <c r="BN258" s="60" t="str">
        <f t="shared" si="227"/>
        <v/>
      </c>
      <c r="BO258" s="136">
        <f t="shared" si="228"/>
        <v>0</v>
      </c>
      <c r="BP258" s="59">
        <f t="shared" si="229"/>
        <v>0</v>
      </c>
      <c r="BQ258" s="136">
        <f t="shared" ca="1" si="215"/>
        <v>1443</v>
      </c>
      <c r="BR258" s="136">
        <f t="shared" ca="1" si="216"/>
        <v>1000.8073089700997</v>
      </c>
      <c r="BS258" s="136">
        <f t="shared" ca="1" si="217"/>
        <v>1468800.80730897</v>
      </c>
      <c r="BT258" s="136">
        <f t="shared" ca="1" si="218"/>
        <v>313875.73003472929</v>
      </c>
      <c r="BU258" s="136">
        <f t="shared" ca="1" si="219"/>
        <v>1000.8073089700997</v>
      </c>
    </row>
    <row r="259" spans="1:73" x14ac:dyDescent="0.2">
      <c r="A259" s="87" t="str">
        <f>'Etape 2'!A256</f>
        <v/>
      </c>
      <c r="B259" s="87">
        <f>'Etape 2'!B256</f>
        <v>244</v>
      </c>
      <c r="C259" s="87">
        <f ca="1">'Etape 2'!C256</f>
        <v>57</v>
      </c>
      <c r="D259" s="87"/>
      <c r="E259" s="61">
        <f ca="1">RANK(BU259,BU$16:BU$315,0)+COUNTIF(BU$16:BU259,BU259)-1</f>
        <v>57</v>
      </c>
      <c r="F259" s="87" t="str">
        <f>'Etape 2'!D256</f>
        <v/>
      </c>
      <c r="G259" s="87" t="str">
        <f>'Etape 2'!E256</f>
        <v/>
      </c>
      <c r="H259" s="87" t="str">
        <f>'Etape 2'!F256</f>
        <v/>
      </c>
      <c r="I259" s="87" t="str">
        <f>'Etape 2'!G256</f>
        <v/>
      </c>
      <c r="J259" s="87" t="str">
        <f>'Etape 2'!H256</f>
        <v/>
      </c>
      <c r="K259" s="87" t="str">
        <f>'Etape 2'!I256</f>
        <v/>
      </c>
      <c r="L259" s="87">
        <f ca="1">'Etape 2'!J256</f>
        <v>999999</v>
      </c>
      <c r="M259" s="87">
        <f>'Etape 2'!K256</f>
        <v>999</v>
      </c>
      <c r="N259" s="87">
        <f ca="1">'Etape 2'!L256</f>
        <v>244</v>
      </c>
      <c r="O259" s="259">
        <f t="shared" si="202"/>
        <v>0.3</v>
      </c>
      <c r="P259" s="259">
        <f t="shared" si="203"/>
        <v>1.1000000000000001</v>
      </c>
      <c r="Q259" s="260">
        <f t="shared" si="204"/>
        <v>0</v>
      </c>
      <c r="R259" s="261">
        <f t="shared" si="230"/>
        <v>0</v>
      </c>
      <c r="S259" s="87">
        <f>IF(ISBLANK('Etape 2'!N256),0,VLOOKUP('Etape 2'!N256,Matrix_Uebersetzung,2,FALSE))</f>
        <v>0</v>
      </c>
      <c r="T259" s="87">
        <f>IF(ISBLANK('Etape 2'!O256),0,VLOOKUP('Etape 2'!O256,Matrix_Uebersetzung,2,FALSE))</f>
        <v>0</v>
      </c>
      <c r="U259" s="87">
        <f>IF(ISBLANK('Etape 2'!P256),0,VLOOKUP('Etape 2'!P256,Matrix_Uebersetzung,2,FALSE))</f>
        <v>0</v>
      </c>
      <c r="V259" s="87" t="str">
        <f>'Etape 2'!Q256</f>
        <v/>
      </c>
      <c r="W259" s="87">
        <f>'Etape 2'!R256</f>
        <v>0</v>
      </c>
      <c r="X259" s="87" t="str">
        <f>'Etape 2'!S256</f>
        <v/>
      </c>
      <c r="Y259" s="89" t="str">
        <f>'Etape 2'!T256</f>
        <v/>
      </c>
      <c r="Z259" s="87">
        <f>'Etape 2'!U256</f>
        <v>0</v>
      </c>
      <c r="AA259" s="87" t="str">
        <f>'Etape 2'!V256</f>
        <v/>
      </c>
      <c r="AB259" s="87">
        <f>IF(ISNUMBER('Etape 2'!W256),'Etape 2'!W256,0)</f>
        <v>0</v>
      </c>
      <c r="AC259" s="87">
        <f>IF(ISNUMBER('Etape 2'!X256),'Etape 2'!X256,0)</f>
        <v>0</v>
      </c>
      <c r="AD259" s="87">
        <f>IF(ISNUMBER('Etape 2'!Y256),'Etape 2'!Y256,0)</f>
        <v>0</v>
      </c>
      <c r="AE259" s="87">
        <f>IF(ISNUMBER('Etape 2'!Z256),'Etape 2'!Z256,0)</f>
        <v>0</v>
      </c>
      <c r="AF259" s="86">
        <f t="shared" si="220"/>
        <v>999</v>
      </c>
      <c r="AG259" s="288">
        <f t="shared" si="221"/>
        <v>0.25</v>
      </c>
      <c r="AH259" s="181" t="e">
        <f t="shared" si="205"/>
        <v>#VALUE!</v>
      </c>
      <c r="AI259" s="181" t="e">
        <f t="shared" si="233"/>
        <v>#VALUE!</v>
      </c>
      <c r="AJ259" s="86">
        <f t="shared" si="206"/>
        <v>200</v>
      </c>
      <c r="AK259" s="91" t="e">
        <f t="shared" si="207"/>
        <v>#N/A</v>
      </c>
      <c r="AL259" s="91" t="e">
        <f t="shared" si="234"/>
        <v>#N/A</v>
      </c>
      <c r="AM259" s="91">
        <f t="shared" si="109"/>
        <v>6</v>
      </c>
      <c r="AN259" s="91" t="e">
        <f t="shared" si="235"/>
        <v>#N/A</v>
      </c>
      <c r="AO259" s="91" t="e">
        <f t="shared" si="236"/>
        <v>#N/A</v>
      </c>
      <c r="AP259" s="21" t="e">
        <f t="shared" si="237"/>
        <v>#N/A</v>
      </c>
      <c r="AQ259" s="21" t="e">
        <f t="shared" si="238"/>
        <v>#N/A</v>
      </c>
      <c r="AR259" s="92" t="str">
        <f t="shared" si="222"/>
        <v/>
      </c>
      <c r="AS259" s="21" t="str">
        <f t="shared" si="223"/>
        <v/>
      </c>
      <c r="AT259" s="59" t="str">
        <f t="shared" si="208"/>
        <v/>
      </c>
      <c r="AU259" s="105">
        <f t="shared" si="113"/>
        <v>1</v>
      </c>
      <c r="AV259" s="105">
        <f t="shared" si="239"/>
        <v>1</v>
      </c>
      <c r="AW259" s="58">
        <f t="shared" si="240"/>
        <v>2</v>
      </c>
      <c r="AX259" s="58">
        <f t="shared" si="241"/>
        <v>3</v>
      </c>
      <c r="AY259" s="58" t="str">
        <f t="shared" si="242"/>
        <v>avec vannes</v>
      </c>
      <c r="AZ259" s="58" t="str">
        <f t="shared" si="243"/>
        <v>fermé</v>
      </c>
      <c r="BA259" s="60">
        <f t="shared" si="244"/>
        <v>0</v>
      </c>
      <c r="BB259" s="60">
        <f t="shared" si="244"/>
        <v>0</v>
      </c>
      <c r="BC259" s="60">
        <f t="shared" si="244"/>
        <v>0</v>
      </c>
      <c r="BD259" s="60">
        <f t="shared" si="244"/>
        <v>0</v>
      </c>
      <c r="BE259" s="286" t="str">
        <f t="shared" si="209"/>
        <v/>
      </c>
      <c r="BF259" s="58" t="str">
        <f t="shared" si="224"/>
        <v/>
      </c>
      <c r="BG259" s="59" t="str">
        <f t="shared" si="210"/>
        <v/>
      </c>
      <c r="BH259" s="158">
        <f t="shared" ca="1" si="211"/>
        <v>1</v>
      </c>
      <c r="BI259" s="60">
        <f t="shared" ca="1" si="212"/>
        <v>0.15</v>
      </c>
      <c r="BJ259" s="60">
        <f t="shared" si="213"/>
        <v>0.2</v>
      </c>
      <c r="BK259" s="60" t="str">
        <f t="shared" si="225"/>
        <v/>
      </c>
      <c r="BL259" s="21" t="str">
        <f t="shared" si="226"/>
        <v/>
      </c>
      <c r="BM259" s="264" t="str">
        <f t="shared" si="214"/>
        <v/>
      </c>
      <c r="BN259" s="60" t="str">
        <f t="shared" si="227"/>
        <v/>
      </c>
      <c r="BO259" s="136">
        <f t="shared" si="228"/>
        <v>0</v>
      </c>
      <c r="BP259" s="59">
        <f t="shared" si="229"/>
        <v>0</v>
      </c>
      <c r="BQ259" s="136">
        <f t="shared" ca="1" si="215"/>
        <v>1444</v>
      </c>
      <c r="BR259" s="136">
        <f t="shared" ca="1" si="216"/>
        <v>1000.8106312292359</v>
      </c>
      <c r="BS259" s="136">
        <f t="shared" ca="1" si="217"/>
        <v>1468800.8106312293</v>
      </c>
      <c r="BT259" s="136">
        <f t="shared" ca="1" si="218"/>
        <v>313875.73335698846</v>
      </c>
      <c r="BU259" s="136">
        <f t="shared" ca="1" si="219"/>
        <v>1000.8106312292359</v>
      </c>
    </row>
    <row r="260" spans="1:73" x14ac:dyDescent="0.2">
      <c r="A260" s="87" t="str">
        <f>'Etape 2'!A257</f>
        <v/>
      </c>
      <c r="B260" s="87">
        <f>'Etape 2'!B257</f>
        <v>245</v>
      </c>
      <c r="C260" s="87">
        <f ca="1">'Etape 2'!C257</f>
        <v>56</v>
      </c>
      <c r="D260" s="87"/>
      <c r="E260" s="61">
        <f ca="1">RANK(BU260,BU$16:BU$315,0)+COUNTIF(BU$16:BU260,BU260)-1</f>
        <v>56</v>
      </c>
      <c r="F260" s="87" t="str">
        <f>'Etape 2'!D257</f>
        <v/>
      </c>
      <c r="G260" s="87" t="str">
        <f>'Etape 2'!E257</f>
        <v/>
      </c>
      <c r="H260" s="87" t="str">
        <f>'Etape 2'!F257</f>
        <v/>
      </c>
      <c r="I260" s="87" t="str">
        <f>'Etape 2'!G257</f>
        <v/>
      </c>
      <c r="J260" s="87" t="str">
        <f>'Etape 2'!H257</f>
        <v/>
      </c>
      <c r="K260" s="87" t="str">
        <f>'Etape 2'!I257</f>
        <v/>
      </c>
      <c r="L260" s="87">
        <f ca="1">'Etape 2'!J257</f>
        <v>999999</v>
      </c>
      <c r="M260" s="87">
        <f>'Etape 2'!K257</f>
        <v>999</v>
      </c>
      <c r="N260" s="87">
        <f ca="1">'Etape 2'!L257</f>
        <v>245</v>
      </c>
      <c r="O260" s="259">
        <f t="shared" si="202"/>
        <v>0.3</v>
      </c>
      <c r="P260" s="259">
        <f t="shared" si="203"/>
        <v>1.1000000000000001</v>
      </c>
      <c r="Q260" s="260">
        <f t="shared" si="204"/>
        <v>0</v>
      </c>
      <c r="R260" s="261">
        <f t="shared" si="230"/>
        <v>0</v>
      </c>
      <c r="S260" s="87">
        <f>IF(ISBLANK('Etape 2'!N257),0,VLOOKUP('Etape 2'!N257,Matrix_Uebersetzung,2,FALSE))</f>
        <v>0</v>
      </c>
      <c r="T260" s="87">
        <f>IF(ISBLANK('Etape 2'!O257),0,VLOOKUP('Etape 2'!O257,Matrix_Uebersetzung,2,FALSE))</f>
        <v>0</v>
      </c>
      <c r="U260" s="87">
        <f>IF(ISBLANK('Etape 2'!P257),0,VLOOKUP('Etape 2'!P257,Matrix_Uebersetzung,2,FALSE))</f>
        <v>0</v>
      </c>
      <c r="V260" s="87" t="str">
        <f>'Etape 2'!Q257</f>
        <v/>
      </c>
      <c r="W260" s="87">
        <f>'Etape 2'!R257</f>
        <v>0</v>
      </c>
      <c r="X260" s="87" t="str">
        <f>'Etape 2'!S257</f>
        <v/>
      </c>
      <c r="Y260" s="89" t="str">
        <f>'Etape 2'!T257</f>
        <v/>
      </c>
      <c r="Z260" s="87">
        <f>'Etape 2'!U257</f>
        <v>0</v>
      </c>
      <c r="AA260" s="87" t="str">
        <f>'Etape 2'!V257</f>
        <v/>
      </c>
      <c r="AB260" s="87">
        <f>IF(ISNUMBER('Etape 2'!W257),'Etape 2'!W257,0)</f>
        <v>0</v>
      </c>
      <c r="AC260" s="87">
        <f>IF(ISNUMBER('Etape 2'!X257),'Etape 2'!X257,0)</f>
        <v>0</v>
      </c>
      <c r="AD260" s="87">
        <f>IF(ISNUMBER('Etape 2'!Y257),'Etape 2'!Y257,0)</f>
        <v>0</v>
      </c>
      <c r="AE260" s="87">
        <f>IF(ISNUMBER('Etape 2'!Z257),'Etape 2'!Z257,0)</f>
        <v>0</v>
      </c>
      <c r="AF260" s="86">
        <f t="shared" si="220"/>
        <v>999</v>
      </c>
      <c r="AG260" s="288">
        <f t="shared" si="221"/>
        <v>0.25</v>
      </c>
      <c r="AH260" s="181" t="e">
        <f t="shared" si="205"/>
        <v>#VALUE!</v>
      </c>
      <c r="AI260" s="181" t="e">
        <f t="shared" si="233"/>
        <v>#VALUE!</v>
      </c>
      <c r="AJ260" s="86">
        <f t="shared" si="206"/>
        <v>200</v>
      </c>
      <c r="AK260" s="91" t="e">
        <f t="shared" si="207"/>
        <v>#N/A</v>
      </c>
      <c r="AL260" s="91" t="e">
        <f t="shared" si="234"/>
        <v>#N/A</v>
      </c>
      <c r="AM260" s="91">
        <f t="shared" si="109"/>
        <v>6</v>
      </c>
      <c r="AN260" s="91" t="e">
        <f t="shared" si="235"/>
        <v>#N/A</v>
      </c>
      <c r="AO260" s="91" t="e">
        <f t="shared" si="236"/>
        <v>#N/A</v>
      </c>
      <c r="AP260" s="21" t="e">
        <f t="shared" si="237"/>
        <v>#N/A</v>
      </c>
      <c r="AQ260" s="21" t="e">
        <f t="shared" si="238"/>
        <v>#N/A</v>
      </c>
      <c r="AR260" s="92" t="str">
        <f t="shared" si="222"/>
        <v/>
      </c>
      <c r="AS260" s="21" t="str">
        <f t="shared" si="223"/>
        <v/>
      </c>
      <c r="AT260" s="59" t="str">
        <f t="shared" si="208"/>
        <v/>
      </c>
      <c r="AU260" s="105">
        <f t="shared" si="113"/>
        <v>1</v>
      </c>
      <c r="AV260" s="105">
        <f t="shared" si="239"/>
        <v>1</v>
      </c>
      <c r="AW260" s="58">
        <f t="shared" si="240"/>
        <v>2</v>
      </c>
      <c r="AX260" s="58">
        <f t="shared" si="241"/>
        <v>3</v>
      </c>
      <c r="AY260" s="58" t="str">
        <f t="shared" si="242"/>
        <v>avec vannes</v>
      </c>
      <c r="AZ260" s="58" t="str">
        <f t="shared" si="243"/>
        <v>fermé</v>
      </c>
      <c r="BA260" s="60">
        <f t="shared" si="244"/>
        <v>0</v>
      </c>
      <c r="BB260" s="60">
        <f t="shared" si="244"/>
        <v>0</v>
      </c>
      <c r="BC260" s="60">
        <f t="shared" si="244"/>
        <v>0</v>
      </c>
      <c r="BD260" s="60">
        <f t="shared" si="244"/>
        <v>0</v>
      </c>
      <c r="BE260" s="286" t="str">
        <f t="shared" si="209"/>
        <v/>
      </c>
      <c r="BF260" s="58" t="str">
        <f t="shared" si="224"/>
        <v/>
      </c>
      <c r="BG260" s="59" t="str">
        <f t="shared" si="210"/>
        <v/>
      </c>
      <c r="BH260" s="158">
        <f t="shared" ca="1" si="211"/>
        <v>1</v>
      </c>
      <c r="BI260" s="60">
        <f t="shared" ca="1" si="212"/>
        <v>0.15</v>
      </c>
      <c r="BJ260" s="60">
        <f t="shared" si="213"/>
        <v>0.2</v>
      </c>
      <c r="BK260" s="60" t="str">
        <f t="shared" si="225"/>
        <v/>
      </c>
      <c r="BL260" s="21" t="str">
        <f t="shared" si="226"/>
        <v/>
      </c>
      <c r="BM260" s="264" t="str">
        <f t="shared" si="214"/>
        <v/>
      </c>
      <c r="BN260" s="60" t="str">
        <f t="shared" si="227"/>
        <v/>
      </c>
      <c r="BO260" s="136">
        <f t="shared" si="228"/>
        <v>0</v>
      </c>
      <c r="BP260" s="59">
        <f t="shared" si="229"/>
        <v>0</v>
      </c>
      <c r="BQ260" s="136">
        <f t="shared" ca="1" si="215"/>
        <v>1445</v>
      </c>
      <c r="BR260" s="136">
        <f t="shared" ca="1" si="216"/>
        <v>1000.8139534883721</v>
      </c>
      <c r="BS260" s="136">
        <f t="shared" ca="1" si="217"/>
        <v>1468800.8139534884</v>
      </c>
      <c r="BT260" s="136">
        <f t="shared" ca="1" si="218"/>
        <v>313875.73667924758</v>
      </c>
      <c r="BU260" s="136">
        <f t="shared" ca="1" si="219"/>
        <v>1000.8139534883721</v>
      </c>
    </row>
    <row r="261" spans="1:73" x14ac:dyDescent="0.2">
      <c r="A261" s="87" t="str">
        <f>'Etape 2'!A258</f>
        <v/>
      </c>
      <c r="B261" s="87">
        <f>'Etape 2'!B258</f>
        <v>246</v>
      </c>
      <c r="C261" s="87">
        <f ca="1">'Etape 2'!C258</f>
        <v>55</v>
      </c>
      <c r="D261" s="87"/>
      <c r="E261" s="61">
        <f ca="1">RANK(BU261,BU$16:BU$315,0)+COUNTIF(BU$16:BU261,BU261)-1</f>
        <v>55</v>
      </c>
      <c r="F261" s="87" t="str">
        <f>'Etape 2'!D258</f>
        <v/>
      </c>
      <c r="G261" s="87" t="str">
        <f>'Etape 2'!E258</f>
        <v/>
      </c>
      <c r="H261" s="87" t="str">
        <f>'Etape 2'!F258</f>
        <v/>
      </c>
      <c r="I261" s="87" t="str">
        <f>'Etape 2'!G258</f>
        <v/>
      </c>
      <c r="J261" s="87" t="str">
        <f>'Etape 2'!H258</f>
        <v/>
      </c>
      <c r="K261" s="87" t="str">
        <f>'Etape 2'!I258</f>
        <v/>
      </c>
      <c r="L261" s="87">
        <f ca="1">'Etape 2'!J258</f>
        <v>999999</v>
      </c>
      <c r="M261" s="87">
        <f>'Etape 2'!K258</f>
        <v>999</v>
      </c>
      <c r="N261" s="87">
        <f ca="1">'Etape 2'!L258</f>
        <v>246</v>
      </c>
      <c r="O261" s="259">
        <f t="shared" si="202"/>
        <v>0.3</v>
      </c>
      <c r="P261" s="259">
        <f t="shared" si="203"/>
        <v>1.1000000000000001</v>
      </c>
      <c r="Q261" s="260">
        <f t="shared" si="204"/>
        <v>0</v>
      </c>
      <c r="R261" s="261">
        <f t="shared" si="230"/>
        <v>0</v>
      </c>
      <c r="S261" s="87">
        <f>IF(ISBLANK('Etape 2'!N258),0,VLOOKUP('Etape 2'!N258,Matrix_Uebersetzung,2,FALSE))</f>
        <v>0</v>
      </c>
      <c r="T261" s="87">
        <f>IF(ISBLANK('Etape 2'!O258),0,VLOOKUP('Etape 2'!O258,Matrix_Uebersetzung,2,FALSE))</f>
        <v>0</v>
      </c>
      <c r="U261" s="87">
        <f>IF(ISBLANK('Etape 2'!P258),0,VLOOKUP('Etape 2'!P258,Matrix_Uebersetzung,2,FALSE))</f>
        <v>0</v>
      </c>
      <c r="V261" s="87" t="str">
        <f>'Etape 2'!Q258</f>
        <v/>
      </c>
      <c r="W261" s="87">
        <f>'Etape 2'!R258</f>
        <v>0</v>
      </c>
      <c r="X261" s="87" t="str">
        <f>'Etape 2'!S258</f>
        <v/>
      </c>
      <c r="Y261" s="89" t="str">
        <f>'Etape 2'!T258</f>
        <v/>
      </c>
      <c r="Z261" s="87">
        <f>'Etape 2'!U258</f>
        <v>0</v>
      </c>
      <c r="AA261" s="87" t="str">
        <f>'Etape 2'!V258</f>
        <v/>
      </c>
      <c r="AB261" s="87">
        <f>IF(ISNUMBER('Etape 2'!W258),'Etape 2'!W258,0)</f>
        <v>0</v>
      </c>
      <c r="AC261" s="87">
        <f>IF(ISNUMBER('Etape 2'!X258),'Etape 2'!X258,0)</f>
        <v>0</v>
      </c>
      <c r="AD261" s="87">
        <f>IF(ISNUMBER('Etape 2'!Y258),'Etape 2'!Y258,0)</f>
        <v>0</v>
      </c>
      <c r="AE261" s="87">
        <f>IF(ISNUMBER('Etape 2'!Z258),'Etape 2'!Z258,0)</f>
        <v>0</v>
      </c>
      <c r="AF261" s="86">
        <f t="shared" si="220"/>
        <v>999</v>
      </c>
      <c r="AG261" s="288">
        <f t="shared" si="221"/>
        <v>0.25</v>
      </c>
      <c r="AH261" s="181" t="e">
        <f t="shared" si="205"/>
        <v>#VALUE!</v>
      </c>
      <c r="AI261" s="181" t="e">
        <f t="shared" si="233"/>
        <v>#VALUE!</v>
      </c>
      <c r="AJ261" s="86">
        <f t="shared" si="206"/>
        <v>200</v>
      </c>
      <c r="AK261" s="91" t="e">
        <f t="shared" si="207"/>
        <v>#N/A</v>
      </c>
      <c r="AL261" s="91" t="e">
        <f t="shared" si="234"/>
        <v>#N/A</v>
      </c>
      <c r="AM261" s="91">
        <f t="shared" si="109"/>
        <v>6</v>
      </c>
      <c r="AN261" s="91" t="e">
        <f t="shared" si="235"/>
        <v>#N/A</v>
      </c>
      <c r="AO261" s="91" t="e">
        <f t="shared" si="236"/>
        <v>#N/A</v>
      </c>
      <c r="AP261" s="21" t="e">
        <f t="shared" si="237"/>
        <v>#N/A</v>
      </c>
      <c r="AQ261" s="21" t="e">
        <f t="shared" si="238"/>
        <v>#N/A</v>
      </c>
      <c r="AR261" s="92" t="str">
        <f t="shared" si="222"/>
        <v/>
      </c>
      <c r="AS261" s="21" t="str">
        <f t="shared" si="223"/>
        <v/>
      </c>
      <c r="AT261" s="59" t="str">
        <f t="shared" si="208"/>
        <v/>
      </c>
      <c r="AU261" s="105">
        <f t="shared" si="113"/>
        <v>1</v>
      </c>
      <c r="AV261" s="105">
        <f t="shared" si="239"/>
        <v>1</v>
      </c>
      <c r="AW261" s="58">
        <f t="shared" si="240"/>
        <v>2</v>
      </c>
      <c r="AX261" s="58">
        <f t="shared" si="241"/>
        <v>3</v>
      </c>
      <c r="AY261" s="58" t="str">
        <f t="shared" si="242"/>
        <v>avec vannes</v>
      </c>
      <c r="AZ261" s="58" t="str">
        <f t="shared" si="243"/>
        <v>fermé</v>
      </c>
      <c r="BA261" s="60">
        <f t="shared" si="244"/>
        <v>0</v>
      </c>
      <c r="BB261" s="60">
        <f t="shared" si="244"/>
        <v>0</v>
      </c>
      <c r="BC261" s="60">
        <f t="shared" si="244"/>
        <v>0</v>
      </c>
      <c r="BD261" s="60">
        <f t="shared" si="244"/>
        <v>0</v>
      </c>
      <c r="BE261" s="286" t="str">
        <f t="shared" si="209"/>
        <v/>
      </c>
      <c r="BF261" s="58" t="str">
        <f t="shared" si="224"/>
        <v/>
      </c>
      <c r="BG261" s="59" t="str">
        <f t="shared" si="210"/>
        <v/>
      </c>
      <c r="BH261" s="158">
        <f t="shared" ca="1" si="211"/>
        <v>1</v>
      </c>
      <c r="BI261" s="60">
        <f t="shared" ca="1" si="212"/>
        <v>0.15</v>
      </c>
      <c r="BJ261" s="60">
        <f t="shared" si="213"/>
        <v>0.2</v>
      </c>
      <c r="BK261" s="60" t="str">
        <f t="shared" si="225"/>
        <v/>
      </c>
      <c r="BL261" s="21" t="str">
        <f t="shared" si="226"/>
        <v/>
      </c>
      <c r="BM261" s="264" t="str">
        <f t="shared" si="214"/>
        <v/>
      </c>
      <c r="BN261" s="60" t="str">
        <f t="shared" si="227"/>
        <v/>
      </c>
      <c r="BO261" s="136">
        <f t="shared" si="228"/>
        <v>0</v>
      </c>
      <c r="BP261" s="59">
        <f t="shared" si="229"/>
        <v>0</v>
      </c>
      <c r="BQ261" s="136">
        <f t="shared" ca="1" si="215"/>
        <v>1446</v>
      </c>
      <c r="BR261" s="136">
        <f t="shared" ca="1" si="216"/>
        <v>1000.8172757475083</v>
      </c>
      <c r="BS261" s="136">
        <f t="shared" ca="1" si="217"/>
        <v>1468800.8172757474</v>
      </c>
      <c r="BT261" s="136">
        <f t="shared" ca="1" si="218"/>
        <v>313875.7400015067</v>
      </c>
      <c r="BU261" s="136">
        <f t="shared" ca="1" si="219"/>
        <v>1000.8172757475083</v>
      </c>
    </row>
    <row r="262" spans="1:73" x14ac:dyDescent="0.2">
      <c r="A262" s="87" t="str">
        <f>'Etape 2'!A259</f>
        <v/>
      </c>
      <c r="B262" s="87">
        <f>'Etape 2'!B259</f>
        <v>247</v>
      </c>
      <c r="C262" s="87">
        <f ca="1">'Etape 2'!C259</f>
        <v>54</v>
      </c>
      <c r="D262" s="87"/>
      <c r="E262" s="61">
        <f ca="1">RANK(BU262,BU$16:BU$315,0)+COUNTIF(BU$16:BU262,BU262)-1</f>
        <v>54</v>
      </c>
      <c r="F262" s="87" t="str">
        <f>'Etape 2'!D259</f>
        <v/>
      </c>
      <c r="G262" s="87" t="str">
        <f>'Etape 2'!E259</f>
        <v/>
      </c>
      <c r="H262" s="87" t="str">
        <f>'Etape 2'!F259</f>
        <v/>
      </c>
      <c r="I262" s="87" t="str">
        <f>'Etape 2'!G259</f>
        <v/>
      </c>
      <c r="J262" s="87" t="str">
        <f>'Etape 2'!H259</f>
        <v/>
      </c>
      <c r="K262" s="87" t="str">
        <f>'Etape 2'!I259</f>
        <v/>
      </c>
      <c r="L262" s="87">
        <f ca="1">'Etape 2'!J259</f>
        <v>999999</v>
      </c>
      <c r="M262" s="87">
        <f>'Etape 2'!K259</f>
        <v>999</v>
      </c>
      <c r="N262" s="87">
        <f ca="1">'Etape 2'!L259</f>
        <v>247</v>
      </c>
      <c r="O262" s="259">
        <f t="shared" si="202"/>
        <v>0.3</v>
      </c>
      <c r="P262" s="259">
        <f t="shared" si="203"/>
        <v>1.1000000000000001</v>
      </c>
      <c r="Q262" s="260">
        <f t="shared" si="204"/>
        <v>0</v>
      </c>
      <c r="R262" s="261">
        <f t="shared" si="230"/>
        <v>0</v>
      </c>
      <c r="S262" s="87">
        <f>IF(ISBLANK('Etape 2'!N259),0,VLOOKUP('Etape 2'!N259,Matrix_Uebersetzung,2,FALSE))</f>
        <v>0</v>
      </c>
      <c r="T262" s="87">
        <f>IF(ISBLANK('Etape 2'!O259),0,VLOOKUP('Etape 2'!O259,Matrix_Uebersetzung,2,FALSE))</f>
        <v>0</v>
      </c>
      <c r="U262" s="87">
        <f>IF(ISBLANK('Etape 2'!P259),0,VLOOKUP('Etape 2'!P259,Matrix_Uebersetzung,2,FALSE))</f>
        <v>0</v>
      </c>
      <c r="V262" s="87" t="str">
        <f>'Etape 2'!Q259</f>
        <v/>
      </c>
      <c r="W262" s="87">
        <f>'Etape 2'!R259</f>
        <v>0</v>
      </c>
      <c r="X262" s="87" t="str">
        <f>'Etape 2'!S259</f>
        <v/>
      </c>
      <c r="Y262" s="89" t="str">
        <f>'Etape 2'!T259</f>
        <v/>
      </c>
      <c r="Z262" s="87">
        <f>'Etape 2'!U259</f>
        <v>0</v>
      </c>
      <c r="AA262" s="87" t="str">
        <f>'Etape 2'!V259</f>
        <v/>
      </c>
      <c r="AB262" s="87">
        <f>IF(ISNUMBER('Etape 2'!W259),'Etape 2'!W259,0)</f>
        <v>0</v>
      </c>
      <c r="AC262" s="87">
        <f>IF(ISNUMBER('Etape 2'!X259),'Etape 2'!X259,0)</f>
        <v>0</v>
      </c>
      <c r="AD262" s="87">
        <f>IF(ISNUMBER('Etape 2'!Y259),'Etape 2'!Y259,0)</f>
        <v>0</v>
      </c>
      <c r="AE262" s="87">
        <f>IF(ISNUMBER('Etape 2'!Z259),'Etape 2'!Z259,0)</f>
        <v>0</v>
      </c>
      <c r="AF262" s="86">
        <f t="shared" si="220"/>
        <v>999</v>
      </c>
      <c r="AG262" s="288">
        <f t="shared" si="221"/>
        <v>0.25</v>
      </c>
      <c r="AH262" s="181" t="e">
        <f t="shared" si="205"/>
        <v>#VALUE!</v>
      </c>
      <c r="AI262" s="181" t="e">
        <f t="shared" si="233"/>
        <v>#VALUE!</v>
      </c>
      <c r="AJ262" s="86">
        <f t="shared" si="206"/>
        <v>200</v>
      </c>
      <c r="AK262" s="91" t="e">
        <f t="shared" si="207"/>
        <v>#N/A</v>
      </c>
      <c r="AL262" s="91" t="e">
        <f t="shared" si="234"/>
        <v>#N/A</v>
      </c>
      <c r="AM262" s="91">
        <f t="shared" si="109"/>
        <v>6</v>
      </c>
      <c r="AN262" s="91" t="e">
        <f t="shared" si="235"/>
        <v>#N/A</v>
      </c>
      <c r="AO262" s="91" t="e">
        <f t="shared" si="236"/>
        <v>#N/A</v>
      </c>
      <c r="AP262" s="21" t="e">
        <f t="shared" si="237"/>
        <v>#N/A</v>
      </c>
      <c r="AQ262" s="21" t="e">
        <f t="shared" si="238"/>
        <v>#N/A</v>
      </c>
      <c r="AR262" s="92" t="str">
        <f t="shared" si="222"/>
        <v/>
      </c>
      <c r="AS262" s="21" t="str">
        <f t="shared" si="223"/>
        <v/>
      </c>
      <c r="AT262" s="59" t="str">
        <f t="shared" si="208"/>
        <v/>
      </c>
      <c r="AU262" s="105">
        <f t="shared" si="113"/>
        <v>1</v>
      </c>
      <c r="AV262" s="105">
        <f t="shared" si="239"/>
        <v>1</v>
      </c>
      <c r="AW262" s="58">
        <f t="shared" si="240"/>
        <v>2</v>
      </c>
      <c r="AX262" s="58">
        <f t="shared" si="241"/>
        <v>3</v>
      </c>
      <c r="AY262" s="58" t="str">
        <f t="shared" si="242"/>
        <v>avec vannes</v>
      </c>
      <c r="AZ262" s="58" t="str">
        <f t="shared" si="243"/>
        <v>fermé</v>
      </c>
      <c r="BA262" s="60">
        <f t="shared" si="244"/>
        <v>0</v>
      </c>
      <c r="BB262" s="60">
        <f t="shared" si="244"/>
        <v>0</v>
      </c>
      <c r="BC262" s="60">
        <f t="shared" si="244"/>
        <v>0</v>
      </c>
      <c r="BD262" s="60">
        <f t="shared" si="244"/>
        <v>0</v>
      </c>
      <c r="BE262" s="286" t="str">
        <f t="shared" si="209"/>
        <v/>
      </c>
      <c r="BF262" s="58" t="str">
        <f t="shared" si="224"/>
        <v/>
      </c>
      <c r="BG262" s="59" t="str">
        <f t="shared" si="210"/>
        <v/>
      </c>
      <c r="BH262" s="158">
        <f t="shared" ca="1" si="211"/>
        <v>1</v>
      </c>
      <c r="BI262" s="60">
        <f t="shared" ca="1" si="212"/>
        <v>0.15</v>
      </c>
      <c r="BJ262" s="60">
        <f t="shared" si="213"/>
        <v>0.2</v>
      </c>
      <c r="BK262" s="60" t="str">
        <f t="shared" si="225"/>
        <v/>
      </c>
      <c r="BL262" s="21" t="str">
        <f t="shared" si="226"/>
        <v/>
      </c>
      <c r="BM262" s="264" t="str">
        <f t="shared" si="214"/>
        <v/>
      </c>
      <c r="BN262" s="60" t="str">
        <f t="shared" si="227"/>
        <v/>
      </c>
      <c r="BO262" s="136">
        <f t="shared" si="228"/>
        <v>0</v>
      </c>
      <c r="BP262" s="59">
        <f t="shared" si="229"/>
        <v>0</v>
      </c>
      <c r="BQ262" s="136">
        <f t="shared" ca="1" si="215"/>
        <v>1447</v>
      </c>
      <c r="BR262" s="136">
        <f t="shared" ca="1" si="216"/>
        <v>1000.8205980066446</v>
      </c>
      <c r="BS262" s="136">
        <f t="shared" ca="1" si="217"/>
        <v>1468800.8205980067</v>
      </c>
      <c r="BT262" s="136">
        <f t="shared" ca="1" si="218"/>
        <v>313875.74332376587</v>
      </c>
      <c r="BU262" s="136">
        <f t="shared" ca="1" si="219"/>
        <v>1000.8205980066446</v>
      </c>
    </row>
    <row r="263" spans="1:73" x14ac:dyDescent="0.2">
      <c r="A263" s="87" t="str">
        <f>'Etape 2'!A260</f>
        <v/>
      </c>
      <c r="B263" s="87">
        <f>'Etape 2'!B260</f>
        <v>248</v>
      </c>
      <c r="C263" s="87">
        <f ca="1">'Etape 2'!C260</f>
        <v>53</v>
      </c>
      <c r="D263" s="87"/>
      <c r="E263" s="61">
        <f ca="1">RANK(BU263,BU$16:BU$315,0)+COUNTIF(BU$16:BU263,BU263)-1</f>
        <v>53</v>
      </c>
      <c r="F263" s="87" t="str">
        <f>'Etape 2'!D260</f>
        <v/>
      </c>
      <c r="G263" s="87" t="str">
        <f>'Etape 2'!E260</f>
        <v/>
      </c>
      <c r="H263" s="87" t="str">
        <f>'Etape 2'!F260</f>
        <v/>
      </c>
      <c r="I263" s="87" t="str">
        <f>'Etape 2'!G260</f>
        <v/>
      </c>
      <c r="J263" s="87" t="str">
        <f>'Etape 2'!H260</f>
        <v/>
      </c>
      <c r="K263" s="87" t="str">
        <f>'Etape 2'!I260</f>
        <v/>
      </c>
      <c r="L263" s="87">
        <f ca="1">'Etape 2'!J260</f>
        <v>999999</v>
      </c>
      <c r="M263" s="87">
        <f>'Etape 2'!K260</f>
        <v>999</v>
      </c>
      <c r="N263" s="87">
        <f ca="1">'Etape 2'!L260</f>
        <v>248</v>
      </c>
      <c r="O263" s="259">
        <f t="shared" si="202"/>
        <v>0.3</v>
      </c>
      <c r="P263" s="259">
        <f t="shared" si="203"/>
        <v>1.1000000000000001</v>
      </c>
      <c r="Q263" s="260">
        <f t="shared" si="204"/>
        <v>0</v>
      </c>
      <c r="R263" s="261">
        <f t="shared" si="230"/>
        <v>0</v>
      </c>
      <c r="S263" s="87">
        <f>IF(ISBLANK('Etape 2'!N260),0,VLOOKUP('Etape 2'!N260,Matrix_Uebersetzung,2,FALSE))</f>
        <v>0</v>
      </c>
      <c r="T263" s="87">
        <f>IF(ISBLANK('Etape 2'!O260),0,VLOOKUP('Etape 2'!O260,Matrix_Uebersetzung,2,FALSE))</f>
        <v>0</v>
      </c>
      <c r="U263" s="87">
        <f>IF(ISBLANK('Etape 2'!P260),0,VLOOKUP('Etape 2'!P260,Matrix_Uebersetzung,2,FALSE))</f>
        <v>0</v>
      </c>
      <c r="V263" s="87" t="str">
        <f>'Etape 2'!Q260</f>
        <v/>
      </c>
      <c r="W263" s="87">
        <f>'Etape 2'!R260</f>
        <v>0</v>
      </c>
      <c r="X263" s="87" t="str">
        <f>'Etape 2'!S260</f>
        <v/>
      </c>
      <c r="Y263" s="89" t="str">
        <f>'Etape 2'!T260</f>
        <v/>
      </c>
      <c r="Z263" s="87">
        <f>'Etape 2'!U260</f>
        <v>0</v>
      </c>
      <c r="AA263" s="87" t="str">
        <f>'Etape 2'!V260</f>
        <v/>
      </c>
      <c r="AB263" s="87">
        <f>IF(ISNUMBER('Etape 2'!W260),'Etape 2'!W260,0)</f>
        <v>0</v>
      </c>
      <c r="AC263" s="87">
        <f>IF(ISNUMBER('Etape 2'!X260),'Etape 2'!X260,0)</f>
        <v>0</v>
      </c>
      <c r="AD263" s="87">
        <f>IF(ISNUMBER('Etape 2'!Y260),'Etape 2'!Y260,0)</f>
        <v>0</v>
      </c>
      <c r="AE263" s="87">
        <f>IF(ISNUMBER('Etape 2'!Z260),'Etape 2'!Z260,0)</f>
        <v>0</v>
      </c>
      <c r="AF263" s="86">
        <f t="shared" si="220"/>
        <v>999</v>
      </c>
      <c r="AG263" s="288">
        <f t="shared" si="221"/>
        <v>0.25</v>
      </c>
      <c r="AH263" s="181" t="e">
        <f t="shared" si="205"/>
        <v>#VALUE!</v>
      </c>
      <c r="AI263" s="181" t="e">
        <f t="shared" si="233"/>
        <v>#VALUE!</v>
      </c>
      <c r="AJ263" s="86">
        <f t="shared" si="206"/>
        <v>200</v>
      </c>
      <c r="AK263" s="91" t="e">
        <f t="shared" si="207"/>
        <v>#N/A</v>
      </c>
      <c r="AL263" s="91" t="e">
        <f t="shared" si="234"/>
        <v>#N/A</v>
      </c>
      <c r="AM263" s="91">
        <f t="shared" si="109"/>
        <v>6</v>
      </c>
      <c r="AN263" s="91" t="e">
        <f t="shared" si="235"/>
        <v>#N/A</v>
      </c>
      <c r="AO263" s="91" t="e">
        <f t="shared" si="236"/>
        <v>#N/A</v>
      </c>
      <c r="AP263" s="21" t="e">
        <f t="shared" si="237"/>
        <v>#N/A</v>
      </c>
      <c r="AQ263" s="21" t="e">
        <f t="shared" si="238"/>
        <v>#N/A</v>
      </c>
      <c r="AR263" s="92" t="str">
        <f t="shared" si="222"/>
        <v/>
      </c>
      <c r="AS263" s="21" t="str">
        <f t="shared" si="223"/>
        <v/>
      </c>
      <c r="AT263" s="59" t="str">
        <f t="shared" si="208"/>
        <v/>
      </c>
      <c r="AU263" s="105">
        <f t="shared" si="113"/>
        <v>1</v>
      </c>
      <c r="AV263" s="105">
        <f t="shared" si="239"/>
        <v>1</v>
      </c>
      <c r="AW263" s="58">
        <f t="shared" si="240"/>
        <v>2</v>
      </c>
      <c r="AX263" s="58">
        <f t="shared" si="241"/>
        <v>3</v>
      </c>
      <c r="AY263" s="58" t="str">
        <f t="shared" si="242"/>
        <v>avec vannes</v>
      </c>
      <c r="AZ263" s="58" t="str">
        <f t="shared" si="243"/>
        <v>fermé</v>
      </c>
      <c r="BA263" s="60">
        <f t="shared" si="244"/>
        <v>0</v>
      </c>
      <c r="BB263" s="60">
        <f t="shared" si="244"/>
        <v>0</v>
      </c>
      <c r="BC263" s="60">
        <f t="shared" si="244"/>
        <v>0</v>
      </c>
      <c r="BD263" s="60">
        <f t="shared" si="244"/>
        <v>0</v>
      </c>
      <c r="BE263" s="286" t="str">
        <f t="shared" si="209"/>
        <v/>
      </c>
      <c r="BF263" s="58" t="str">
        <f t="shared" si="224"/>
        <v/>
      </c>
      <c r="BG263" s="59" t="str">
        <f t="shared" si="210"/>
        <v/>
      </c>
      <c r="BH263" s="158">
        <f t="shared" ca="1" si="211"/>
        <v>1</v>
      </c>
      <c r="BI263" s="60">
        <f t="shared" ca="1" si="212"/>
        <v>0.15</v>
      </c>
      <c r="BJ263" s="60">
        <f t="shared" si="213"/>
        <v>0.2</v>
      </c>
      <c r="BK263" s="60" t="str">
        <f t="shared" si="225"/>
        <v/>
      </c>
      <c r="BL263" s="21" t="str">
        <f t="shared" si="226"/>
        <v/>
      </c>
      <c r="BM263" s="264" t="str">
        <f t="shared" si="214"/>
        <v/>
      </c>
      <c r="BN263" s="60" t="str">
        <f t="shared" si="227"/>
        <v/>
      </c>
      <c r="BO263" s="136">
        <f t="shared" si="228"/>
        <v>0</v>
      </c>
      <c r="BP263" s="59">
        <f t="shared" si="229"/>
        <v>0</v>
      </c>
      <c r="BQ263" s="136">
        <f t="shared" ca="1" si="215"/>
        <v>1448</v>
      </c>
      <c r="BR263" s="136">
        <f t="shared" ca="1" si="216"/>
        <v>1000.8239202657808</v>
      </c>
      <c r="BS263" s="136">
        <f t="shared" ca="1" si="217"/>
        <v>1468800.8239202658</v>
      </c>
      <c r="BT263" s="136">
        <f t="shared" ca="1" si="218"/>
        <v>313875.74664602499</v>
      </c>
      <c r="BU263" s="136">
        <f t="shared" ca="1" si="219"/>
        <v>1000.8239202657808</v>
      </c>
    </row>
    <row r="264" spans="1:73" x14ac:dyDescent="0.2">
      <c r="A264" s="87" t="str">
        <f>'Etape 2'!A261</f>
        <v/>
      </c>
      <c r="B264" s="87">
        <f>'Etape 2'!B261</f>
        <v>249</v>
      </c>
      <c r="C264" s="87">
        <f ca="1">'Etape 2'!C261</f>
        <v>52</v>
      </c>
      <c r="D264" s="87"/>
      <c r="E264" s="61">
        <f ca="1">RANK(BU264,BU$16:BU$315,0)+COUNTIF(BU$16:BU264,BU264)-1</f>
        <v>52</v>
      </c>
      <c r="F264" s="87" t="str">
        <f>'Etape 2'!D261</f>
        <v/>
      </c>
      <c r="G264" s="87" t="str">
        <f>'Etape 2'!E261</f>
        <v/>
      </c>
      <c r="H264" s="87" t="str">
        <f>'Etape 2'!F261</f>
        <v/>
      </c>
      <c r="I264" s="87" t="str">
        <f>'Etape 2'!G261</f>
        <v/>
      </c>
      <c r="J264" s="87" t="str">
        <f>'Etape 2'!H261</f>
        <v/>
      </c>
      <c r="K264" s="87" t="str">
        <f>'Etape 2'!I261</f>
        <v/>
      </c>
      <c r="L264" s="87">
        <f ca="1">'Etape 2'!J261</f>
        <v>999999</v>
      </c>
      <c r="M264" s="87">
        <f>'Etape 2'!K261</f>
        <v>999</v>
      </c>
      <c r="N264" s="87">
        <f ca="1">'Etape 2'!L261</f>
        <v>249</v>
      </c>
      <c r="O264" s="259">
        <f t="shared" si="202"/>
        <v>0.3</v>
      </c>
      <c r="P264" s="259">
        <f t="shared" si="203"/>
        <v>1.1000000000000001</v>
      </c>
      <c r="Q264" s="260">
        <f t="shared" si="204"/>
        <v>0</v>
      </c>
      <c r="R264" s="261">
        <f t="shared" si="230"/>
        <v>0</v>
      </c>
      <c r="S264" s="87">
        <f>IF(ISBLANK('Etape 2'!N261),0,VLOOKUP('Etape 2'!N261,Matrix_Uebersetzung,2,FALSE))</f>
        <v>0</v>
      </c>
      <c r="T264" s="87">
        <f>IF(ISBLANK('Etape 2'!O261),0,VLOOKUP('Etape 2'!O261,Matrix_Uebersetzung,2,FALSE))</f>
        <v>0</v>
      </c>
      <c r="U264" s="87">
        <f>IF(ISBLANK('Etape 2'!P261),0,VLOOKUP('Etape 2'!P261,Matrix_Uebersetzung,2,FALSE))</f>
        <v>0</v>
      </c>
      <c r="V264" s="87" t="str">
        <f>'Etape 2'!Q261</f>
        <v/>
      </c>
      <c r="W264" s="87">
        <f>'Etape 2'!R261</f>
        <v>0</v>
      </c>
      <c r="X264" s="87" t="str">
        <f>'Etape 2'!S261</f>
        <v/>
      </c>
      <c r="Y264" s="89" t="str">
        <f>'Etape 2'!T261</f>
        <v/>
      </c>
      <c r="Z264" s="87">
        <f>'Etape 2'!U261</f>
        <v>0</v>
      </c>
      <c r="AA264" s="87" t="str">
        <f>'Etape 2'!V261</f>
        <v/>
      </c>
      <c r="AB264" s="87">
        <f>IF(ISNUMBER('Etape 2'!W261),'Etape 2'!W261,0)</f>
        <v>0</v>
      </c>
      <c r="AC264" s="87">
        <f>IF(ISNUMBER('Etape 2'!X261),'Etape 2'!X261,0)</f>
        <v>0</v>
      </c>
      <c r="AD264" s="87">
        <f>IF(ISNUMBER('Etape 2'!Y261),'Etape 2'!Y261,0)</f>
        <v>0</v>
      </c>
      <c r="AE264" s="87">
        <f>IF(ISNUMBER('Etape 2'!Z261),'Etape 2'!Z261,0)</f>
        <v>0</v>
      </c>
      <c r="AF264" s="86">
        <f t="shared" si="220"/>
        <v>999</v>
      </c>
      <c r="AG264" s="288">
        <f t="shared" si="221"/>
        <v>0.25</v>
      </c>
      <c r="AH264" s="181" t="e">
        <f t="shared" si="205"/>
        <v>#VALUE!</v>
      </c>
      <c r="AI264" s="181" t="e">
        <f t="shared" si="233"/>
        <v>#VALUE!</v>
      </c>
      <c r="AJ264" s="86">
        <f t="shared" si="206"/>
        <v>200</v>
      </c>
      <c r="AK264" s="91" t="e">
        <f t="shared" si="207"/>
        <v>#N/A</v>
      </c>
      <c r="AL264" s="91" t="e">
        <f t="shared" si="234"/>
        <v>#N/A</v>
      </c>
      <c r="AM264" s="91">
        <f t="shared" si="109"/>
        <v>6</v>
      </c>
      <c r="AN264" s="91" t="e">
        <f t="shared" si="235"/>
        <v>#N/A</v>
      </c>
      <c r="AO264" s="91" t="e">
        <f t="shared" si="236"/>
        <v>#N/A</v>
      </c>
      <c r="AP264" s="21" t="e">
        <f t="shared" si="237"/>
        <v>#N/A</v>
      </c>
      <c r="AQ264" s="21" t="e">
        <f t="shared" si="238"/>
        <v>#N/A</v>
      </c>
      <c r="AR264" s="92" t="str">
        <f t="shared" si="222"/>
        <v/>
      </c>
      <c r="AS264" s="21" t="str">
        <f t="shared" si="223"/>
        <v/>
      </c>
      <c r="AT264" s="59" t="str">
        <f t="shared" si="208"/>
        <v/>
      </c>
      <c r="AU264" s="105">
        <f t="shared" si="113"/>
        <v>1</v>
      </c>
      <c r="AV264" s="105">
        <f t="shared" si="239"/>
        <v>1</v>
      </c>
      <c r="AW264" s="58">
        <f t="shared" si="240"/>
        <v>2</v>
      </c>
      <c r="AX264" s="58">
        <f t="shared" si="241"/>
        <v>3</v>
      </c>
      <c r="AY264" s="58" t="str">
        <f t="shared" si="242"/>
        <v>avec vannes</v>
      </c>
      <c r="AZ264" s="58" t="str">
        <f t="shared" si="243"/>
        <v>fermé</v>
      </c>
      <c r="BA264" s="60">
        <f t="shared" si="244"/>
        <v>0</v>
      </c>
      <c r="BB264" s="60">
        <f t="shared" si="244"/>
        <v>0</v>
      </c>
      <c r="BC264" s="60">
        <f t="shared" si="244"/>
        <v>0</v>
      </c>
      <c r="BD264" s="60">
        <f t="shared" si="244"/>
        <v>0</v>
      </c>
      <c r="BE264" s="286" t="str">
        <f t="shared" si="209"/>
        <v/>
      </c>
      <c r="BF264" s="58" t="str">
        <f t="shared" si="224"/>
        <v/>
      </c>
      <c r="BG264" s="59" t="str">
        <f t="shared" si="210"/>
        <v/>
      </c>
      <c r="BH264" s="158">
        <f t="shared" ca="1" si="211"/>
        <v>1</v>
      </c>
      <c r="BI264" s="60">
        <f t="shared" ca="1" si="212"/>
        <v>0.15</v>
      </c>
      <c r="BJ264" s="60">
        <f t="shared" si="213"/>
        <v>0.2</v>
      </c>
      <c r="BK264" s="60" t="str">
        <f t="shared" si="225"/>
        <v/>
      </c>
      <c r="BL264" s="21" t="str">
        <f t="shared" si="226"/>
        <v/>
      </c>
      <c r="BM264" s="264" t="str">
        <f t="shared" si="214"/>
        <v/>
      </c>
      <c r="BN264" s="60" t="str">
        <f t="shared" si="227"/>
        <v/>
      </c>
      <c r="BO264" s="136">
        <f t="shared" si="228"/>
        <v>0</v>
      </c>
      <c r="BP264" s="59">
        <f t="shared" si="229"/>
        <v>0</v>
      </c>
      <c r="BQ264" s="136">
        <f t="shared" ca="1" si="215"/>
        <v>1449</v>
      </c>
      <c r="BR264" s="136">
        <f t="shared" ca="1" si="216"/>
        <v>1000.827242524917</v>
      </c>
      <c r="BS264" s="136">
        <f t="shared" ca="1" si="217"/>
        <v>1468800.8272425248</v>
      </c>
      <c r="BT264" s="136">
        <f t="shared" ca="1" si="218"/>
        <v>313875.74996828416</v>
      </c>
      <c r="BU264" s="136">
        <f t="shared" ca="1" si="219"/>
        <v>1000.827242524917</v>
      </c>
    </row>
    <row r="265" spans="1:73" x14ac:dyDescent="0.2">
      <c r="A265" s="87" t="str">
        <f>'Etape 2'!A262</f>
        <v/>
      </c>
      <c r="B265" s="87">
        <f>'Etape 2'!B262</f>
        <v>250</v>
      </c>
      <c r="C265" s="87">
        <f ca="1">'Etape 2'!C262</f>
        <v>51</v>
      </c>
      <c r="D265" s="87"/>
      <c r="E265" s="61">
        <f ca="1">RANK(BU265,BU$16:BU$315,0)+COUNTIF(BU$16:BU265,BU265)-1</f>
        <v>51</v>
      </c>
      <c r="F265" s="87" t="str">
        <f>'Etape 2'!D262</f>
        <v/>
      </c>
      <c r="G265" s="87" t="str">
        <f>'Etape 2'!E262</f>
        <v/>
      </c>
      <c r="H265" s="87" t="str">
        <f>'Etape 2'!F262</f>
        <v/>
      </c>
      <c r="I265" s="87" t="str">
        <f>'Etape 2'!G262</f>
        <v/>
      </c>
      <c r="J265" s="87" t="str">
        <f>'Etape 2'!H262</f>
        <v/>
      </c>
      <c r="K265" s="87" t="str">
        <f>'Etape 2'!I262</f>
        <v/>
      </c>
      <c r="L265" s="87">
        <f ca="1">'Etape 2'!J262</f>
        <v>999999</v>
      </c>
      <c r="M265" s="87">
        <f>'Etape 2'!K262</f>
        <v>999</v>
      </c>
      <c r="N265" s="87">
        <f ca="1">'Etape 2'!L262</f>
        <v>250</v>
      </c>
      <c r="O265" s="259">
        <f t="shared" si="202"/>
        <v>0.3</v>
      </c>
      <c r="P265" s="259">
        <f t="shared" si="203"/>
        <v>1.1000000000000001</v>
      </c>
      <c r="Q265" s="260">
        <f t="shared" si="204"/>
        <v>0</v>
      </c>
      <c r="R265" s="261">
        <f t="shared" si="230"/>
        <v>0</v>
      </c>
      <c r="S265" s="87">
        <f>IF(ISBLANK('Etape 2'!N262),0,VLOOKUP('Etape 2'!N262,Matrix_Uebersetzung,2,FALSE))</f>
        <v>0</v>
      </c>
      <c r="T265" s="87">
        <f>IF(ISBLANK('Etape 2'!O262),0,VLOOKUP('Etape 2'!O262,Matrix_Uebersetzung,2,FALSE))</f>
        <v>0</v>
      </c>
      <c r="U265" s="87">
        <f>IF(ISBLANK('Etape 2'!P262),0,VLOOKUP('Etape 2'!P262,Matrix_Uebersetzung,2,FALSE))</f>
        <v>0</v>
      </c>
      <c r="V265" s="87" t="str">
        <f>'Etape 2'!Q262</f>
        <v/>
      </c>
      <c r="W265" s="87">
        <f>'Etape 2'!R262</f>
        <v>0</v>
      </c>
      <c r="X265" s="87" t="str">
        <f>'Etape 2'!S262</f>
        <v/>
      </c>
      <c r="Y265" s="89" t="str">
        <f>'Etape 2'!T262</f>
        <v/>
      </c>
      <c r="Z265" s="87">
        <f>'Etape 2'!U262</f>
        <v>0</v>
      </c>
      <c r="AA265" s="87" t="str">
        <f>'Etape 2'!V262</f>
        <v/>
      </c>
      <c r="AB265" s="87">
        <f>IF(ISNUMBER('Etape 2'!W262),'Etape 2'!W262,0)</f>
        <v>0</v>
      </c>
      <c r="AC265" s="87">
        <f>IF(ISNUMBER('Etape 2'!X262),'Etape 2'!X262,0)</f>
        <v>0</v>
      </c>
      <c r="AD265" s="87">
        <f>IF(ISNUMBER('Etape 2'!Y262),'Etape 2'!Y262,0)</f>
        <v>0</v>
      </c>
      <c r="AE265" s="87">
        <f>IF(ISNUMBER('Etape 2'!Z262),'Etape 2'!Z262,0)</f>
        <v>0</v>
      </c>
      <c r="AF265" s="86">
        <f t="shared" si="220"/>
        <v>999</v>
      </c>
      <c r="AG265" s="288">
        <f t="shared" si="221"/>
        <v>0.25</v>
      </c>
      <c r="AH265" s="181" t="e">
        <f t="shared" si="205"/>
        <v>#VALUE!</v>
      </c>
      <c r="AI265" s="181" t="e">
        <f t="shared" si="233"/>
        <v>#VALUE!</v>
      </c>
      <c r="AJ265" s="86">
        <f t="shared" si="206"/>
        <v>200</v>
      </c>
      <c r="AK265" s="91" t="e">
        <f t="shared" si="207"/>
        <v>#N/A</v>
      </c>
      <c r="AL265" s="91" t="e">
        <f t="shared" si="234"/>
        <v>#N/A</v>
      </c>
      <c r="AM265" s="91">
        <f t="shared" si="109"/>
        <v>6</v>
      </c>
      <c r="AN265" s="91" t="e">
        <f t="shared" si="235"/>
        <v>#N/A</v>
      </c>
      <c r="AO265" s="91" t="e">
        <f t="shared" si="236"/>
        <v>#N/A</v>
      </c>
      <c r="AP265" s="21" t="e">
        <f t="shared" si="237"/>
        <v>#N/A</v>
      </c>
      <c r="AQ265" s="21" t="e">
        <f t="shared" si="238"/>
        <v>#N/A</v>
      </c>
      <c r="AR265" s="92" t="str">
        <f t="shared" si="222"/>
        <v/>
      </c>
      <c r="AS265" s="21" t="str">
        <f t="shared" si="223"/>
        <v/>
      </c>
      <c r="AT265" s="59" t="str">
        <f t="shared" si="208"/>
        <v/>
      </c>
      <c r="AU265" s="105">
        <f t="shared" si="113"/>
        <v>1</v>
      </c>
      <c r="AV265" s="105">
        <f t="shared" si="239"/>
        <v>1</v>
      </c>
      <c r="AW265" s="58">
        <f t="shared" si="240"/>
        <v>2</v>
      </c>
      <c r="AX265" s="58">
        <f t="shared" si="241"/>
        <v>3</v>
      </c>
      <c r="AY265" s="58" t="str">
        <f t="shared" si="242"/>
        <v>avec vannes</v>
      </c>
      <c r="AZ265" s="58" t="str">
        <f t="shared" si="243"/>
        <v>fermé</v>
      </c>
      <c r="BA265" s="60">
        <f t="shared" si="244"/>
        <v>0</v>
      </c>
      <c r="BB265" s="60">
        <f t="shared" si="244"/>
        <v>0</v>
      </c>
      <c r="BC265" s="60">
        <f t="shared" si="244"/>
        <v>0</v>
      </c>
      <c r="BD265" s="60">
        <f t="shared" si="244"/>
        <v>0</v>
      </c>
      <c r="BE265" s="286" t="str">
        <f t="shared" si="209"/>
        <v/>
      </c>
      <c r="BF265" s="58" t="str">
        <f t="shared" si="224"/>
        <v/>
      </c>
      <c r="BG265" s="59" t="str">
        <f t="shared" si="210"/>
        <v/>
      </c>
      <c r="BH265" s="158">
        <f t="shared" ca="1" si="211"/>
        <v>1</v>
      </c>
      <c r="BI265" s="60">
        <f t="shared" ca="1" si="212"/>
        <v>0.15</v>
      </c>
      <c r="BJ265" s="60">
        <f t="shared" si="213"/>
        <v>0.2</v>
      </c>
      <c r="BK265" s="60" t="str">
        <f t="shared" si="225"/>
        <v/>
      </c>
      <c r="BL265" s="21" t="str">
        <f t="shared" si="226"/>
        <v/>
      </c>
      <c r="BM265" s="264" t="str">
        <f t="shared" si="214"/>
        <v/>
      </c>
      <c r="BN265" s="60" t="str">
        <f t="shared" si="227"/>
        <v/>
      </c>
      <c r="BO265" s="136">
        <f t="shared" si="228"/>
        <v>0</v>
      </c>
      <c r="BP265" s="59">
        <f t="shared" si="229"/>
        <v>0</v>
      </c>
      <c r="BQ265" s="136">
        <f t="shared" ca="1" si="215"/>
        <v>1450</v>
      </c>
      <c r="BR265" s="136">
        <f t="shared" ca="1" si="216"/>
        <v>1000.8305647840532</v>
      </c>
      <c r="BS265" s="136">
        <f t="shared" ca="1" si="217"/>
        <v>1468800.8305647841</v>
      </c>
      <c r="BT265" s="136">
        <f t="shared" ca="1" si="218"/>
        <v>313875.75329054327</v>
      </c>
      <c r="BU265" s="136">
        <f t="shared" ca="1" si="219"/>
        <v>1000.8305647840532</v>
      </c>
    </row>
    <row r="266" spans="1:73" x14ac:dyDescent="0.2">
      <c r="A266" s="87" t="str">
        <f>'Etape 2'!A263</f>
        <v/>
      </c>
      <c r="B266" s="87">
        <f>'Etape 2'!B263</f>
        <v>251</v>
      </c>
      <c r="C266" s="87">
        <f ca="1">'Etape 2'!C263</f>
        <v>50</v>
      </c>
      <c r="D266" s="87"/>
      <c r="E266" s="61">
        <f ca="1">RANK(BU266,BU$16:BU$315,0)+COUNTIF(BU$16:BU266,BU266)-1</f>
        <v>50</v>
      </c>
      <c r="F266" s="87" t="str">
        <f>'Etape 2'!D263</f>
        <v/>
      </c>
      <c r="G266" s="87" t="str">
        <f>'Etape 2'!E263</f>
        <v/>
      </c>
      <c r="H266" s="87" t="str">
        <f>'Etape 2'!F263</f>
        <v/>
      </c>
      <c r="I266" s="87" t="str">
        <f>'Etape 2'!G263</f>
        <v/>
      </c>
      <c r="J266" s="87" t="str">
        <f>'Etape 2'!H263</f>
        <v/>
      </c>
      <c r="K266" s="87" t="str">
        <f>'Etape 2'!I263</f>
        <v/>
      </c>
      <c r="L266" s="87">
        <f ca="1">'Etape 2'!J263</f>
        <v>999999</v>
      </c>
      <c r="M266" s="87">
        <f>'Etape 2'!K263</f>
        <v>999</v>
      </c>
      <c r="N266" s="87">
        <f ca="1">'Etape 2'!L263</f>
        <v>251</v>
      </c>
      <c r="O266" s="259">
        <f t="shared" si="202"/>
        <v>0.3</v>
      </c>
      <c r="P266" s="259">
        <f t="shared" si="203"/>
        <v>1.1000000000000001</v>
      </c>
      <c r="Q266" s="260">
        <f t="shared" si="204"/>
        <v>0</v>
      </c>
      <c r="R266" s="261">
        <f t="shared" si="230"/>
        <v>0</v>
      </c>
      <c r="S266" s="87">
        <f>IF(ISBLANK('Etape 2'!N263),0,VLOOKUP('Etape 2'!N263,Matrix_Uebersetzung,2,FALSE))</f>
        <v>0</v>
      </c>
      <c r="T266" s="87">
        <f>IF(ISBLANK('Etape 2'!O263),0,VLOOKUP('Etape 2'!O263,Matrix_Uebersetzung,2,FALSE))</f>
        <v>0</v>
      </c>
      <c r="U266" s="87">
        <f>IF(ISBLANK('Etape 2'!P263),0,VLOOKUP('Etape 2'!P263,Matrix_Uebersetzung,2,FALSE))</f>
        <v>0</v>
      </c>
      <c r="V266" s="87" t="str">
        <f>'Etape 2'!Q263</f>
        <v/>
      </c>
      <c r="W266" s="87">
        <f>'Etape 2'!R263</f>
        <v>0</v>
      </c>
      <c r="X266" s="87" t="str">
        <f>'Etape 2'!S263</f>
        <v/>
      </c>
      <c r="Y266" s="89" t="str">
        <f>'Etape 2'!T263</f>
        <v/>
      </c>
      <c r="Z266" s="87">
        <f>'Etape 2'!U263</f>
        <v>0</v>
      </c>
      <c r="AA266" s="87" t="str">
        <f>'Etape 2'!V263</f>
        <v/>
      </c>
      <c r="AB266" s="87">
        <f>IF(ISNUMBER('Etape 2'!W263),'Etape 2'!W263,0)</f>
        <v>0</v>
      </c>
      <c r="AC266" s="87">
        <f>IF(ISNUMBER('Etape 2'!X263),'Etape 2'!X263,0)</f>
        <v>0</v>
      </c>
      <c r="AD266" s="87">
        <f>IF(ISNUMBER('Etape 2'!Y263),'Etape 2'!Y263,0)</f>
        <v>0</v>
      </c>
      <c r="AE266" s="87">
        <f>IF(ISNUMBER('Etape 2'!Z263),'Etape 2'!Z263,0)</f>
        <v>0</v>
      </c>
      <c r="AF266" s="86">
        <f t="shared" si="220"/>
        <v>999</v>
      </c>
      <c r="AG266" s="288">
        <f t="shared" si="221"/>
        <v>0.25</v>
      </c>
      <c r="AH266" s="181" t="e">
        <f t="shared" si="205"/>
        <v>#VALUE!</v>
      </c>
      <c r="AI266" s="181" t="e">
        <f t="shared" si="233"/>
        <v>#VALUE!</v>
      </c>
      <c r="AJ266" s="86">
        <f t="shared" si="206"/>
        <v>200</v>
      </c>
      <c r="AK266" s="91" t="e">
        <f t="shared" si="207"/>
        <v>#N/A</v>
      </c>
      <c r="AL266" s="91" t="e">
        <f t="shared" si="234"/>
        <v>#N/A</v>
      </c>
      <c r="AM266" s="91">
        <f t="shared" si="109"/>
        <v>6</v>
      </c>
      <c r="AN266" s="91" t="e">
        <f t="shared" si="235"/>
        <v>#N/A</v>
      </c>
      <c r="AO266" s="91" t="e">
        <f t="shared" si="236"/>
        <v>#N/A</v>
      </c>
      <c r="AP266" s="21" t="e">
        <f t="shared" si="237"/>
        <v>#N/A</v>
      </c>
      <c r="AQ266" s="21" t="e">
        <f t="shared" si="238"/>
        <v>#N/A</v>
      </c>
      <c r="AR266" s="92" t="str">
        <f t="shared" si="222"/>
        <v/>
      </c>
      <c r="AS266" s="21" t="str">
        <f t="shared" si="223"/>
        <v/>
      </c>
      <c r="AT266" s="59" t="str">
        <f t="shared" si="208"/>
        <v/>
      </c>
      <c r="AU266" s="105">
        <f t="shared" si="113"/>
        <v>1</v>
      </c>
      <c r="AV266" s="105">
        <f t="shared" si="239"/>
        <v>1</v>
      </c>
      <c r="AW266" s="58">
        <f t="shared" si="240"/>
        <v>2</v>
      </c>
      <c r="AX266" s="58">
        <f t="shared" si="241"/>
        <v>3</v>
      </c>
      <c r="AY266" s="58" t="str">
        <f t="shared" si="242"/>
        <v>avec vannes</v>
      </c>
      <c r="AZ266" s="58" t="str">
        <f t="shared" si="243"/>
        <v>fermé</v>
      </c>
      <c r="BA266" s="60">
        <f t="shared" si="244"/>
        <v>0</v>
      </c>
      <c r="BB266" s="60">
        <f t="shared" si="244"/>
        <v>0</v>
      </c>
      <c r="BC266" s="60">
        <f t="shared" si="244"/>
        <v>0</v>
      </c>
      <c r="BD266" s="60">
        <f t="shared" si="244"/>
        <v>0</v>
      </c>
      <c r="BE266" s="286" t="str">
        <f t="shared" si="209"/>
        <v/>
      </c>
      <c r="BF266" s="58" t="str">
        <f t="shared" si="224"/>
        <v/>
      </c>
      <c r="BG266" s="59" t="str">
        <f t="shared" si="210"/>
        <v/>
      </c>
      <c r="BH266" s="158">
        <f t="shared" ca="1" si="211"/>
        <v>1</v>
      </c>
      <c r="BI266" s="60">
        <f t="shared" ca="1" si="212"/>
        <v>0.15</v>
      </c>
      <c r="BJ266" s="60">
        <f t="shared" si="213"/>
        <v>0.2</v>
      </c>
      <c r="BK266" s="60" t="str">
        <f t="shared" si="225"/>
        <v/>
      </c>
      <c r="BL266" s="21" t="str">
        <f t="shared" si="226"/>
        <v/>
      </c>
      <c r="BM266" s="264" t="str">
        <f t="shared" si="214"/>
        <v/>
      </c>
      <c r="BN266" s="60" t="str">
        <f t="shared" si="227"/>
        <v/>
      </c>
      <c r="BO266" s="136">
        <f t="shared" si="228"/>
        <v>0</v>
      </c>
      <c r="BP266" s="59">
        <f t="shared" si="229"/>
        <v>0</v>
      </c>
      <c r="BQ266" s="136">
        <f t="shared" ca="1" si="215"/>
        <v>1451</v>
      </c>
      <c r="BR266" s="136">
        <f t="shared" ca="1" si="216"/>
        <v>1000.8338870431894</v>
      </c>
      <c r="BS266" s="136">
        <f t="shared" ca="1" si="217"/>
        <v>1468800.8338870432</v>
      </c>
      <c r="BT266" s="136">
        <f t="shared" ca="1" si="218"/>
        <v>313875.75661280239</v>
      </c>
      <c r="BU266" s="136">
        <f t="shared" ca="1" si="219"/>
        <v>1000.8338870431894</v>
      </c>
    </row>
    <row r="267" spans="1:73" x14ac:dyDescent="0.2">
      <c r="A267" s="87" t="str">
        <f>'Etape 2'!A264</f>
        <v/>
      </c>
      <c r="B267" s="87">
        <f>'Etape 2'!B264</f>
        <v>252</v>
      </c>
      <c r="C267" s="87">
        <f ca="1">'Etape 2'!C264</f>
        <v>49</v>
      </c>
      <c r="D267" s="87"/>
      <c r="E267" s="61">
        <f ca="1">RANK(BU267,BU$16:BU$315,0)+COUNTIF(BU$16:BU267,BU267)-1</f>
        <v>49</v>
      </c>
      <c r="F267" s="87" t="str">
        <f>'Etape 2'!D264</f>
        <v/>
      </c>
      <c r="G267" s="87" t="str">
        <f>'Etape 2'!E264</f>
        <v/>
      </c>
      <c r="H267" s="87" t="str">
        <f>'Etape 2'!F264</f>
        <v/>
      </c>
      <c r="I267" s="87" t="str">
        <f>'Etape 2'!G264</f>
        <v/>
      </c>
      <c r="J267" s="87" t="str">
        <f>'Etape 2'!H264</f>
        <v/>
      </c>
      <c r="K267" s="87" t="str">
        <f>'Etape 2'!I264</f>
        <v/>
      </c>
      <c r="L267" s="87">
        <f ca="1">'Etape 2'!J264</f>
        <v>999999</v>
      </c>
      <c r="M267" s="87">
        <f>'Etape 2'!K264</f>
        <v>999</v>
      </c>
      <c r="N267" s="87">
        <f ca="1">'Etape 2'!L264</f>
        <v>252</v>
      </c>
      <c r="O267" s="259">
        <f t="shared" si="202"/>
        <v>0.3</v>
      </c>
      <c r="P267" s="259">
        <f t="shared" si="203"/>
        <v>1.1000000000000001</v>
      </c>
      <c r="Q267" s="260">
        <f t="shared" si="204"/>
        <v>0</v>
      </c>
      <c r="R267" s="261">
        <f t="shared" si="230"/>
        <v>0</v>
      </c>
      <c r="S267" s="87">
        <f>IF(ISBLANK('Etape 2'!N264),0,VLOOKUP('Etape 2'!N264,Matrix_Uebersetzung,2,FALSE))</f>
        <v>0</v>
      </c>
      <c r="T267" s="87">
        <f>IF(ISBLANK('Etape 2'!O264),0,VLOOKUP('Etape 2'!O264,Matrix_Uebersetzung,2,FALSE))</f>
        <v>0</v>
      </c>
      <c r="U267" s="87">
        <f>IF(ISBLANK('Etape 2'!P264),0,VLOOKUP('Etape 2'!P264,Matrix_Uebersetzung,2,FALSE))</f>
        <v>0</v>
      </c>
      <c r="V267" s="87" t="str">
        <f>'Etape 2'!Q264</f>
        <v/>
      </c>
      <c r="W267" s="87">
        <f>'Etape 2'!R264</f>
        <v>0</v>
      </c>
      <c r="X267" s="87" t="str">
        <f>'Etape 2'!S264</f>
        <v/>
      </c>
      <c r="Y267" s="89" t="str">
        <f>'Etape 2'!T264</f>
        <v/>
      </c>
      <c r="Z267" s="87">
        <f>'Etape 2'!U264</f>
        <v>0</v>
      </c>
      <c r="AA267" s="87" t="str">
        <f>'Etape 2'!V264</f>
        <v/>
      </c>
      <c r="AB267" s="87">
        <f>IF(ISNUMBER('Etape 2'!W264),'Etape 2'!W264,0)</f>
        <v>0</v>
      </c>
      <c r="AC267" s="87">
        <f>IF(ISNUMBER('Etape 2'!X264),'Etape 2'!X264,0)</f>
        <v>0</v>
      </c>
      <c r="AD267" s="87">
        <f>IF(ISNUMBER('Etape 2'!Y264),'Etape 2'!Y264,0)</f>
        <v>0</v>
      </c>
      <c r="AE267" s="87">
        <f>IF(ISNUMBER('Etape 2'!Z264),'Etape 2'!Z264,0)</f>
        <v>0</v>
      </c>
      <c r="AF267" s="86">
        <f t="shared" si="220"/>
        <v>999</v>
      </c>
      <c r="AG267" s="288">
        <f t="shared" si="221"/>
        <v>0.25</v>
      </c>
      <c r="AH267" s="181" t="e">
        <f t="shared" si="205"/>
        <v>#VALUE!</v>
      </c>
      <c r="AI267" s="181" t="e">
        <f t="shared" si="233"/>
        <v>#VALUE!</v>
      </c>
      <c r="AJ267" s="86">
        <f t="shared" si="206"/>
        <v>200</v>
      </c>
      <c r="AK267" s="91" t="e">
        <f t="shared" si="207"/>
        <v>#N/A</v>
      </c>
      <c r="AL267" s="91" t="e">
        <f t="shared" si="234"/>
        <v>#N/A</v>
      </c>
      <c r="AM267" s="91">
        <f t="shared" si="109"/>
        <v>6</v>
      </c>
      <c r="AN267" s="91" t="e">
        <f t="shared" si="235"/>
        <v>#N/A</v>
      </c>
      <c r="AO267" s="91" t="e">
        <f t="shared" si="236"/>
        <v>#N/A</v>
      </c>
      <c r="AP267" s="21" t="e">
        <f t="shared" si="237"/>
        <v>#N/A</v>
      </c>
      <c r="AQ267" s="21" t="e">
        <f t="shared" si="238"/>
        <v>#N/A</v>
      </c>
      <c r="AR267" s="92" t="str">
        <f t="shared" si="222"/>
        <v/>
      </c>
      <c r="AS267" s="21" t="str">
        <f t="shared" si="223"/>
        <v/>
      </c>
      <c r="AT267" s="59" t="str">
        <f t="shared" si="208"/>
        <v/>
      </c>
      <c r="AU267" s="105">
        <f t="shared" si="113"/>
        <v>1</v>
      </c>
      <c r="AV267" s="105">
        <f t="shared" si="239"/>
        <v>1</v>
      </c>
      <c r="AW267" s="58">
        <f t="shared" si="240"/>
        <v>2</v>
      </c>
      <c r="AX267" s="58">
        <f t="shared" si="241"/>
        <v>3</v>
      </c>
      <c r="AY267" s="58" t="str">
        <f t="shared" si="242"/>
        <v>avec vannes</v>
      </c>
      <c r="AZ267" s="58" t="str">
        <f t="shared" si="243"/>
        <v>fermé</v>
      </c>
      <c r="BA267" s="60">
        <f t="shared" si="244"/>
        <v>0</v>
      </c>
      <c r="BB267" s="60">
        <f t="shared" si="244"/>
        <v>0</v>
      </c>
      <c r="BC267" s="60">
        <f t="shared" si="244"/>
        <v>0</v>
      </c>
      <c r="BD267" s="60">
        <f t="shared" si="244"/>
        <v>0</v>
      </c>
      <c r="BE267" s="286" t="str">
        <f t="shared" si="209"/>
        <v/>
      </c>
      <c r="BF267" s="58" t="str">
        <f t="shared" si="224"/>
        <v/>
      </c>
      <c r="BG267" s="59" t="str">
        <f t="shared" si="210"/>
        <v/>
      </c>
      <c r="BH267" s="158">
        <f t="shared" ca="1" si="211"/>
        <v>1</v>
      </c>
      <c r="BI267" s="60">
        <f t="shared" ca="1" si="212"/>
        <v>0.15</v>
      </c>
      <c r="BJ267" s="60">
        <f t="shared" si="213"/>
        <v>0.2</v>
      </c>
      <c r="BK267" s="60" t="str">
        <f t="shared" si="225"/>
        <v/>
      </c>
      <c r="BL267" s="21" t="str">
        <f t="shared" si="226"/>
        <v/>
      </c>
      <c r="BM267" s="264" t="str">
        <f t="shared" si="214"/>
        <v/>
      </c>
      <c r="BN267" s="60" t="str">
        <f t="shared" si="227"/>
        <v/>
      </c>
      <c r="BO267" s="136">
        <f t="shared" si="228"/>
        <v>0</v>
      </c>
      <c r="BP267" s="59">
        <f t="shared" si="229"/>
        <v>0</v>
      </c>
      <c r="BQ267" s="136">
        <f t="shared" ca="1" si="215"/>
        <v>1452</v>
      </c>
      <c r="BR267" s="136">
        <f t="shared" ca="1" si="216"/>
        <v>1000.8372093023256</v>
      </c>
      <c r="BS267" s="136">
        <f t="shared" ca="1" si="217"/>
        <v>1468800.8372093022</v>
      </c>
      <c r="BT267" s="136">
        <f t="shared" ca="1" si="218"/>
        <v>313875.75993506156</v>
      </c>
      <c r="BU267" s="136">
        <f t="shared" ca="1" si="219"/>
        <v>1000.8372093023256</v>
      </c>
    </row>
    <row r="268" spans="1:73" x14ac:dyDescent="0.2">
      <c r="A268" s="87" t="str">
        <f>'Etape 2'!A265</f>
        <v/>
      </c>
      <c r="B268" s="87">
        <f>'Etape 2'!B265</f>
        <v>253</v>
      </c>
      <c r="C268" s="87">
        <f ca="1">'Etape 2'!C265</f>
        <v>48</v>
      </c>
      <c r="D268" s="87"/>
      <c r="E268" s="61">
        <f ca="1">RANK(BU268,BU$16:BU$315,0)+COUNTIF(BU$16:BU268,BU268)-1</f>
        <v>48</v>
      </c>
      <c r="F268" s="87" t="str">
        <f>'Etape 2'!D265</f>
        <v/>
      </c>
      <c r="G268" s="87" t="str">
        <f>'Etape 2'!E265</f>
        <v/>
      </c>
      <c r="H268" s="87" t="str">
        <f>'Etape 2'!F265</f>
        <v/>
      </c>
      <c r="I268" s="87" t="str">
        <f>'Etape 2'!G265</f>
        <v/>
      </c>
      <c r="J268" s="87" t="str">
        <f>'Etape 2'!H265</f>
        <v/>
      </c>
      <c r="K268" s="87" t="str">
        <f>'Etape 2'!I265</f>
        <v/>
      </c>
      <c r="L268" s="87">
        <f ca="1">'Etape 2'!J265</f>
        <v>999999</v>
      </c>
      <c r="M268" s="87">
        <f>'Etape 2'!K265</f>
        <v>999</v>
      </c>
      <c r="N268" s="87">
        <f ca="1">'Etape 2'!L265</f>
        <v>253</v>
      </c>
      <c r="O268" s="259">
        <f t="shared" si="202"/>
        <v>0.3</v>
      </c>
      <c r="P268" s="259">
        <f t="shared" si="203"/>
        <v>1.1000000000000001</v>
      </c>
      <c r="Q268" s="260">
        <f t="shared" si="204"/>
        <v>0</v>
      </c>
      <c r="R268" s="261">
        <f t="shared" si="230"/>
        <v>0</v>
      </c>
      <c r="S268" s="87">
        <f>IF(ISBLANK('Etape 2'!N265),0,VLOOKUP('Etape 2'!N265,Matrix_Uebersetzung,2,FALSE))</f>
        <v>0</v>
      </c>
      <c r="T268" s="87">
        <f>IF(ISBLANK('Etape 2'!O265),0,VLOOKUP('Etape 2'!O265,Matrix_Uebersetzung,2,FALSE))</f>
        <v>0</v>
      </c>
      <c r="U268" s="87">
        <f>IF(ISBLANK('Etape 2'!P265),0,VLOOKUP('Etape 2'!P265,Matrix_Uebersetzung,2,FALSE))</f>
        <v>0</v>
      </c>
      <c r="V268" s="87" t="str">
        <f>'Etape 2'!Q265</f>
        <v/>
      </c>
      <c r="W268" s="87">
        <f>'Etape 2'!R265</f>
        <v>0</v>
      </c>
      <c r="X268" s="87" t="str">
        <f>'Etape 2'!S265</f>
        <v/>
      </c>
      <c r="Y268" s="89" t="str">
        <f>'Etape 2'!T265</f>
        <v/>
      </c>
      <c r="Z268" s="87">
        <f>'Etape 2'!U265</f>
        <v>0</v>
      </c>
      <c r="AA268" s="87" t="str">
        <f>'Etape 2'!V265</f>
        <v/>
      </c>
      <c r="AB268" s="87">
        <f>IF(ISNUMBER('Etape 2'!W265),'Etape 2'!W265,0)</f>
        <v>0</v>
      </c>
      <c r="AC268" s="87">
        <f>IF(ISNUMBER('Etape 2'!X265),'Etape 2'!X265,0)</f>
        <v>0</v>
      </c>
      <c r="AD268" s="87">
        <f>IF(ISNUMBER('Etape 2'!Y265),'Etape 2'!Y265,0)</f>
        <v>0</v>
      </c>
      <c r="AE268" s="87">
        <f>IF(ISNUMBER('Etape 2'!Z265),'Etape 2'!Z265,0)</f>
        <v>0</v>
      </c>
      <c r="AF268" s="86">
        <f t="shared" si="220"/>
        <v>999</v>
      </c>
      <c r="AG268" s="288">
        <f t="shared" si="221"/>
        <v>0.25</v>
      </c>
      <c r="AH268" s="181" t="e">
        <f t="shared" si="205"/>
        <v>#VALUE!</v>
      </c>
      <c r="AI268" s="181" t="e">
        <f t="shared" si="233"/>
        <v>#VALUE!</v>
      </c>
      <c r="AJ268" s="86">
        <f t="shared" si="206"/>
        <v>200</v>
      </c>
      <c r="AK268" s="91" t="e">
        <f t="shared" si="207"/>
        <v>#N/A</v>
      </c>
      <c r="AL268" s="91" t="e">
        <f t="shared" si="234"/>
        <v>#N/A</v>
      </c>
      <c r="AM268" s="91">
        <f t="shared" si="109"/>
        <v>6</v>
      </c>
      <c r="AN268" s="91" t="e">
        <f t="shared" si="235"/>
        <v>#N/A</v>
      </c>
      <c r="AO268" s="91" t="e">
        <f t="shared" si="236"/>
        <v>#N/A</v>
      </c>
      <c r="AP268" s="21" t="e">
        <f t="shared" si="237"/>
        <v>#N/A</v>
      </c>
      <c r="AQ268" s="21" t="e">
        <f t="shared" si="238"/>
        <v>#N/A</v>
      </c>
      <c r="AR268" s="92" t="str">
        <f t="shared" si="222"/>
        <v/>
      </c>
      <c r="AS268" s="21" t="str">
        <f t="shared" si="223"/>
        <v/>
      </c>
      <c r="AT268" s="59" t="str">
        <f t="shared" si="208"/>
        <v/>
      </c>
      <c r="AU268" s="105">
        <f t="shared" si="113"/>
        <v>1</v>
      </c>
      <c r="AV268" s="105">
        <f t="shared" si="239"/>
        <v>1</v>
      </c>
      <c r="AW268" s="58">
        <f t="shared" si="240"/>
        <v>2</v>
      </c>
      <c r="AX268" s="58">
        <f t="shared" si="241"/>
        <v>3</v>
      </c>
      <c r="AY268" s="58" t="str">
        <f t="shared" si="242"/>
        <v>avec vannes</v>
      </c>
      <c r="AZ268" s="58" t="str">
        <f t="shared" si="243"/>
        <v>fermé</v>
      </c>
      <c r="BA268" s="60">
        <f t="shared" si="244"/>
        <v>0</v>
      </c>
      <c r="BB268" s="60">
        <f t="shared" si="244"/>
        <v>0</v>
      </c>
      <c r="BC268" s="60">
        <f t="shared" si="244"/>
        <v>0</v>
      </c>
      <c r="BD268" s="60">
        <f t="shared" si="244"/>
        <v>0</v>
      </c>
      <c r="BE268" s="286" t="str">
        <f t="shared" si="209"/>
        <v/>
      </c>
      <c r="BF268" s="58" t="str">
        <f t="shared" si="224"/>
        <v/>
      </c>
      <c r="BG268" s="59" t="str">
        <f t="shared" si="210"/>
        <v/>
      </c>
      <c r="BH268" s="158">
        <f t="shared" ca="1" si="211"/>
        <v>1</v>
      </c>
      <c r="BI268" s="60">
        <f t="shared" ca="1" si="212"/>
        <v>0.15</v>
      </c>
      <c r="BJ268" s="60">
        <f t="shared" si="213"/>
        <v>0.2</v>
      </c>
      <c r="BK268" s="60" t="str">
        <f t="shared" si="225"/>
        <v/>
      </c>
      <c r="BL268" s="21" t="str">
        <f t="shared" si="226"/>
        <v/>
      </c>
      <c r="BM268" s="264" t="str">
        <f t="shared" si="214"/>
        <v/>
      </c>
      <c r="BN268" s="60" t="str">
        <f t="shared" si="227"/>
        <v/>
      </c>
      <c r="BO268" s="136">
        <f t="shared" si="228"/>
        <v>0</v>
      </c>
      <c r="BP268" s="59">
        <f t="shared" si="229"/>
        <v>0</v>
      </c>
      <c r="BQ268" s="136">
        <f t="shared" ca="1" si="215"/>
        <v>1453</v>
      </c>
      <c r="BR268" s="136">
        <f t="shared" ca="1" si="216"/>
        <v>1000.8405315614618</v>
      </c>
      <c r="BS268" s="136">
        <f t="shared" ca="1" si="217"/>
        <v>1468800.8405315615</v>
      </c>
      <c r="BT268" s="136">
        <f t="shared" ca="1" si="218"/>
        <v>313875.76325732068</v>
      </c>
      <c r="BU268" s="136">
        <f t="shared" ca="1" si="219"/>
        <v>1000.8405315614618</v>
      </c>
    </row>
    <row r="269" spans="1:73" x14ac:dyDescent="0.2">
      <c r="A269" s="87" t="str">
        <f>'Etape 2'!A266</f>
        <v/>
      </c>
      <c r="B269" s="87">
        <f>'Etape 2'!B266</f>
        <v>254</v>
      </c>
      <c r="C269" s="87">
        <f ca="1">'Etape 2'!C266</f>
        <v>47</v>
      </c>
      <c r="D269" s="87"/>
      <c r="E269" s="61">
        <f ca="1">RANK(BU269,BU$16:BU$315,0)+COUNTIF(BU$16:BU269,BU269)-1</f>
        <v>47</v>
      </c>
      <c r="F269" s="87" t="str">
        <f>'Etape 2'!D266</f>
        <v/>
      </c>
      <c r="G269" s="87" t="str">
        <f>'Etape 2'!E266</f>
        <v/>
      </c>
      <c r="H269" s="87" t="str">
        <f>'Etape 2'!F266</f>
        <v/>
      </c>
      <c r="I269" s="87" t="str">
        <f>'Etape 2'!G266</f>
        <v/>
      </c>
      <c r="J269" s="87" t="str">
        <f>'Etape 2'!H266</f>
        <v/>
      </c>
      <c r="K269" s="87" t="str">
        <f>'Etape 2'!I266</f>
        <v/>
      </c>
      <c r="L269" s="87">
        <f ca="1">'Etape 2'!J266</f>
        <v>999999</v>
      </c>
      <c r="M269" s="87">
        <f>'Etape 2'!K266</f>
        <v>999</v>
      </c>
      <c r="N269" s="87">
        <f ca="1">'Etape 2'!L266</f>
        <v>254</v>
      </c>
      <c r="O269" s="259">
        <f t="shared" si="202"/>
        <v>0.3</v>
      </c>
      <c r="P269" s="259">
        <f t="shared" si="203"/>
        <v>1.1000000000000001</v>
      </c>
      <c r="Q269" s="260">
        <f t="shared" si="204"/>
        <v>0</v>
      </c>
      <c r="R269" s="261">
        <f t="shared" si="230"/>
        <v>0</v>
      </c>
      <c r="S269" s="87">
        <f>IF(ISBLANK('Etape 2'!N266),0,VLOOKUP('Etape 2'!N266,Matrix_Uebersetzung,2,FALSE))</f>
        <v>0</v>
      </c>
      <c r="T269" s="87">
        <f>IF(ISBLANK('Etape 2'!O266),0,VLOOKUP('Etape 2'!O266,Matrix_Uebersetzung,2,FALSE))</f>
        <v>0</v>
      </c>
      <c r="U269" s="87">
        <f>IF(ISBLANK('Etape 2'!P266),0,VLOOKUP('Etape 2'!P266,Matrix_Uebersetzung,2,FALSE))</f>
        <v>0</v>
      </c>
      <c r="V269" s="87" t="str">
        <f>'Etape 2'!Q266</f>
        <v/>
      </c>
      <c r="W269" s="87">
        <f>'Etape 2'!R266</f>
        <v>0</v>
      </c>
      <c r="X269" s="87" t="str">
        <f>'Etape 2'!S266</f>
        <v/>
      </c>
      <c r="Y269" s="89" t="str">
        <f>'Etape 2'!T266</f>
        <v/>
      </c>
      <c r="Z269" s="87">
        <f>'Etape 2'!U266</f>
        <v>0</v>
      </c>
      <c r="AA269" s="87" t="str">
        <f>'Etape 2'!V266</f>
        <v/>
      </c>
      <c r="AB269" s="87">
        <f>IF(ISNUMBER('Etape 2'!W266),'Etape 2'!W266,0)</f>
        <v>0</v>
      </c>
      <c r="AC269" s="87">
        <f>IF(ISNUMBER('Etape 2'!X266),'Etape 2'!X266,0)</f>
        <v>0</v>
      </c>
      <c r="AD269" s="87">
        <f>IF(ISNUMBER('Etape 2'!Y266),'Etape 2'!Y266,0)</f>
        <v>0</v>
      </c>
      <c r="AE269" s="87">
        <f>IF(ISNUMBER('Etape 2'!Z266),'Etape 2'!Z266,0)</f>
        <v>0</v>
      </c>
      <c r="AF269" s="86">
        <f t="shared" si="220"/>
        <v>999</v>
      </c>
      <c r="AG269" s="288">
        <f t="shared" si="221"/>
        <v>0.25</v>
      </c>
      <c r="AH269" s="181" t="e">
        <f t="shared" si="205"/>
        <v>#VALUE!</v>
      </c>
      <c r="AI269" s="181" t="e">
        <f t="shared" si="233"/>
        <v>#VALUE!</v>
      </c>
      <c r="AJ269" s="86">
        <f t="shared" si="206"/>
        <v>200</v>
      </c>
      <c r="AK269" s="91" t="e">
        <f t="shared" si="207"/>
        <v>#N/A</v>
      </c>
      <c r="AL269" s="91" t="e">
        <f t="shared" si="234"/>
        <v>#N/A</v>
      </c>
      <c r="AM269" s="91">
        <f t="shared" si="109"/>
        <v>6</v>
      </c>
      <c r="AN269" s="91" t="e">
        <f t="shared" si="235"/>
        <v>#N/A</v>
      </c>
      <c r="AO269" s="91" t="e">
        <f t="shared" si="236"/>
        <v>#N/A</v>
      </c>
      <c r="AP269" s="21" t="e">
        <f t="shared" si="237"/>
        <v>#N/A</v>
      </c>
      <c r="AQ269" s="21" t="e">
        <f t="shared" si="238"/>
        <v>#N/A</v>
      </c>
      <c r="AR269" s="92" t="str">
        <f t="shared" si="222"/>
        <v/>
      </c>
      <c r="AS269" s="21" t="str">
        <f t="shared" si="223"/>
        <v/>
      </c>
      <c r="AT269" s="59" t="str">
        <f t="shared" si="208"/>
        <v/>
      </c>
      <c r="AU269" s="105">
        <f t="shared" si="113"/>
        <v>1</v>
      </c>
      <c r="AV269" s="105">
        <f t="shared" si="239"/>
        <v>1</v>
      </c>
      <c r="AW269" s="58">
        <f t="shared" si="240"/>
        <v>2</v>
      </c>
      <c r="AX269" s="58">
        <f t="shared" si="241"/>
        <v>3</v>
      </c>
      <c r="AY269" s="58" t="str">
        <f t="shared" si="242"/>
        <v>avec vannes</v>
      </c>
      <c r="AZ269" s="58" t="str">
        <f t="shared" si="243"/>
        <v>fermé</v>
      </c>
      <c r="BA269" s="60">
        <f t="shared" si="244"/>
        <v>0</v>
      </c>
      <c r="BB269" s="60">
        <f t="shared" si="244"/>
        <v>0</v>
      </c>
      <c r="BC269" s="60">
        <f t="shared" si="244"/>
        <v>0</v>
      </c>
      <c r="BD269" s="60">
        <f t="shared" si="244"/>
        <v>0</v>
      </c>
      <c r="BE269" s="286" t="str">
        <f t="shared" si="209"/>
        <v/>
      </c>
      <c r="BF269" s="58" t="str">
        <f t="shared" si="224"/>
        <v/>
      </c>
      <c r="BG269" s="59" t="str">
        <f t="shared" si="210"/>
        <v/>
      </c>
      <c r="BH269" s="158">
        <f t="shared" ca="1" si="211"/>
        <v>1</v>
      </c>
      <c r="BI269" s="60">
        <f t="shared" ca="1" si="212"/>
        <v>0.15</v>
      </c>
      <c r="BJ269" s="60">
        <f t="shared" si="213"/>
        <v>0.2</v>
      </c>
      <c r="BK269" s="60" t="str">
        <f t="shared" si="225"/>
        <v/>
      </c>
      <c r="BL269" s="21" t="str">
        <f t="shared" si="226"/>
        <v/>
      </c>
      <c r="BM269" s="264" t="str">
        <f t="shared" si="214"/>
        <v/>
      </c>
      <c r="BN269" s="60" t="str">
        <f t="shared" si="227"/>
        <v/>
      </c>
      <c r="BO269" s="136">
        <f t="shared" si="228"/>
        <v>0</v>
      </c>
      <c r="BP269" s="59">
        <f t="shared" si="229"/>
        <v>0</v>
      </c>
      <c r="BQ269" s="136">
        <f t="shared" ca="1" si="215"/>
        <v>1454</v>
      </c>
      <c r="BR269" s="136">
        <f t="shared" ca="1" si="216"/>
        <v>1000.843853820598</v>
      </c>
      <c r="BS269" s="136">
        <f t="shared" ca="1" si="217"/>
        <v>1468800.8438538206</v>
      </c>
      <c r="BT269" s="136">
        <f t="shared" ca="1" si="218"/>
        <v>313875.76657957979</v>
      </c>
      <c r="BU269" s="136">
        <f t="shared" ca="1" si="219"/>
        <v>1000.843853820598</v>
      </c>
    </row>
    <row r="270" spans="1:73" x14ac:dyDescent="0.2">
      <c r="A270" s="87" t="str">
        <f>'Etape 2'!A267</f>
        <v/>
      </c>
      <c r="B270" s="87">
        <f>'Etape 2'!B267</f>
        <v>255</v>
      </c>
      <c r="C270" s="87">
        <f ca="1">'Etape 2'!C267</f>
        <v>46</v>
      </c>
      <c r="D270" s="87"/>
      <c r="E270" s="61">
        <f ca="1">RANK(BU270,BU$16:BU$315,0)+COUNTIF(BU$16:BU270,BU270)-1</f>
        <v>46</v>
      </c>
      <c r="F270" s="87" t="str">
        <f>'Etape 2'!D267</f>
        <v/>
      </c>
      <c r="G270" s="87" t="str">
        <f>'Etape 2'!E267</f>
        <v/>
      </c>
      <c r="H270" s="87" t="str">
        <f>'Etape 2'!F267</f>
        <v/>
      </c>
      <c r="I270" s="87" t="str">
        <f>'Etape 2'!G267</f>
        <v/>
      </c>
      <c r="J270" s="87" t="str">
        <f>'Etape 2'!H267</f>
        <v/>
      </c>
      <c r="K270" s="87" t="str">
        <f>'Etape 2'!I267</f>
        <v/>
      </c>
      <c r="L270" s="87">
        <f ca="1">'Etape 2'!J267</f>
        <v>999999</v>
      </c>
      <c r="M270" s="87">
        <f>'Etape 2'!K267</f>
        <v>999</v>
      </c>
      <c r="N270" s="87">
        <f ca="1">'Etape 2'!L267</f>
        <v>255</v>
      </c>
      <c r="O270" s="259">
        <f t="shared" si="202"/>
        <v>0.3</v>
      </c>
      <c r="P270" s="259">
        <f t="shared" si="203"/>
        <v>1.1000000000000001</v>
      </c>
      <c r="Q270" s="260">
        <f t="shared" si="204"/>
        <v>0</v>
      </c>
      <c r="R270" s="261">
        <f t="shared" si="230"/>
        <v>0</v>
      </c>
      <c r="S270" s="87">
        <f>IF(ISBLANK('Etape 2'!N267),0,VLOOKUP('Etape 2'!N267,Matrix_Uebersetzung,2,FALSE))</f>
        <v>0</v>
      </c>
      <c r="T270" s="87">
        <f>IF(ISBLANK('Etape 2'!O267),0,VLOOKUP('Etape 2'!O267,Matrix_Uebersetzung,2,FALSE))</f>
        <v>0</v>
      </c>
      <c r="U270" s="87">
        <f>IF(ISBLANK('Etape 2'!P267),0,VLOOKUP('Etape 2'!P267,Matrix_Uebersetzung,2,FALSE))</f>
        <v>0</v>
      </c>
      <c r="V270" s="87" t="str">
        <f>'Etape 2'!Q267</f>
        <v/>
      </c>
      <c r="W270" s="87">
        <f>'Etape 2'!R267</f>
        <v>0</v>
      </c>
      <c r="X270" s="87" t="str">
        <f>'Etape 2'!S267</f>
        <v/>
      </c>
      <c r="Y270" s="89" t="str">
        <f>'Etape 2'!T267</f>
        <v/>
      </c>
      <c r="Z270" s="87">
        <f>'Etape 2'!U267</f>
        <v>0</v>
      </c>
      <c r="AA270" s="87" t="str">
        <f>'Etape 2'!V267</f>
        <v/>
      </c>
      <c r="AB270" s="87">
        <f>IF(ISNUMBER('Etape 2'!W267),'Etape 2'!W267,0)</f>
        <v>0</v>
      </c>
      <c r="AC270" s="87">
        <f>IF(ISNUMBER('Etape 2'!X267),'Etape 2'!X267,0)</f>
        <v>0</v>
      </c>
      <c r="AD270" s="87">
        <f>IF(ISNUMBER('Etape 2'!Y267),'Etape 2'!Y267,0)</f>
        <v>0</v>
      </c>
      <c r="AE270" s="87">
        <f>IF(ISNUMBER('Etape 2'!Z267),'Etape 2'!Z267,0)</f>
        <v>0</v>
      </c>
      <c r="AF270" s="86">
        <f t="shared" si="220"/>
        <v>999</v>
      </c>
      <c r="AG270" s="288">
        <f t="shared" si="221"/>
        <v>0.25</v>
      </c>
      <c r="AH270" s="181" t="e">
        <f t="shared" si="205"/>
        <v>#VALUE!</v>
      </c>
      <c r="AI270" s="181" t="e">
        <f t="shared" si="233"/>
        <v>#VALUE!</v>
      </c>
      <c r="AJ270" s="86">
        <f t="shared" si="206"/>
        <v>200</v>
      </c>
      <c r="AK270" s="91" t="e">
        <f t="shared" si="207"/>
        <v>#N/A</v>
      </c>
      <c r="AL270" s="91" t="e">
        <f t="shared" si="234"/>
        <v>#N/A</v>
      </c>
      <c r="AM270" s="91">
        <f t="shared" si="109"/>
        <v>6</v>
      </c>
      <c r="AN270" s="91" t="e">
        <f t="shared" si="235"/>
        <v>#N/A</v>
      </c>
      <c r="AO270" s="91" t="e">
        <f t="shared" si="236"/>
        <v>#N/A</v>
      </c>
      <c r="AP270" s="21" t="e">
        <f t="shared" si="237"/>
        <v>#N/A</v>
      </c>
      <c r="AQ270" s="21" t="e">
        <f t="shared" si="238"/>
        <v>#N/A</v>
      </c>
      <c r="AR270" s="92" t="str">
        <f t="shared" si="222"/>
        <v/>
      </c>
      <c r="AS270" s="21" t="str">
        <f t="shared" si="223"/>
        <v/>
      </c>
      <c r="AT270" s="59" t="str">
        <f t="shared" si="208"/>
        <v/>
      </c>
      <c r="AU270" s="105">
        <f t="shared" si="113"/>
        <v>1</v>
      </c>
      <c r="AV270" s="105">
        <f t="shared" si="239"/>
        <v>1</v>
      </c>
      <c r="AW270" s="58">
        <f t="shared" si="240"/>
        <v>2</v>
      </c>
      <c r="AX270" s="58">
        <f t="shared" si="241"/>
        <v>3</v>
      </c>
      <c r="AY270" s="58" t="str">
        <f t="shared" si="242"/>
        <v>avec vannes</v>
      </c>
      <c r="AZ270" s="58" t="str">
        <f t="shared" si="243"/>
        <v>fermé</v>
      </c>
      <c r="BA270" s="60">
        <f t="shared" si="244"/>
        <v>0</v>
      </c>
      <c r="BB270" s="60">
        <f t="shared" si="244"/>
        <v>0</v>
      </c>
      <c r="BC270" s="60">
        <f t="shared" si="244"/>
        <v>0</v>
      </c>
      <c r="BD270" s="60">
        <f t="shared" si="244"/>
        <v>0</v>
      </c>
      <c r="BE270" s="286" t="str">
        <f t="shared" si="209"/>
        <v/>
      </c>
      <c r="BF270" s="58" t="str">
        <f t="shared" si="224"/>
        <v/>
      </c>
      <c r="BG270" s="59" t="str">
        <f t="shared" si="210"/>
        <v/>
      </c>
      <c r="BH270" s="158">
        <f t="shared" ca="1" si="211"/>
        <v>1</v>
      </c>
      <c r="BI270" s="60">
        <f t="shared" ca="1" si="212"/>
        <v>0.15</v>
      </c>
      <c r="BJ270" s="60">
        <f t="shared" si="213"/>
        <v>0.2</v>
      </c>
      <c r="BK270" s="60" t="str">
        <f t="shared" si="225"/>
        <v/>
      </c>
      <c r="BL270" s="21" t="str">
        <f t="shared" si="226"/>
        <v/>
      </c>
      <c r="BM270" s="264" t="str">
        <f t="shared" si="214"/>
        <v/>
      </c>
      <c r="BN270" s="60" t="str">
        <f t="shared" si="227"/>
        <v/>
      </c>
      <c r="BO270" s="136">
        <f t="shared" si="228"/>
        <v>0</v>
      </c>
      <c r="BP270" s="59">
        <f t="shared" si="229"/>
        <v>0</v>
      </c>
      <c r="BQ270" s="136">
        <f t="shared" ca="1" si="215"/>
        <v>1455</v>
      </c>
      <c r="BR270" s="136">
        <f t="shared" ca="1" si="216"/>
        <v>1000.8471760797343</v>
      </c>
      <c r="BS270" s="136">
        <f t="shared" ca="1" si="217"/>
        <v>1468800.8471760796</v>
      </c>
      <c r="BT270" s="136">
        <f t="shared" ca="1" si="218"/>
        <v>313875.76990183897</v>
      </c>
      <c r="BU270" s="136">
        <f t="shared" ca="1" si="219"/>
        <v>1000.8471760797343</v>
      </c>
    </row>
    <row r="271" spans="1:73" x14ac:dyDescent="0.2">
      <c r="A271" s="87" t="str">
        <f>'Etape 2'!A268</f>
        <v/>
      </c>
      <c r="B271" s="87">
        <f>'Etape 2'!B268</f>
        <v>256</v>
      </c>
      <c r="C271" s="87">
        <f ca="1">'Etape 2'!C268</f>
        <v>45</v>
      </c>
      <c r="D271" s="87"/>
      <c r="E271" s="61">
        <f ca="1">RANK(BU271,BU$16:BU$315,0)+COUNTIF(BU$16:BU271,BU271)-1</f>
        <v>45</v>
      </c>
      <c r="F271" s="87" t="str">
        <f>'Etape 2'!D268</f>
        <v/>
      </c>
      <c r="G271" s="87" t="str">
        <f>'Etape 2'!E268</f>
        <v/>
      </c>
      <c r="H271" s="87" t="str">
        <f>'Etape 2'!F268</f>
        <v/>
      </c>
      <c r="I271" s="87" t="str">
        <f>'Etape 2'!G268</f>
        <v/>
      </c>
      <c r="J271" s="87" t="str">
        <f>'Etape 2'!H268</f>
        <v/>
      </c>
      <c r="K271" s="87" t="str">
        <f>'Etape 2'!I268</f>
        <v/>
      </c>
      <c r="L271" s="87">
        <f ca="1">'Etape 2'!J268</f>
        <v>999999</v>
      </c>
      <c r="M271" s="87">
        <f>'Etape 2'!K268</f>
        <v>999</v>
      </c>
      <c r="N271" s="87">
        <f ca="1">'Etape 2'!L268</f>
        <v>256</v>
      </c>
      <c r="O271" s="259">
        <f t="shared" si="202"/>
        <v>0.3</v>
      </c>
      <c r="P271" s="259">
        <f t="shared" si="203"/>
        <v>1.1000000000000001</v>
      </c>
      <c r="Q271" s="260">
        <f t="shared" si="204"/>
        <v>0</v>
      </c>
      <c r="R271" s="261">
        <f t="shared" si="230"/>
        <v>0</v>
      </c>
      <c r="S271" s="87">
        <f>IF(ISBLANK('Etape 2'!N268),0,VLOOKUP('Etape 2'!N268,Matrix_Uebersetzung,2,FALSE))</f>
        <v>0</v>
      </c>
      <c r="T271" s="87">
        <f>IF(ISBLANK('Etape 2'!O268),0,VLOOKUP('Etape 2'!O268,Matrix_Uebersetzung,2,FALSE))</f>
        <v>0</v>
      </c>
      <c r="U271" s="87">
        <f>IF(ISBLANK('Etape 2'!P268),0,VLOOKUP('Etape 2'!P268,Matrix_Uebersetzung,2,FALSE))</f>
        <v>0</v>
      </c>
      <c r="V271" s="87" t="str">
        <f>'Etape 2'!Q268</f>
        <v/>
      </c>
      <c r="W271" s="87">
        <f>'Etape 2'!R268</f>
        <v>0</v>
      </c>
      <c r="X271" s="87" t="str">
        <f>'Etape 2'!S268</f>
        <v/>
      </c>
      <c r="Y271" s="89" t="str">
        <f>'Etape 2'!T268</f>
        <v/>
      </c>
      <c r="Z271" s="87">
        <f>'Etape 2'!U268</f>
        <v>0</v>
      </c>
      <c r="AA271" s="87" t="str">
        <f>'Etape 2'!V268</f>
        <v/>
      </c>
      <c r="AB271" s="87">
        <f>IF(ISNUMBER('Etape 2'!W268),'Etape 2'!W268,0)</f>
        <v>0</v>
      </c>
      <c r="AC271" s="87">
        <f>IF(ISNUMBER('Etape 2'!X268),'Etape 2'!X268,0)</f>
        <v>0</v>
      </c>
      <c r="AD271" s="87">
        <f>IF(ISNUMBER('Etape 2'!Y268),'Etape 2'!Y268,0)</f>
        <v>0</v>
      </c>
      <c r="AE271" s="87">
        <f>IF(ISNUMBER('Etape 2'!Z268),'Etape 2'!Z268,0)</f>
        <v>0</v>
      </c>
      <c r="AF271" s="86">
        <f t="shared" si="220"/>
        <v>999</v>
      </c>
      <c r="AG271" s="288">
        <f t="shared" si="221"/>
        <v>0.25</v>
      </c>
      <c r="AH271" s="181" t="e">
        <f t="shared" si="205"/>
        <v>#VALUE!</v>
      </c>
      <c r="AI271" s="181" t="e">
        <f t="shared" si="233"/>
        <v>#VALUE!</v>
      </c>
      <c r="AJ271" s="86">
        <f t="shared" si="206"/>
        <v>200</v>
      </c>
      <c r="AK271" s="91" t="e">
        <f t="shared" si="207"/>
        <v>#N/A</v>
      </c>
      <c r="AL271" s="91" t="e">
        <f t="shared" si="234"/>
        <v>#N/A</v>
      </c>
      <c r="AM271" s="91">
        <f t="shared" si="109"/>
        <v>6</v>
      </c>
      <c r="AN271" s="91" t="e">
        <f t="shared" si="235"/>
        <v>#N/A</v>
      </c>
      <c r="AO271" s="91" t="e">
        <f t="shared" si="236"/>
        <v>#N/A</v>
      </c>
      <c r="AP271" s="21" t="e">
        <f t="shared" si="237"/>
        <v>#N/A</v>
      </c>
      <c r="AQ271" s="21" t="e">
        <f t="shared" si="238"/>
        <v>#N/A</v>
      </c>
      <c r="AR271" s="92" t="str">
        <f t="shared" si="222"/>
        <v/>
      </c>
      <c r="AS271" s="21" t="str">
        <f t="shared" si="223"/>
        <v/>
      </c>
      <c r="AT271" s="59" t="str">
        <f t="shared" si="208"/>
        <v/>
      </c>
      <c r="AU271" s="105">
        <f t="shared" si="113"/>
        <v>1</v>
      </c>
      <c r="AV271" s="105">
        <f t="shared" si="239"/>
        <v>1</v>
      </c>
      <c r="AW271" s="58">
        <f t="shared" si="240"/>
        <v>2</v>
      </c>
      <c r="AX271" s="58">
        <f t="shared" si="241"/>
        <v>3</v>
      </c>
      <c r="AY271" s="58" t="str">
        <f t="shared" si="242"/>
        <v>avec vannes</v>
      </c>
      <c r="AZ271" s="58" t="str">
        <f t="shared" si="243"/>
        <v>fermé</v>
      </c>
      <c r="BA271" s="60">
        <f t="shared" si="244"/>
        <v>0</v>
      </c>
      <c r="BB271" s="60">
        <f t="shared" si="244"/>
        <v>0</v>
      </c>
      <c r="BC271" s="60">
        <f t="shared" si="244"/>
        <v>0</v>
      </c>
      <c r="BD271" s="60">
        <f t="shared" si="244"/>
        <v>0</v>
      </c>
      <c r="BE271" s="286" t="str">
        <f t="shared" si="209"/>
        <v/>
      </c>
      <c r="BF271" s="58" t="str">
        <f t="shared" si="224"/>
        <v/>
      </c>
      <c r="BG271" s="59" t="str">
        <f t="shared" si="210"/>
        <v/>
      </c>
      <c r="BH271" s="158">
        <f t="shared" ca="1" si="211"/>
        <v>1</v>
      </c>
      <c r="BI271" s="60">
        <f t="shared" ca="1" si="212"/>
        <v>0.15</v>
      </c>
      <c r="BJ271" s="60">
        <f t="shared" si="213"/>
        <v>0.2</v>
      </c>
      <c r="BK271" s="60" t="str">
        <f t="shared" si="225"/>
        <v/>
      </c>
      <c r="BL271" s="21" t="str">
        <f t="shared" si="226"/>
        <v/>
      </c>
      <c r="BM271" s="264" t="str">
        <f t="shared" si="214"/>
        <v/>
      </c>
      <c r="BN271" s="60" t="str">
        <f t="shared" si="227"/>
        <v/>
      </c>
      <c r="BO271" s="136">
        <f t="shared" si="228"/>
        <v>0</v>
      </c>
      <c r="BP271" s="59">
        <f t="shared" si="229"/>
        <v>0</v>
      </c>
      <c r="BQ271" s="136">
        <f t="shared" ca="1" si="215"/>
        <v>1456</v>
      </c>
      <c r="BR271" s="136">
        <f t="shared" ca="1" si="216"/>
        <v>1000.8504983388705</v>
      </c>
      <c r="BS271" s="136">
        <f t="shared" ca="1" si="217"/>
        <v>1468800.8504983389</v>
      </c>
      <c r="BT271" s="136">
        <f t="shared" ca="1" si="218"/>
        <v>313875.77322409808</v>
      </c>
      <c r="BU271" s="136">
        <f t="shared" ca="1" si="219"/>
        <v>1000.8504983388705</v>
      </c>
    </row>
    <row r="272" spans="1:73" x14ac:dyDescent="0.2">
      <c r="A272" s="87" t="str">
        <f>'Etape 2'!A269</f>
        <v/>
      </c>
      <c r="B272" s="87">
        <f>'Etape 2'!B269</f>
        <v>257</v>
      </c>
      <c r="C272" s="87">
        <f ca="1">'Etape 2'!C269</f>
        <v>44</v>
      </c>
      <c r="D272" s="87"/>
      <c r="E272" s="61">
        <f ca="1">RANK(BU272,BU$16:BU$315,0)+COUNTIF(BU$16:BU272,BU272)-1</f>
        <v>44</v>
      </c>
      <c r="F272" s="87" t="str">
        <f>'Etape 2'!D269</f>
        <v/>
      </c>
      <c r="G272" s="87" t="str">
        <f>'Etape 2'!E269</f>
        <v/>
      </c>
      <c r="H272" s="87" t="str">
        <f>'Etape 2'!F269</f>
        <v/>
      </c>
      <c r="I272" s="87" t="str">
        <f>'Etape 2'!G269</f>
        <v/>
      </c>
      <c r="J272" s="87" t="str">
        <f>'Etape 2'!H269</f>
        <v/>
      </c>
      <c r="K272" s="87" t="str">
        <f>'Etape 2'!I269</f>
        <v/>
      </c>
      <c r="L272" s="87">
        <f ca="1">'Etape 2'!J269</f>
        <v>999999</v>
      </c>
      <c r="M272" s="87">
        <f>'Etape 2'!K269</f>
        <v>999</v>
      </c>
      <c r="N272" s="87">
        <f ca="1">'Etape 2'!L269</f>
        <v>257</v>
      </c>
      <c r="O272" s="259">
        <f t="shared" ref="O272:O315" si="245">VLOOKUP(IF(U272=0,St.Wert_Regulierungsart,U272),Matrix_Regulierungsart.Einsparfaktor,3,FALSE)</f>
        <v>0.3</v>
      </c>
      <c r="P272" s="259">
        <f t="shared" ref="P272:P315" si="246">VLOOKUP(IF(U272=0,St.Wert_Regulierungsart,U272),Matrix_Regulierungsart.Einsparfaktor,4,FALSE)</f>
        <v>1.1000000000000001</v>
      </c>
      <c r="Q272" s="260">
        <f t="shared" ref="Q272:Q315" si="247">IF(AE272&lt;0,St.Wert_Lastfaktor,IF(SUM(AB272:AE272)=0,0,O272+(P272-O272)*SUMPRODUCT(AB$14:AE$14,AB272:AE272)/SUM(AB272:AE272)))</f>
        <v>0</v>
      </c>
      <c r="R272" s="261">
        <f t="shared" si="230"/>
        <v>0</v>
      </c>
      <c r="S272" s="87">
        <f>IF(ISBLANK('Etape 2'!N269),0,VLOOKUP('Etape 2'!N269,Matrix_Uebersetzung,2,FALSE))</f>
        <v>0</v>
      </c>
      <c r="T272" s="87">
        <f>IF(ISBLANK('Etape 2'!O269),0,VLOOKUP('Etape 2'!O269,Matrix_Uebersetzung,2,FALSE))</f>
        <v>0</v>
      </c>
      <c r="U272" s="87">
        <f>IF(ISBLANK('Etape 2'!P269),0,VLOOKUP('Etape 2'!P269,Matrix_Uebersetzung,2,FALSE))</f>
        <v>0</v>
      </c>
      <c r="V272" s="87" t="str">
        <f>'Etape 2'!Q269</f>
        <v/>
      </c>
      <c r="W272" s="87">
        <f>'Etape 2'!R269</f>
        <v>0</v>
      </c>
      <c r="X272" s="87" t="str">
        <f>'Etape 2'!S269</f>
        <v/>
      </c>
      <c r="Y272" s="89" t="str">
        <f>'Etape 2'!T269</f>
        <v/>
      </c>
      <c r="Z272" s="87">
        <f>'Etape 2'!U269</f>
        <v>0</v>
      </c>
      <c r="AA272" s="87" t="str">
        <f>'Etape 2'!V269</f>
        <v/>
      </c>
      <c r="AB272" s="87">
        <f>IF(ISNUMBER('Etape 2'!W269),'Etape 2'!W269,0)</f>
        <v>0</v>
      </c>
      <c r="AC272" s="87">
        <f>IF(ISNUMBER('Etape 2'!X269),'Etape 2'!X269,0)</f>
        <v>0</v>
      </c>
      <c r="AD272" s="87">
        <f>IF(ISNUMBER('Etape 2'!Y269),'Etape 2'!Y269,0)</f>
        <v>0</v>
      </c>
      <c r="AE272" s="87">
        <f>IF(ISNUMBER('Etape 2'!Z269),'Etape 2'!Z269,0)</f>
        <v>0</v>
      </c>
      <c r="AF272" s="86">
        <f t="shared" si="220"/>
        <v>999</v>
      </c>
      <c r="AG272" s="288">
        <f t="shared" si="221"/>
        <v>0.25</v>
      </c>
      <c r="AH272" s="181" t="e">
        <f t="shared" ref="AH272:AH315" si="248">I272*J272</f>
        <v>#VALUE!</v>
      </c>
      <c r="AI272" s="181" t="e">
        <f t="shared" si="233"/>
        <v>#VALUE!</v>
      </c>
      <c r="AJ272" s="86">
        <f t="shared" ref="AJ272:AJ315" si="249">IF(I272&lt;Wert_Motor.max.Leistung.fuer.Berechnung.Wirkungsgrad,I272,Wert_Motor.max.Leistung.fuer.Berechnung.Wirkungsgrad)</f>
        <v>200</v>
      </c>
      <c r="AK272" s="91" t="e">
        <f t="shared" ref="AK272:AK315" si="250">VLOOKUP(I272,Matrix_Motor.LeistungsKl.ID,2,1)</f>
        <v>#N/A</v>
      </c>
      <c r="AL272" s="91" t="e">
        <f t="shared" si="234"/>
        <v>#N/A</v>
      </c>
      <c r="AM272" s="91">
        <f t="shared" si="109"/>
        <v>6</v>
      </c>
      <c r="AN272" s="91" t="e">
        <f t="shared" si="235"/>
        <v>#N/A</v>
      </c>
      <c r="AO272" s="91" t="e">
        <f t="shared" si="236"/>
        <v>#N/A</v>
      </c>
      <c r="AP272" s="21" t="e">
        <f t="shared" si="237"/>
        <v>#N/A</v>
      </c>
      <c r="AQ272" s="21" t="e">
        <f t="shared" si="238"/>
        <v>#N/A</v>
      </c>
      <c r="AR272" s="92" t="str">
        <f t="shared" si="222"/>
        <v/>
      </c>
      <c r="AS272" s="21" t="str">
        <f t="shared" si="223"/>
        <v/>
      </c>
      <c r="AT272" s="59" t="str">
        <f t="shared" ref="AT272:AT315" si="251">IF(AND(ISNUMBER(AR272),AE272&gt;=0),AS272*Preis_Strom.Schritt2/100,"")</f>
        <v/>
      </c>
      <c r="AU272" s="105">
        <f t="shared" si="113"/>
        <v>1</v>
      </c>
      <c r="AV272" s="105">
        <f t="shared" si="239"/>
        <v>1</v>
      </c>
      <c r="AW272" s="58">
        <f t="shared" si="240"/>
        <v>2</v>
      </c>
      <c r="AX272" s="58">
        <f t="shared" si="241"/>
        <v>3</v>
      </c>
      <c r="AY272" s="58" t="str">
        <f t="shared" si="242"/>
        <v>avec vannes</v>
      </c>
      <c r="AZ272" s="58" t="str">
        <f t="shared" si="243"/>
        <v>fermé</v>
      </c>
      <c r="BA272" s="60">
        <f t="shared" si="244"/>
        <v>0</v>
      </c>
      <c r="BB272" s="60">
        <f t="shared" si="244"/>
        <v>0</v>
      </c>
      <c r="BC272" s="60">
        <f t="shared" si="244"/>
        <v>0</v>
      </c>
      <c r="BD272" s="60">
        <f t="shared" si="244"/>
        <v>0</v>
      </c>
      <c r="BE272" s="286" t="str">
        <f t="shared" ref="BE272:BE315" si="252">IF(AND(ISNUMBER(A272),AE272&gt;=0),IF(SUM(AB272:AE272)&gt;0,SUMPRODUCT(AB272:AE272,BA272:BD272)/SUM(AB272:AE272),0)*VLOOKUP(IF(U272=0,St.Wert_Regulierungsart,U272),Matrix_Regulierungsart.Einsparfaktor,2,FALSE),"")</f>
        <v/>
      </c>
      <c r="BF272" s="58" t="str">
        <f t="shared" si="224"/>
        <v/>
      </c>
      <c r="BG272" s="59" t="str">
        <f t="shared" ref="BG272:BG315" si="253">IF(AND(ISNUMBER(A272),AE272&gt;=0),BF272*Preis_Strom.Schritt2/100,"")</f>
        <v/>
      </c>
      <c r="BH272" s="158">
        <f t="shared" ref="BH272:BH315" ca="1" si="254">VLOOKUP(C272,Matrix_Berechnungen1.Rang.Pumpendaten.Zwischenresultate,BH$12,0)</f>
        <v>1</v>
      </c>
      <c r="BI272" s="60">
        <f t="shared" ref="BI272:BI315" ca="1" si="255">VLOOKUP(BH272,Matrix_Anlage.AlterID.Einsparpotential.und.EnergieAnteil,5,0)</f>
        <v>0.15</v>
      </c>
      <c r="BJ272" s="60">
        <f t="shared" ref="BJ272:BJ315" si="256">VLOOKUP(AG272,Matrix_Redim.Teilvolumenstrom.Einsparpotential.ID,2,0)</f>
        <v>0.2</v>
      </c>
      <c r="BK272" s="60" t="str">
        <f t="shared" si="225"/>
        <v/>
      </c>
      <c r="BL272" s="21" t="str">
        <f t="shared" si="226"/>
        <v/>
      </c>
      <c r="BM272" s="264" t="str">
        <f t="shared" ref="BM272:BM315" si="257">IF(AND(ISNUMBER(A272),AE272&gt;=0),BL272*Preis_Strom.Schritt2/100,"")</f>
        <v/>
      </c>
      <c r="BN272" s="60" t="str">
        <f t="shared" si="227"/>
        <v/>
      </c>
      <c r="BO272" s="136">
        <f t="shared" si="228"/>
        <v>0</v>
      </c>
      <c r="BP272" s="59">
        <f t="shared" si="229"/>
        <v>0</v>
      </c>
      <c r="BQ272" s="136">
        <f t="shared" ref="BQ272:BQ315" ca="1" si="258">VLOOKUP(M272,Matrix_Sortierung.Schritt2.Multiplikator.ID.BewertungSchritt1,2,FALSE)*MAX($N$16:$N$315)+$N272</f>
        <v>1457</v>
      </c>
      <c r="BR272" s="136">
        <f t="shared" ref="BR272:BR315" ca="1" si="259">VLOOKUP(M272,Matrix_Sortierung.Schritt2.Multiplikator.ID.BewertungSchritt1,2,FALSE)*MAX($I$16:$I$315)-IF(ISNUMBER(I272),I272,0)+$N272/(MAX($N$16:$N$315)+1)</f>
        <v>1000.8538205980067</v>
      </c>
      <c r="BS272" s="136">
        <f t="shared" ref="BS272:BS315" ca="1" si="260">VLOOKUP(M272,Matrix_Sortierung.Schritt2.Multiplikator.ID.BewertungSchritt1,2,FALSE)*MAX($R$16:$R$315)-R272+$N272/(MAX($N$16:$N$315)+1)</f>
        <v>1468800.853820598</v>
      </c>
      <c r="BT272" s="136">
        <f t="shared" ref="BT272:BT315" ca="1" si="261">VLOOKUP(M272,Matrix_Sortierung.Schritt2.Multiplikator.ID.BewertungSchritt1,2,FALSE)*MAX($BO$16:$BO$315)-BO272+$N272/(MAX($N$16:$N$315)+1)</f>
        <v>313875.7765463572</v>
      </c>
      <c r="BU272" s="136">
        <f t="shared" ref="BU272:BU315" ca="1" si="262">INDIRECT(ADDRESS(ROW(BU272),Wert_Sortiervariante.Resultate.SpaltenNr))</f>
        <v>1000.8538205980067</v>
      </c>
    </row>
    <row r="273" spans="1:73" x14ac:dyDescent="0.2">
      <c r="A273" s="87" t="str">
        <f>'Etape 2'!A270</f>
        <v/>
      </c>
      <c r="B273" s="87">
        <f>'Etape 2'!B270</f>
        <v>258</v>
      </c>
      <c r="C273" s="87">
        <f ca="1">'Etape 2'!C270</f>
        <v>43</v>
      </c>
      <c r="D273" s="87"/>
      <c r="E273" s="61">
        <f ca="1">RANK(BU273,BU$16:BU$315,0)+COUNTIF(BU$16:BU273,BU273)-1</f>
        <v>43</v>
      </c>
      <c r="F273" s="87" t="str">
        <f>'Etape 2'!D270</f>
        <v/>
      </c>
      <c r="G273" s="87" t="str">
        <f>'Etape 2'!E270</f>
        <v/>
      </c>
      <c r="H273" s="87" t="str">
        <f>'Etape 2'!F270</f>
        <v/>
      </c>
      <c r="I273" s="87" t="str">
        <f>'Etape 2'!G270</f>
        <v/>
      </c>
      <c r="J273" s="87" t="str">
        <f>'Etape 2'!H270</f>
        <v/>
      </c>
      <c r="K273" s="87" t="str">
        <f>'Etape 2'!I270</f>
        <v/>
      </c>
      <c r="L273" s="87">
        <f ca="1">'Etape 2'!J270</f>
        <v>999999</v>
      </c>
      <c r="M273" s="87">
        <f>'Etape 2'!K270</f>
        <v>999</v>
      </c>
      <c r="N273" s="87">
        <f ca="1">'Etape 2'!L270</f>
        <v>258</v>
      </c>
      <c r="O273" s="259">
        <f t="shared" si="245"/>
        <v>0.3</v>
      </c>
      <c r="P273" s="259">
        <f t="shared" si="246"/>
        <v>1.1000000000000001</v>
      </c>
      <c r="Q273" s="260">
        <f t="shared" si="247"/>
        <v>0</v>
      </c>
      <c r="R273" s="261">
        <f t="shared" si="230"/>
        <v>0</v>
      </c>
      <c r="S273" s="87">
        <f>IF(ISBLANK('Etape 2'!N270),0,VLOOKUP('Etape 2'!N270,Matrix_Uebersetzung,2,FALSE))</f>
        <v>0</v>
      </c>
      <c r="T273" s="87">
        <f>IF(ISBLANK('Etape 2'!O270),0,VLOOKUP('Etape 2'!O270,Matrix_Uebersetzung,2,FALSE))</f>
        <v>0</v>
      </c>
      <c r="U273" s="87">
        <f>IF(ISBLANK('Etape 2'!P270),0,VLOOKUP('Etape 2'!P270,Matrix_Uebersetzung,2,FALSE))</f>
        <v>0</v>
      </c>
      <c r="V273" s="87" t="str">
        <f>'Etape 2'!Q270</f>
        <v/>
      </c>
      <c r="W273" s="87">
        <f>'Etape 2'!R270</f>
        <v>0</v>
      </c>
      <c r="X273" s="87" t="str">
        <f>'Etape 2'!S270</f>
        <v/>
      </c>
      <c r="Y273" s="89" t="str">
        <f>'Etape 2'!T270</f>
        <v/>
      </c>
      <c r="Z273" s="87">
        <f>'Etape 2'!U270</f>
        <v>0</v>
      </c>
      <c r="AA273" s="87" t="str">
        <f>'Etape 2'!V270</f>
        <v/>
      </c>
      <c r="AB273" s="87">
        <f>IF(ISNUMBER('Etape 2'!W270),'Etape 2'!W270,0)</f>
        <v>0</v>
      </c>
      <c r="AC273" s="87">
        <f>IF(ISNUMBER('Etape 2'!X270),'Etape 2'!X270,0)</f>
        <v>0</v>
      </c>
      <c r="AD273" s="87">
        <f>IF(ISNUMBER('Etape 2'!Y270),'Etape 2'!Y270,0)</f>
        <v>0</v>
      </c>
      <c r="AE273" s="87">
        <f>IF(ISNUMBER('Etape 2'!Z270),'Etape 2'!Z270,0)</f>
        <v>0</v>
      </c>
      <c r="AF273" s="86">
        <f t="shared" ref="AF273:AF315" si="263">IF(AE273&lt;0,-1,1)*M273</f>
        <v>999</v>
      </c>
      <c r="AG273" s="288">
        <f t="shared" ref="AG273:AG315" si="264">IF(AE273=0,IF(AD273=0,IF(AC273=0,AB$14,AC$14),AD$14),AE$14)</f>
        <v>0.25</v>
      </c>
      <c r="AH273" s="181" t="e">
        <f t="shared" si="248"/>
        <v>#VALUE!</v>
      </c>
      <c r="AI273" s="181" t="e">
        <f t="shared" si="233"/>
        <v>#VALUE!</v>
      </c>
      <c r="AJ273" s="86">
        <f t="shared" si="249"/>
        <v>200</v>
      </c>
      <c r="AK273" s="91" t="e">
        <f t="shared" si="250"/>
        <v>#N/A</v>
      </c>
      <c r="AL273" s="91" t="e">
        <f t="shared" si="234"/>
        <v>#N/A</v>
      </c>
      <c r="AM273" s="91">
        <f t="shared" si="109"/>
        <v>6</v>
      </c>
      <c r="AN273" s="91" t="e">
        <f t="shared" si="235"/>
        <v>#N/A</v>
      </c>
      <c r="AO273" s="91" t="e">
        <f t="shared" si="236"/>
        <v>#N/A</v>
      </c>
      <c r="AP273" s="21" t="e">
        <f t="shared" si="237"/>
        <v>#N/A</v>
      </c>
      <c r="AQ273" s="21" t="e">
        <f t="shared" si="238"/>
        <v>#N/A</v>
      </c>
      <c r="AR273" s="92" t="str">
        <f t="shared" ref="AR273:AR315" si="265">IF(AND(ISNUMBER(A273),ISNUMBER(K273+AP273+AQ273)),IF(ISERROR(1-AP273/AQ273),0,1-AP273/AQ273),"")</f>
        <v/>
      </c>
      <c r="AS273" s="21" t="str">
        <f t="shared" ref="AS273:AS315" si="266">IF(AND(ISNUMBER(AR273),AE273&gt;=0),R273*AR273,"")</f>
        <v/>
      </c>
      <c r="AT273" s="59" t="str">
        <f t="shared" si="251"/>
        <v/>
      </c>
      <c r="AU273" s="105">
        <f t="shared" si="113"/>
        <v>1</v>
      </c>
      <c r="AV273" s="105">
        <f t="shared" si="239"/>
        <v>1</v>
      </c>
      <c r="AW273" s="58">
        <f t="shared" si="240"/>
        <v>2</v>
      </c>
      <c r="AX273" s="58">
        <f t="shared" si="241"/>
        <v>3</v>
      </c>
      <c r="AY273" s="58" t="str">
        <f t="shared" si="242"/>
        <v>avec vannes</v>
      </c>
      <c r="AZ273" s="58" t="str">
        <f t="shared" si="243"/>
        <v>fermé</v>
      </c>
      <c r="BA273" s="60">
        <f t="shared" si="244"/>
        <v>0</v>
      </c>
      <c r="BB273" s="60">
        <f t="shared" si="244"/>
        <v>0</v>
      </c>
      <c r="BC273" s="60">
        <f t="shared" si="244"/>
        <v>0</v>
      </c>
      <c r="BD273" s="60">
        <f t="shared" si="244"/>
        <v>0</v>
      </c>
      <c r="BE273" s="286" t="str">
        <f t="shared" si="252"/>
        <v/>
      </c>
      <c r="BF273" s="58" t="str">
        <f t="shared" ref="BF273:BF315" si="267">IF(AND(ISNUMBER(A273),AE273&gt;=0),R273*BE273,"")</f>
        <v/>
      </c>
      <c r="BG273" s="59" t="str">
        <f t="shared" si="253"/>
        <v/>
      </c>
      <c r="BH273" s="158">
        <f t="shared" ca="1" si="254"/>
        <v>1</v>
      </c>
      <c r="BI273" s="60">
        <f t="shared" ca="1" si="255"/>
        <v>0.15</v>
      </c>
      <c r="BJ273" s="60">
        <f t="shared" si="256"/>
        <v>0.2</v>
      </c>
      <c r="BK273" s="60" t="str">
        <f t="shared" ref="BK273:BK315" si="268">IF(AND(ISNUMBER(A273),AE273&gt;=0),1-((1-BI273)*(1-BJ273)),"")</f>
        <v/>
      </c>
      <c r="BL273" s="21" t="str">
        <f t="shared" ref="BL273:BL315" si="269">IF(AND(ISNUMBER(A273),AE273&gt;=0),R273*BK273,"")</f>
        <v/>
      </c>
      <c r="BM273" s="264" t="str">
        <f t="shared" si="257"/>
        <v/>
      </c>
      <c r="BN273" s="60" t="str">
        <f t="shared" ref="BN273:BN315" si="270">IF(AND(ISNUMBER(A273),AE273&gt;=0),(1-(1-IF(ISNUMBER(AR273),AR273,0))*(1-BE273)*(1-BK273)),"")</f>
        <v/>
      </c>
      <c r="BO273" s="136">
        <f t="shared" ref="BO273:BO315" si="271">IF(AND(ISNUMBER(A273),AE273&gt;=0),R273*BN273,0)</f>
        <v>0</v>
      </c>
      <c r="BP273" s="59">
        <f t="shared" ref="BP273:BP315" si="272">BO273*Preis_Strom.Schritt2/100</f>
        <v>0</v>
      </c>
      <c r="BQ273" s="136">
        <f t="shared" ca="1" si="258"/>
        <v>1458</v>
      </c>
      <c r="BR273" s="136">
        <f t="shared" ca="1" si="259"/>
        <v>1000.8571428571429</v>
      </c>
      <c r="BS273" s="136">
        <f t="shared" ca="1" si="260"/>
        <v>1468800.857142857</v>
      </c>
      <c r="BT273" s="136">
        <f t="shared" ca="1" si="261"/>
        <v>313875.77986861637</v>
      </c>
      <c r="BU273" s="136">
        <f t="shared" ca="1" si="262"/>
        <v>1000.8571428571429</v>
      </c>
    </row>
    <row r="274" spans="1:73" x14ac:dyDescent="0.2">
      <c r="A274" s="87" t="str">
        <f>'Etape 2'!A271</f>
        <v/>
      </c>
      <c r="B274" s="87">
        <f>'Etape 2'!B271</f>
        <v>259</v>
      </c>
      <c r="C274" s="87">
        <f ca="1">'Etape 2'!C271</f>
        <v>42</v>
      </c>
      <c r="D274" s="87"/>
      <c r="E274" s="61">
        <f ca="1">RANK(BU274,BU$16:BU$315,0)+COUNTIF(BU$16:BU274,BU274)-1</f>
        <v>42</v>
      </c>
      <c r="F274" s="87" t="str">
        <f>'Etape 2'!D271</f>
        <v/>
      </c>
      <c r="G274" s="87" t="str">
        <f>'Etape 2'!E271</f>
        <v/>
      </c>
      <c r="H274" s="87" t="str">
        <f>'Etape 2'!F271</f>
        <v/>
      </c>
      <c r="I274" s="87" t="str">
        <f>'Etape 2'!G271</f>
        <v/>
      </c>
      <c r="J274" s="87" t="str">
        <f>'Etape 2'!H271</f>
        <v/>
      </c>
      <c r="K274" s="87" t="str">
        <f>'Etape 2'!I271</f>
        <v/>
      </c>
      <c r="L274" s="87">
        <f ca="1">'Etape 2'!J271</f>
        <v>999999</v>
      </c>
      <c r="M274" s="87">
        <f>'Etape 2'!K271</f>
        <v>999</v>
      </c>
      <c r="N274" s="87">
        <f ca="1">'Etape 2'!L271</f>
        <v>259</v>
      </c>
      <c r="O274" s="259">
        <f t="shared" si="245"/>
        <v>0.3</v>
      </c>
      <c r="P274" s="259">
        <f t="shared" si="246"/>
        <v>1.1000000000000001</v>
      </c>
      <c r="Q274" s="260">
        <f t="shared" si="247"/>
        <v>0</v>
      </c>
      <c r="R274" s="261">
        <f t="shared" si="230"/>
        <v>0</v>
      </c>
      <c r="S274" s="87">
        <f>IF(ISBLANK('Etape 2'!N271),0,VLOOKUP('Etape 2'!N271,Matrix_Uebersetzung,2,FALSE))</f>
        <v>0</v>
      </c>
      <c r="T274" s="87">
        <f>IF(ISBLANK('Etape 2'!O271),0,VLOOKUP('Etape 2'!O271,Matrix_Uebersetzung,2,FALSE))</f>
        <v>0</v>
      </c>
      <c r="U274" s="87">
        <f>IF(ISBLANK('Etape 2'!P271),0,VLOOKUP('Etape 2'!P271,Matrix_Uebersetzung,2,FALSE))</f>
        <v>0</v>
      </c>
      <c r="V274" s="87" t="str">
        <f>'Etape 2'!Q271</f>
        <v/>
      </c>
      <c r="W274" s="87">
        <f>'Etape 2'!R271</f>
        <v>0</v>
      </c>
      <c r="X274" s="87" t="str">
        <f>'Etape 2'!S271</f>
        <v/>
      </c>
      <c r="Y274" s="89" t="str">
        <f>'Etape 2'!T271</f>
        <v/>
      </c>
      <c r="Z274" s="87">
        <f>'Etape 2'!U271</f>
        <v>0</v>
      </c>
      <c r="AA274" s="87" t="str">
        <f>'Etape 2'!V271</f>
        <v/>
      </c>
      <c r="AB274" s="87">
        <f>IF(ISNUMBER('Etape 2'!W271),'Etape 2'!W271,0)</f>
        <v>0</v>
      </c>
      <c r="AC274" s="87">
        <f>IF(ISNUMBER('Etape 2'!X271),'Etape 2'!X271,0)</f>
        <v>0</v>
      </c>
      <c r="AD274" s="87">
        <f>IF(ISNUMBER('Etape 2'!Y271),'Etape 2'!Y271,0)</f>
        <v>0</v>
      </c>
      <c r="AE274" s="87">
        <f>IF(ISNUMBER('Etape 2'!Z271),'Etape 2'!Z271,0)</f>
        <v>0</v>
      </c>
      <c r="AF274" s="86">
        <f t="shared" si="263"/>
        <v>999</v>
      </c>
      <c r="AG274" s="288">
        <f t="shared" si="264"/>
        <v>0.25</v>
      </c>
      <c r="AH274" s="181" t="e">
        <f t="shared" si="248"/>
        <v>#VALUE!</v>
      </c>
      <c r="AI274" s="181" t="e">
        <f t="shared" si="233"/>
        <v>#VALUE!</v>
      </c>
      <c r="AJ274" s="86">
        <f t="shared" si="249"/>
        <v>200</v>
      </c>
      <c r="AK274" s="91" t="e">
        <f t="shared" si="250"/>
        <v>#N/A</v>
      </c>
      <c r="AL274" s="91" t="e">
        <f t="shared" si="234"/>
        <v>#N/A</v>
      </c>
      <c r="AM274" s="91">
        <f t="shared" si="109"/>
        <v>6</v>
      </c>
      <c r="AN274" s="91" t="e">
        <f t="shared" si="235"/>
        <v>#N/A</v>
      </c>
      <c r="AO274" s="91" t="e">
        <f t="shared" si="236"/>
        <v>#N/A</v>
      </c>
      <c r="AP274" s="21" t="e">
        <f t="shared" si="237"/>
        <v>#N/A</v>
      </c>
      <c r="AQ274" s="21" t="e">
        <f t="shared" si="238"/>
        <v>#N/A</v>
      </c>
      <c r="AR274" s="92" t="str">
        <f t="shared" si="265"/>
        <v/>
      </c>
      <c r="AS274" s="21" t="str">
        <f t="shared" si="266"/>
        <v/>
      </c>
      <c r="AT274" s="59" t="str">
        <f t="shared" si="251"/>
        <v/>
      </c>
      <c r="AU274" s="105">
        <f t="shared" si="113"/>
        <v>1</v>
      </c>
      <c r="AV274" s="105">
        <f t="shared" si="239"/>
        <v>1</v>
      </c>
      <c r="AW274" s="58">
        <f t="shared" si="240"/>
        <v>2</v>
      </c>
      <c r="AX274" s="58">
        <f t="shared" si="241"/>
        <v>3</v>
      </c>
      <c r="AY274" s="58" t="str">
        <f t="shared" si="242"/>
        <v>avec vannes</v>
      </c>
      <c r="AZ274" s="58" t="str">
        <f t="shared" si="243"/>
        <v>fermé</v>
      </c>
      <c r="BA274" s="60">
        <f t="shared" si="244"/>
        <v>0</v>
      </c>
      <c r="BB274" s="60">
        <f t="shared" si="244"/>
        <v>0</v>
      </c>
      <c r="BC274" s="60">
        <f t="shared" si="244"/>
        <v>0</v>
      </c>
      <c r="BD274" s="60">
        <f t="shared" si="244"/>
        <v>0</v>
      </c>
      <c r="BE274" s="286" t="str">
        <f t="shared" si="252"/>
        <v/>
      </c>
      <c r="BF274" s="58" t="str">
        <f t="shared" si="267"/>
        <v/>
      </c>
      <c r="BG274" s="59" t="str">
        <f t="shared" si="253"/>
        <v/>
      </c>
      <c r="BH274" s="158">
        <f t="shared" ca="1" si="254"/>
        <v>1</v>
      </c>
      <c r="BI274" s="60">
        <f t="shared" ca="1" si="255"/>
        <v>0.15</v>
      </c>
      <c r="BJ274" s="60">
        <f t="shared" si="256"/>
        <v>0.2</v>
      </c>
      <c r="BK274" s="60" t="str">
        <f t="shared" si="268"/>
        <v/>
      </c>
      <c r="BL274" s="21" t="str">
        <f t="shared" si="269"/>
        <v/>
      </c>
      <c r="BM274" s="264" t="str">
        <f t="shared" si="257"/>
        <v/>
      </c>
      <c r="BN274" s="60" t="str">
        <f t="shared" si="270"/>
        <v/>
      </c>
      <c r="BO274" s="136">
        <f t="shared" si="271"/>
        <v>0</v>
      </c>
      <c r="BP274" s="59">
        <f t="shared" si="272"/>
        <v>0</v>
      </c>
      <c r="BQ274" s="136">
        <f t="shared" ca="1" si="258"/>
        <v>1459</v>
      </c>
      <c r="BR274" s="136">
        <f t="shared" ca="1" si="259"/>
        <v>1000.8604651162791</v>
      </c>
      <c r="BS274" s="136">
        <f t="shared" ca="1" si="260"/>
        <v>1468800.8604651163</v>
      </c>
      <c r="BT274" s="136">
        <f t="shared" ca="1" si="261"/>
        <v>313875.78319087549</v>
      </c>
      <c r="BU274" s="136">
        <f t="shared" ca="1" si="262"/>
        <v>1000.8604651162791</v>
      </c>
    </row>
    <row r="275" spans="1:73" x14ac:dyDescent="0.2">
      <c r="A275" s="87" t="str">
        <f>'Etape 2'!A272</f>
        <v/>
      </c>
      <c r="B275" s="87">
        <f>'Etape 2'!B272</f>
        <v>260</v>
      </c>
      <c r="C275" s="87">
        <f ca="1">'Etape 2'!C272</f>
        <v>41</v>
      </c>
      <c r="D275" s="87"/>
      <c r="E275" s="61">
        <f ca="1">RANK(BU275,BU$16:BU$315,0)+COUNTIF(BU$16:BU275,BU275)-1</f>
        <v>41</v>
      </c>
      <c r="F275" s="87" t="str">
        <f>'Etape 2'!D272</f>
        <v/>
      </c>
      <c r="G275" s="87" t="str">
        <f>'Etape 2'!E272</f>
        <v/>
      </c>
      <c r="H275" s="87" t="str">
        <f>'Etape 2'!F272</f>
        <v/>
      </c>
      <c r="I275" s="87" t="str">
        <f>'Etape 2'!G272</f>
        <v/>
      </c>
      <c r="J275" s="87" t="str">
        <f>'Etape 2'!H272</f>
        <v/>
      </c>
      <c r="K275" s="87" t="str">
        <f>'Etape 2'!I272</f>
        <v/>
      </c>
      <c r="L275" s="87">
        <f ca="1">'Etape 2'!J272</f>
        <v>999999</v>
      </c>
      <c r="M275" s="87">
        <f>'Etape 2'!K272</f>
        <v>999</v>
      </c>
      <c r="N275" s="87">
        <f ca="1">'Etape 2'!L272</f>
        <v>260</v>
      </c>
      <c r="O275" s="259">
        <f t="shared" si="245"/>
        <v>0.3</v>
      </c>
      <c r="P275" s="259">
        <f t="shared" si="246"/>
        <v>1.1000000000000001</v>
      </c>
      <c r="Q275" s="260">
        <f t="shared" si="247"/>
        <v>0</v>
      </c>
      <c r="R275" s="261">
        <f t="shared" si="230"/>
        <v>0</v>
      </c>
      <c r="S275" s="87">
        <f>IF(ISBLANK('Etape 2'!N272),0,VLOOKUP('Etape 2'!N272,Matrix_Uebersetzung,2,FALSE))</f>
        <v>0</v>
      </c>
      <c r="T275" s="87">
        <f>IF(ISBLANK('Etape 2'!O272),0,VLOOKUP('Etape 2'!O272,Matrix_Uebersetzung,2,FALSE))</f>
        <v>0</v>
      </c>
      <c r="U275" s="87">
        <f>IF(ISBLANK('Etape 2'!P272),0,VLOOKUP('Etape 2'!P272,Matrix_Uebersetzung,2,FALSE))</f>
        <v>0</v>
      </c>
      <c r="V275" s="87" t="str">
        <f>'Etape 2'!Q272</f>
        <v/>
      </c>
      <c r="W275" s="87">
        <f>'Etape 2'!R272</f>
        <v>0</v>
      </c>
      <c r="X275" s="87" t="str">
        <f>'Etape 2'!S272</f>
        <v/>
      </c>
      <c r="Y275" s="89" t="str">
        <f>'Etape 2'!T272</f>
        <v/>
      </c>
      <c r="Z275" s="87">
        <f>'Etape 2'!U272</f>
        <v>0</v>
      </c>
      <c r="AA275" s="87" t="str">
        <f>'Etape 2'!V272</f>
        <v/>
      </c>
      <c r="AB275" s="87">
        <f>IF(ISNUMBER('Etape 2'!W272),'Etape 2'!W272,0)</f>
        <v>0</v>
      </c>
      <c r="AC275" s="87">
        <f>IF(ISNUMBER('Etape 2'!X272),'Etape 2'!X272,0)</f>
        <v>0</v>
      </c>
      <c r="AD275" s="87">
        <f>IF(ISNUMBER('Etape 2'!Y272),'Etape 2'!Y272,0)</f>
        <v>0</v>
      </c>
      <c r="AE275" s="87">
        <f>IF(ISNUMBER('Etape 2'!Z272),'Etape 2'!Z272,0)</f>
        <v>0</v>
      </c>
      <c r="AF275" s="86">
        <f t="shared" si="263"/>
        <v>999</v>
      </c>
      <c r="AG275" s="288">
        <f t="shared" si="264"/>
        <v>0.25</v>
      </c>
      <c r="AH275" s="181" t="e">
        <f t="shared" si="248"/>
        <v>#VALUE!</v>
      </c>
      <c r="AI275" s="181" t="e">
        <f t="shared" si="233"/>
        <v>#VALUE!</v>
      </c>
      <c r="AJ275" s="86">
        <f t="shared" si="249"/>
        <v>200</v>
      </c>
      <c r="AK275" s="91" t="e">
        <f t="shared" si="250"/>
        <v>#N/A</v>
      </c>
      <c r="AL275" s="91" t="e">
        <f t="shared" si="234"/>
        <v>#N/A</v>
      </c>
      <c r="AM275" s="91">
        <f t="shared" si="109"/>
        <v>6</v>
      </c>
      <c r="AN275" s="91" t="e">
        <f t="shared" si="235"/>
        <v>#N/A</v>
      </c>
      <c r="AO275" s="91" t="e">
        <f t="shared" si="236"/>
        <v>#N/A</v>
      </c>
      <c r="AP275" s="21" t="e">
        <f t="shared" si="237"/>
        <v>#N/A</v>
      </c>
      <c r="AQ275" s="21" t="e">
        <f t="shared" si="238"/>
        <v>#N/A</v>
      </c>
      <c r="AR275" s="92" t="str">
        <f t="shared" si="265"/>
        <v/>
      </c>
      <c r="AS275" s="21" t="str">
        <f t="shared" si="266"/>
        <v/>
      </c>
      <c r="AT275" s="59" t="str">
        <f t="shared" si="251"/>
        <v/>
      </c>
      <c r="AU275" s="105">
        <f t="shared" si="113"/>
        <v>1</v>
      </c>
      <c r="AV275" s="105">
        <f t="shared" si="239"/>
        <v>1</v>
      </c>
      <c r="AW275" s="58">
        <f t="shared" si="240"/>
        <v>2</v>
      </c>
      <c r="AX275" s="58">
        <f t="shared" si="241"/>
        <v>3</v>
      </c>
      <c r="AY275" s="58" t="str">
        <f t="shared" si="242"/>
        <v>avec vannes</v>
      </c>
      <c r="AZ275" s="58" t="str">
        <f t="shared" si="243"/>
        <v>fermé</v>
      </c>
      <c r="BA275" s="60">
        <f t="shared" si="244"/>
        <v>0</v>
      </c>
      <c r="BB275" s="60">
        <f t="shared" si="244"/>
        <v>0</v>
      </c>
      <c r="BC275" s="60">
        <f t="shared" si="244"/>
        <v>0</v>
      </c>
      <c r="BD275" s="60">
        <f t="shared" si="244"/>
        <v>0</v>
      </c>
      <c r="BE275" s="286" t="str">
        <f t="shared" si="252"/>
        <v/>
      </c>
      <c r="BF275" s="58" t="str">
        <f t="shared" si="267"/>
        <v/>
      </c>
      <c r="BG275" s="59" t="str">
        <f t="shared" si="253"/>
        <v/>
      </c>
      <c r="BH275" s="158">
        <f t="shared" ca="1" si="254"/>
        <v>1</v>
      </c>
      <c r="BI275" s="60">
        <f t="shared" ca="1" si="255"/>
        <v>0.15</v>
      </c>
      <c r="BJ275" s="60">
        <f t="shared" si="256"/>
        <v>0.2</v>
      </c>
      <c r="BK275" s="60" t="str">
        <f t="shared" si="268"/>
        <v/>
      </c>
      <c r="BL275" s="21" t="str">
        <f t="shared" si="269"/>
        <v/>
      </c>
      <c r="BM275" s="264" t="str">
        <f t="shared" si="257"/>
        <v/>
      </c>
      <c r="BN275" s="60" t="str">
        <f t="shared" si="270"/>
        <v/>
      </c>
      <c r="BO275" s="136">
        <f t="shared" si="271"/>
        <v>0</v>
      </c>
      <c r="BP275" s="59">
        <f t="shared" si="272"/>
        <v>0</v>
      </c>
      <c r="BQ275" s="136">
        <f t="shared" ca="1" si="258"/>
        <v>1460</v>
      </c>
      <c r="BR275" s="136">
        <f t="shared" ca="1" si="259"/>
        <v>1000.8637873754153</v>
      </c>
      <c r="BS275" s="136">
        <f t="shared" ca="1" si="260"/>
        <v>1468800.8637873754</v>
      </c>
      <c r="BT275" s="136">
        <f t="shared" ca="1" si="261"/>
        <v>313875.7865131346</v>
      </c>
      <c r="BU275" s="136">
        <f t="shared" ca="1" si="262"/>
        <v>1000.8637873754153</v>
      </c>
    </row>
    <row r="276" spans="1:73" x14ac:dyDescent="0.2">
      <c r="A276" s="87" t="str">
        <f>'Etape 2'!A273</f>
        <v/>
      </c>
      <c r="B276" s="87">
        <f>'Etape 2'!B273</f>
        <v>261</v>
      </c>
      <c r="C276" s="87">
        <f ca="1">'Etape 2'!C273</f>
        <v>40</v>
      </c>
      <c r="D276" s="87"/>
      <c r="E276" s="61">
        <f ca="1">RANK(BU276,BU$16:BU$315,0)+COUNTIF(BU$16:BU276,BU276)-1</f>
        <v>40</v>
      </c>
      <c r="F276" s="87" t="str">
        <f>'Etape 2'!D273</f>
        <v/>
      </c>
      <c r="G276" s="87" t="str">
        <f>'Etape 2'!E273</f>
        <v/>
      </c>
      <c r="H276" s="87" t="str">
        <f>'Etape 2'!F273</f>
        <v/>
      </c>
      <c r="I276" s="87" t="str">
        <f>'Etape 2'!G273</f>
        <v/>
      </c>
      <c r="J276" s="87" t="str">
        <f>'Etape 2'!H273</f>
        <v/>
      </c>
      <c r="K276" s="87" t="str">
        <f>'Etape 2'!I273</f>
        <v/>
      </c>
      <c r="L276" s="87">
        <f ca="1">'Etape 2'!J273</f>
        <v>999999</v>
      </c>
      <c r="M276" s="87">
        <f>'Etape 2'!K273</f>
        <v>999</v>
      </c>
      <c r="N276" s="87">
        <f ca="1">'Etape 2'!L273</f>
        <v>261</v>
      </c>
      <c r="O276" s="259">
        <f t="shared" si="245"/>
        <v>0.3</v>
      </c>
      <c r="P276" s="259">
        <f t="shared" si="246"/>
        <v>1.1000000000000001</v>
      </c>
      <c r="Q276" s="260">
        <f t="shared" si="247"/>
        <v>0</v>
      </c>
      <c r="R276" s="261">
        <f t="shared" si="230"/>
        <v>0</v>
      </c>
      <c r="S276" s="87">
        <f>IF(ISBLANK('Etape 2'!N273),0,VLOOKUP('Etape 2'!N273,Matrix_Uebersetzung,2,FALSE))</f>
        <v>0</v>
      </c>
      <c r="T276" s="87">
        <f>IF(ISBLANK('Etape 2'!O273),0,VLOOKUP('Etape 2'!O273,Matrix_Uebersetzung,2,FALSE))</f>
        <v>0</v>
      </c>
      <c r="U276" s="87">
        <f>IF(ISBLANK('Etape 2'!P273),0,VLOOKUP('Etape 2'!P273,Matrix_Uebersetzung,2,FALSE))</f>
        <v>0</v>
      </c>
      <c r="V276" s="87" t="str">
        <f>'Etape 2'!Q273</f>
        <v/>
      </c>
      <c r="W276" s="87">
        <f>'Etape 2'!R273</f>
        <v>0</v>
      </c>
      <c r="X276" s="87" t="str">
        <f>'Etape 2'!S273</f>
        <v/>
      </c>
      <c r="Y276" s="89" t="str">
        <f>'Etape 2'!T273</f>
        <v/>
      </c>
      <c r="Z276" s="87">
        <f>'Etape 2'!U273</f>
        <v>0</v>
      </c>
      <c r="AA276" s="87" t="str">
        <f>'Etape 2'!V273</f>
        <v/>
      </c>
      <c r="AB276" s="87">
        <f>IF(ISNUMBER('Etape 2'!W273),'Etape 2'!W273,0)</f>
        <v>0</v>
      </c>
      <c r="AC276" s="87">
        <f>IF(ISNUMBER('Etape 2'!X273),'Etape 2'!X273,0)</f>
        <v>0</v>
      </c>
      <c r="AD276" s="87">
        <f>IF(ISNUMBER('Etape 2'!Y273),'Etape 2'!Y273,0)</f>
        <v>0</v>
      </c>
      <c r="AE276" s="87">
        <f>IF(ISNUMBER('Etape 2'!Z273),'Etape 2'!Z273,0)</f>
        <v>0</v>
      </c>
      <c r="AF276" s="86">
        <f t="shared" si="263"/>
        <v>999</v>
      </c>
      <c r="AG276" s="288">
        <f t="shared" si="264"/>
        <v>0.25</v>
      </c>
      <c r="AH276" s="181" t="e">
        <f t="shared" si="248"/>
        <v>#VALUE!</v>
      </c>
      <c r="AI276" s="181" t="e">
        <f t="shared" si="233"/>
        <v>#VALUE!</v>
      </c>
      <c r="AJ276" s="86">
        <f t="shared" si="249"/>
        <v>200</v>
      </c>
      <c r="AK276" s="91" t="e">
        <f t="shared" si="250"/>
        <v>#N/A</v>
      </c>
      <c r="AL276" s="91" t="e">
        <f t="shared" si="234"/>
        <v>#N/A</v>
      </c>
      <c r="AM276" s="91">
        <f t="shared" si="109"/>
        <v>6</v>
      </c>
      <c r="AN276" s="91" t="e">
        <f t="shared" si="235"/>
        <v>#N/A</v>
      </c>
      <c r="AO276" s="91" t="e">
        <f t="shared" si="236"/>
        <v>#N/A</v>
      </c>
      <c r="AP276" s="21" t="e">
        <f t="shared" si="237"/>
        <v>#N/A</v>
      </c>
      <c r="AQ276" s="21" t="e">
        <f t="shared" si="238"/>
        <v>#N/A</v>
      </c>
      <c r="AR276" s="92" t="str">
        <f t="shared" si="265"/>
        <v/>
      </c>
      <c r="AS276" s="21" t="str">
        <f t="shared" si="266"/>
        <v/>
      </c>
      <c r="AT276" s="59" t="str">
        <f t="shared" si="251"/>
        <v/>
      </c>
      <c r="AU276" s="105">
        <f t="shared" si="113"/>
        <v>1</v>
      </c>
      <c r="AV276" s="105">
        <f t="shared" si="239"/>
        <v>1</v>
      </c>
      <c r="AW276" s="58">
        <f t="shared" si="240"/>
        <v>2</v>
      </c>
      <c r="AX276" s="58">
        <f t="shared" si="241"/>
        <v>3</v>
      </c>
      <c r="AY276" s="58" t="str">
        <f t="shared" si="242"/>
        <v>avec vannes</v>
      </c>
      <c r="AZ276" s="58" t="str">
        <f t="shared" si="243"/>
        <v>fermé</v>
      </c>
      <c r="BA276" s="60">
        <f t="shared" ref="BA276:BD295" si="273">IF(BA$15/$AG276&gt;1,0,VLOOKUP(BA$15/$AG276,Matrix_Regelung.Teilvolumenstrom.Einsparpotential.ID,$AX276,0))</f>
        <v>0</v>
      </c>
      <c r="BB276" s="60">
        <f t="shared" si="273"/>
        <v>0</v>
      </c>
      <c r="BC276" s="60">
        <f t="shared" si="273"/>
        <v>0</v>
      </c>
      <c r="BD276" s="60">
        <f t="shared" si="273"/>
        <v>0</v>
      </c>
      <c r="BE276" s="286" t="str">
        <f t="shared" si="252"/>
        <v/>
      </c>
      <c r="BF276" s="58" t="str">
        <f t="shared" si="267"/>
        <v/>
      </c>
      <c r="BG276" s="59" t="str">
        <f t="shared" si="253"/>
        <v/>
      </c>
      <c r="BH276" s="158">
        <f t="shared" ca="1" si="254"/>
        <v>1</v>
      </c>
      <c r="BI276" s="60">
        <f t="shared" ca="1" si="255"/>
        <v>0.15</v>
      </c>
      <c r="BJ276" s="60">
        <f t="shared" si="256"/>
        <v>0.2</v>
      </c>
      <c r="BK276" s="60" t="str">
        <f t="shared" si="268"/>
        <v/>
      </c>
      <c r="BL276" s="21" t="str">
        <f t="shared" si="269"/>
        <v/>
      </c>
      <c r="BM276" s="264" t="str">
        <f t="shared" si="257"/>
        <v/>
      </c>
      <c r="BN276" s="60" t="str">
        <f t="shared" si="270"/>
        <v/>
      </c>
      <c r="BO276" s="136">
        <f t="shared" si="271"/>
        <v>0</v>
      </c>
      <c r="BP276" s="59">
        <f t="shared" si="272"/>
        <v>0</v>
      </c>
      <c r="BQ276" s="136">
        <f t="shared" ca="1" si="258"/>
        <v>1461</v>
      </c>
      <c r="BR276" s="136">
        <f t="shared" ca="1" si="259"/>
        <v>1000.8671096345515</v>
      </c>
      <c r="BS276" s="136">
        <f t="shared" ca="1" si="260"/>
        <v>1468800.8671096344</v>
      </c>
      <c r="BT276" s="136">
        <f t="shared" ca="1" si="261"/>
        <v>313875.78983539378</v>
      </c>
      <c r="BU276" s="136">
        <f t="shared" ca="1" si="262"/>
        <v>1000.8671096345515</v>
      </c>
    </row>
    <row r="277" spans="1:73" x14ac:dyDescent="0.2">
      <c r="A277" s="87" t="str">
        <f>'Etape 2'!A274</f>
        <v/>
      </c>
      <c r="B277" s="87">
        <f>'Etape 2'!B274</f>
        <v>262</v>
      </c>
      <c r="C277" s="87">
        <f ca="1">'Etape 2'!C274</f>
        <v>39</v>
      </c>
      <c r="D277" s="87"/>
      <c r="E277" s="61">
        <f ca="1">RANK(BU277,BU$16:BU$315,0)+COUNTIF(BU$16:BU277,BU277)-1</f>
        <v>39</v>
      </c>
      <c r="F277" s="87" t="str">
        <f>'Etape 2'!D274</f>
        <v/>
      </c>
      <c r="G277" s="87" t="str">
        <f>'Etape 2'!E274</f>
        <v/>
      </c>
      <c r="H277" s="87" t="str">
        <f>'Etape 2'!F274</f>
        <v/>
      </c>
      <c r="I277" s="87" t="str">
        <f>'Etape 2'!G274</f>
        <v/>
      </c>
      <c r="J277" s="87" t="str">
        <f>'Etape 2'!H274</f>
        <v/>
      </c>
      <c r="K277" s="87" t="str">
        <f>'Etape 2'!I274</f>
        <v/>
      </c>
      <c r="L277" s="87">
        <f ca="1">'Etape 2'!J274</f>
        <v>999999</v>
      </c>
      <c r="M277" s="87">
        <f>'Etape 2'!K274</f>
        <v>999</v>
      </c>
      <c r="N277" s="87">
        <f ca="1">'Etape 2'!L274</f>
        <v>262</v>
      </c>
      <c r="O277" s="259">
        <f t="shared" si="245"/>
        <v>0.3</v>
      </c>
      <c r="P277" s="259">
        <f t="shared" si="246"/>
        <v>1.1000000000000001</v>
      </c>
      <c r="Q277" s="260">
        <f t="shared" si="247"/>
        <v>0</v>
      </c>
      <c r="R277" s="261">
        <f t="shared" si="230"/>
        <v>0</v>
      </c>
      <c r="S277" s="87">
        <f>IF(ISBLANK('Etape 2'!N274),0,VLOOKUP('Etape 2'!N274,Matrix_Uebersetzung,2,FALSE))</f>
        <v>0</v>
      </c>
      <c r="T277" s="87">
        <f>IF(ISBLANK('Etape 2'!O274),0,VLOOKUP('Etape 2'!O274,Matrix_Uebersetzung,2,FALSE))</f>
        <v>0</v>
      </c>
      <c r="U277" s="87">
        <f>IF(ISBLANK('Etape 2'!P274),0,VLOOKUP('Etape 2'!P274,Matrix_Uebersetzung,2,FALSE))</f>
        <v>0</v>
      </c>
      <c r="V277" s="87" t="str">
        <f>'Etape 2'!Q274</f>
        <v/>
      </c>
      <c r="W277" s="87">
        <f>'Etape 2'!R274</f>
        <v>0</v>
      </c>
      <c r="X277" s="87" t="str">
        <f>'Etape 2'!S274</f>
        <v/>
      </c>
      <c r="Y277" s="89" t="str">
        <f>'Etape 2'!T274</f>
        <v/>
      </c>
      <c r="Z277" s="87">
        <f>'Etape 2'!U274</f>
        <v>0</v>
      </c>
      <c r="AA277" s="87" t="str">
        <f>'Etape 2'!V274</f>
        <v/>
      </c>
      <c r="AB277" s="87">
        <f>IF(ISNUMBER('Etape 2'!W274),'Etape 2'!W274,0)</f>
        <v>0</v>
      </c>
      <c r="AC277" s="87">
        <f>IF(ISNUMBER('Etape 2'!X274),'Etape 2'!X274,0)</f>
        <v>0</v>
      </c>
      <c r="AD277" s="87">
        <f>IF(ISNUMBER('Etape 2'!Y274),'Etape 2'!Y274,0)</f>
        <v>0</v>
      </c>
      <c r="AE277" s="87">
        <f>IF(ISNUMBER('Etape 2'!Z274),'Etape 2'!Z274,0)</f>
        <v>0</v>
      </c>
      <c r="AF277" s="86">
        <f t="shared" si="263"/>
        <v>999</v>
      </c>
      <c r="AG277" s="288">
        <f t="shared" si="264"/>
        <v>0.25</v>
      </c>
      <c r="AH277" s="181" t="e">
        <f t="shared" si="248"/>
        <v>#VALUE!</v>
      </c>
      <c r="AI277" s="181" t="e">
        <f t="shared" si="233"/>
        <v>#VALUE!</v>
      </c>
      <c r="AJ277" s="86">
        <f t="shared" si="249"/>
        <v>200</v>
      </c>
      <c r="AK277" s="91" t="e">
        <f t="shared" si="250"/>
        <v>#N/A</v>
      </c>
      <c r="AL277" s="91" t="e">
        <f t="shared" si="234"/>
        <v>#N/A</v>
      </c>
      <c r="AM277" s="91">
        <f t="shared" si="109"/>
        <v>6</v>
      </c>
      <c r="AN277" s="91" t="e">
        <f t="shared" si="235"/>
        <v>#N/A</v>
      </c>
      <c r="AO277" s="91" t="e">
        <f t="shared" si="236"/>
        <v>#N/A</v>
      </c>
      <c r="AP277" s="21" t="e">
        <f t="shared" si="237"/>
        <v>#N/A</v>
      </c>
      <c r="AQ277" s="21" t="e">
        <f t="shared" si="238"/>
        <v>#N/A</v>
      </c>
      <c r="AR277" s="92" t="str">
        <f t="shared" si="265"/>
        <v/>
      </c>
      <c r="AS277" s="21" t="str">
        <f t="shared" si="266"/>
        <v/>
      </c>
      <c r="AT277" s="59" t="str">
        <f t="shared" si="251"/>
        <v/>
      </c>
      <c r="AU277" s="105">
        <f t="shared" si="113"/>
        <v>1</v>
      </c>
      <c r="AV277" s="105">
        <f t="shared" si="239"/>
        <v>1</v>
      </c>
      <c r="AW277" s="58">
        <f t="shared" si="240"/>
        <v>2</v>
      </c>
      <c r="AX277" s="58">
        <f t="shared" si="241"/>
        <v>3</v>
      </c>
      <c r="AY277" s="58" t="str">
        <f t="shared" si="242"/>
        <v>avec vannes</v>
      </c>
      <c r="AZ277" s="58" t="str">
        <f t="shared" si="243"/>
        <v>fermé</v>
      </c>
      <c r="BA277" s="60">
        <f t="shared" si="273"/>
        <v>0</v>
      </c>
      <c r="BB277" s="60">
        <f t="shared" si="273"/>
        <v>0</v>
      </c>
      <c r="BC277" s="60">
        <f t="shared" si="273"/>
        <v>0</v>
      </c>
      <c r="BD277" s="60">
        <f t="shared" si="273"/>
        <v>0</v>
      </c>
      <c r="BE277" s="286" t="str">
        <f t="shared" si="252"/>
        <v/>
      </c>
      <c r="BF277" s="58" t="str">
        <f t="shared" si="267"/>
        <v/>
      </c>
      <c r="BG277" s="59" t="str">
        <f t="shared" si="253"/>
        <v/>
      </c>
      <c r="BH277" s="158">
        <f t="shared" ca="1" si="254"/>
        <v>1</v>
      </c>
      <c r="BI277" s="60">
        <f t="shared" ca="1" si="255"/>
        <v>0.15</v>
      </c>
      <c r="BJ277" s="60">
        <f t="shared" si="256"/>
        <v>0.2</v>
      </c>
      <c r="BK277" s="60" t="str">
        <f t="shared" si="268"/>
        <v/>
      </c>
      <c r="BL277" s="21" t="str">
        <f t="shared" si="269"/>
        <v/>
      </c>
      <c r="BM277" s="264" t="str">
        <f t="shared" si="257"/>
        <v/>
      </c>
      <c r="BN277" s="60" t="str">
        <f t="shared" si="270"/>
        <v/>
      </c>
      <c r="BO277" s="136">
        <f t="shared" si="271"/>
        <v>0</v>
      </c>
      <c r="BP277" s="59">
        <f t="shared" si="272"/>
        <v>0</v>
      </c>
      <c r="BQ277" s="136">
        <f t="shared" ca="1" si="258"/>
        <v>1462</v>
      </c>
      <c r="BR277" s="136">
        <f t="shared" ca="1" si="259"/>
        <v>1000.8704318936877</v>
      </c>
      <c r="BS277" s="136">
        <f t="shared" ca="1" si="260"/>
        <v>1468800.8704318937</v>
      </c>
      <c r="BT277" s="136">
        <f t="shared" ca="1" si="261"/>
        <v>313875.79315765289</v>
      </c>
      <c r="BU277" s="136">
        <f t="shared" ca="1" si="262"/>
        <v>1000.8704318936877</v>
      </c>
    </row>
    <row r="278" spans="1:73" x14ac:dyDescent="0.2">
      <c r="A278" s="87" t="str">
        <f>'Etape 2'!A275</f>
        <v/>
      </c>
      <c r="B278" s="87">
        <f>'Etape 2'!B275</f>
        <v>263</v>
      </c>
      <c r="C278" s="87">
        <f ca="1">'Etape 2'!C275</f>
        <v>38</v>
      </c>
      <c r="D278" s="87"/>
      <c r="E278" s="61">
        <f ca="1">RANK(BU278,BU$16:BU$315,0)+COUNTIF(BU$16:BU278,BU278)-1</f>
        <v>38</v>
      </c>
      <c r="F278" s="87" t="str">
        <f>'Etape 2'!D275</f>
        <v/>
      </c>
      <c r="G278" s="87" t="str">
        <f>'Etape 2'!E275</f>
        <v/>
      </c>
      <c r="H278" s="87" t="str">
        <f>'Etape 2'!F275</f>
        <v/>
      </c>
      <c r="I278" s="87" t="str">
        <f>'Etape 2'!G275</f>
        <v/>
      </c>
      <c r="J278" s="87" t="str">
        <f>'Etape 2'!H275</f>
        <v/>
      </c>
      <c r="K278" s="87" t="str">
        <f>'Etape 2'!I275</f>
        <v/>
      </c>
      <c r="L278" s="87">
        <f ca="1">'Etape 2'!J275</f>
        <v>999999</v>
      </c>
      <c r="M278" s="87">
        <f>'Etape 2'!K275</f>
        <v>999</v>
      </c>
      <c r="N278" s="87">
        <f ca="1">'Etape 2'!L275</f>
        <v>263</v>
      </c>
      <c r="O278" s="259">
        <f t="shared" si="245"/>
        <v>0.3</v>
      </c>
      <c r="P278" s="259">
        <f t="shared" si="246"/>
        <v>1.1000000000000001</v>
      </c>
      <c r="Q278" s="260">
        <f t="shared" si="247"/>
        <v>0</v>
      </c>
      <c r="R278" s="261">
        <f t="shared" si="230"/>
        <v>0</v>
      </c>
      <c r="S278" s="87">
        <f>IF(ISBLANK('Etape 2'!N275),0,VLOOKUP('Etape 2'!N275,Matrix_Uebersetzung,2,FALSE))</f>
        <v>0</v>
      </c>
      <c r="T278" s="87">
        <f>IF(ISBLANK('Etape 2'!O275),0,VLOOKUP('Etape 2'!O275,Matrix_Uebersetzung,2,FALSE))</f>
        <v>0</v>
      </c>
      <c r="U278" s="87">
        <f>IF(ISBLANK('Etape 2'!P275),0,VLOOKUP('Etape 2'!P275,Matrix_Uebersetzung,2,FALSE))</f>
        <v>0</v>
      </c>
      <c r="V278" s="87" t="str">
        <f>'Etape 2'!Q275</f>
        <v/>
      </c>
      <c r="W278" s="87">
        <f>'Etape 2'!R275</f>
        <v>0</v>
      </c>
      <c r="X278" s="87" t="str">
        <f>'Etape 2'!S275</f>
        <v/>
      </c>
      <c r="Y278" s="89" t="str">
        <f>'Etape 2'!T275</f>
        <v/>
      </c>
      <c r="Z278" s="87">
        <f>'Etape 2'!U275</f>
        <v>0</v>
      </c>
      <c r="AA278" s="87" t="str">
        <f>'Etape 2'!V275</f>
        <v/>
      </c>
      <c r="AB278" s="87">
        <f>IF(ISNUMBER('Etape 2'!W275),'Etape 2'!W275,0)</f>
        <v>0</v>
      </c>
      <c r="AC278" s="87">
        <f>IF(ISNUMBER('Etape 2'!X275),'Etape 2'!X275,0)</f>
        <v>0</v>
      </c>
      <c r="AD278" s="87">
        <f>IF(ISNUMBER('Etape 2'!Y275),'Etape 2'!Y275,0)</f>
        <v>0</v>
      </c>
      <c r="AE278" s="87">
        <f>IF(ISNUMBER('Etape 2'!Z275),'Etape 2'!Z275,0)</f>
        <v>0</v>
      </c>
      <c r="AF278" s="86">
        <f t="shared" si="263"/>
        <v>999</v>
      </c>
      <c r="AG278" s="288">
        <f t="shared" si="264"/>
        <v>0.25</v>
      </c>
      <c r="AH278" s="181" t="e">
        <f t="shared" si="248"/>
        <v>#VALUE!</v>
      </c>
      <c r="AI278" s="181" t="e">
        <f t="shared" si="233"/>
        <v>#VALUE!</v>
      </c>
      <c r="AJ278" s="86">
        <f t="shared" si="249"/>
        <v>200</v>
      </c>
      <c r="AK278" s="91" t="e">
        <f t="shared" si="250"/>
        <v>#N/A</v>
      </c>
      <c r="AL278" s="91" t="e">
        <f t="shared" si="234"/>
        <v>#N/A</v>
      </c>
      <c r="AM278" s="91">
        <f t="shared" si="109"/>
        <v>6</v>
      </c>
      <c r="AN278" s="91" t="e">
        <f t="shared" si="235"/>
        <v>#N/A</v>
      </c>
      <c r="AO278" s="91" t="e">
        <f t="shared" si="236"/>
        <v>#N/A</v>
      </c>
      <c r="AP278" s="21" t="e">
        <f t="shared" si="237"/>
        <v>#N/A</v>
      </c>
      <c r="AQ278" s="21" t="e">
        <f t="shared" si="238"/>
        <v>#N/A</v>
      </c>
      <c r="AR278" s="92" t="str">
        <f t="shared" si="265"/>
        <v/>
      </c>
      <c r="AS278" s="21" t="str">
        <f t="shared" si="266"/>
        <v/>
      </c>
      <c r="AT278" s="59" t="str">
        <f t="shared" si="251"/>
        <v/>
      </c>
      <c r="AU278" s="105">
        <f t="shared" si="113"/>
        <v>1</v>
      </c>
      <c r="AV278" s="105">
        <f t="shared" si="239"/>
        <v>1</v>
      </c>
      <c r="AW278" s="58">
        <f t="shared" si="240"/>
        <v>2</v>
      </c>
      <c r="AX278" s="58">
        <f t="shared" si="241"/>
        <v>3</v>
      </c>
      <c r="AY278" s="58" t="str">
        <f t="shared" si="242"/>
        <v>avec vannes</v>
      </c>
      <c r="AZ278" s="58" t="str">
        <f t="shared" si="243"/>
        <v>fermé</v>
      </c>
      <c r="BA278" s="60">
        <f t="shared" si="273"/>
        <v>0</v>
      </c>
      <c r="BB278" s="60">
        <f t="shared" si="273"/>
        <v>0</v>
      </c>
      <c r="BC278" s="60">
        <f t="shared" si="273"/>
        <v>0</v>
      </c>
      <c r="BD278" s="60">
        <f t="shared" si="273"/>
        <v>0</v>
      </c>
      <c r="BE278" s="286" t="str">
        <f t="shared" si="252"/>
        <v/>
      </c>
      <c r="BF278" s="58" t="str">
        <f t="shared" si="267"/>
        <v/>
      </c>
      <c r="BG278" s="59" t="str">
        <f t="shared" si="253"/>
        <v/>
      </c>
      <c r="BH278" s="158">
        <f t="shared" ca="1" si="254"/>
        <v>1</v>
      </c>
      <c r="BI278" s="60">
        <f t="shared" ca="1" si="255"/>
        <v>0.15</v>
      </c>
      <c r="BJ278" s="60">
        <f t="shared" si="256"/>
        <v>0.2</v>
      </c>
      <c r="BK278" s="60" t="str">
        <f t="shared" si="268"/>
        <v/>
      </c>
      <c r="BL278" s="21" t="str">
        <f t="shared" si="269"/>
        <v/>
      </c>
      <c r="BM278" s="264" t="str">
        <f t="shared" si="257"/>
        <v/>
      </c>
      <c r="BN278" s="60" t="str">
        <f t="shared" si="270"/>
        <v/>
      </c>
      <c r="BO278" s="136">
        <f t="shared" si="271"/>
        <v>0</v>
      </c>
      <c r="BP278" s="59">
        <f t="shared" si="272"/>
        <v>0</v>
      </c>
      <c r="BQ278" s="136">
        <f t="shared" ca="1" si="258"/>
        <v>1463</v>
      </c>
      <c r="BR278" s="136">
        <f t="shared" ca="1" si="259"/>
        <v>1000.8737541528239</v>
      </c>
      <c r="BS278" s="136">
        <f t="shared" ca="1" si="260"/>
        <v>1468800.8737541528</v>
      </c>
      <c r="BT278" s="136">
        <f t="shared" ca="1" si="261"/>
        <v>313875.79647991201</v>
      </c>
      <c r="BU278" s="136">
        <f t="shared" ca="1" si="262"/>
        <v>1000.8737541528239</v>
      </c>
    </row>
    <row r="279" spans="1:73" x14ac:dyDescent="0.2">
      <c r="A279" s="87" t="str">
        <f>'Etape 2'!A276</f>
        <v/>
      </c>
      <c r="B279" s="87">
        <f>'Etape 2'!B276</f>
        <v>264</v>
      </c>
      <c r="C279" s="87">
        <f ca="1">'Etape 2'!C276</f>
        <v>37</v>
      </c>
      <c r="D279" s="87"/>
      <c r="E279" s="61">
        <f ca="1">RANK(BU279,BU$16:BU$315,0)+COUNTIF(BU$16:BU279,BU279)-1</f>
        <v>37</v>
      </c>
      <c r="F279" s="87" t="str">
        <f>'Etape 2'!D276</f>
        <v/>
      </c>
      <c r="G279" s="87" t="str">
        <f>'Etape 2'!E276</f>
        <v/>
      </c>
      <c r="H279" s="87" t="str">
        <f>'Etape 2'!F276</f>
        <v/>
      </c>
      <c r="I279" s="87" t="str">
        <f>'Etape 2'!G276</f>
        <v/>
      </c>
      <c r="J279" s="87" t="str">
        <f>'Etape 2'!H276</f>
        <v/>
      </c>
      <c r="K279" s="87" t="str">
        <f>'Etape 2'!I276</f>
        <v/>
      </c>
      <c r="L279" s="87">
        <f ca="1">'Etape 2'!J276</f>
        <v>999999</v>
      </c>
      <c r="M279" s="87">
        <f>'Etape 2'!K276</f>
        <v>999</v>
      </c>
      <c r="N279" s="87">
        <f ca="1">'Etape 2'!L276</f>
        <v>264</v>
      </c>
      <c r="O279" s="259">
        <f t="shared" si="245"/>
        <v>0.3</v>
      </c>
      <c r="P279" s="259">
        <f t="shared" si="246"/>
        <v>1.1000000000000001</v>
      </c>
      <c r="Q279" s="260">
        <f t="shared" si="247"/>
        <v>0</v>
      </c>
      <c r="R279" s="261">
        <f t="shared" si="230"/>
        <v>0</v>
      </c>
      <c r="S279" s="87">
        <f>IF(ISBLANK('Etape 2'!N276),0,VLOOKUP('Etape 2'!N276,Matrix_Uebersetzung,2,FALSE))</f>
        <v>0</v>
      </c>
      <c r="T279" s="87">
        <f>IF(ISBLANK('Etape 2'!O276),0,VLOOKUP('Etape 2'!O276,Matrix_Uebersetzung,2,FALSE))</f>
        <v>0</v>
      </c>
      <c r="U279" s="87">
        <f>IF(ISBLANK('Etape 2'!P276),0,VLOOKUP('Etape 2'!P276,Matrix_Uebersetzung,2,FALSE))</f>
        <v>0</v>
      </c>
      <c r="V279" s="87" t="str">
        <f>'Etape 2'!Q276</f>
        <v/>
      </c>
      <c r="W279" s="87">
        <f>'Etape 2'!R276</f>
        <v>0</v>
      </c>
      <c r="X279" s="87" t="str">
        <f>'Etape 2'!S276</f>
        <v/>
      </c>
      <c r="Y279" s="89" t="str">
        <f>'Etape 2'!T276</f>
        <v/>
      </c>
      <c r="Z279" s="87">
        <f>'Etape 2'!U276</f>
        <v>0</v>
      </c>
      <c r="AA279" s="87" t="str">
        <f>'Etape 2'!V276</f>
        <v/>
      </c>
      <c r="AB279" s="87">
        <f>IF(ISNUMBER('Etape 2'!W276),'Etape 2'!W276,0)</f>
        <v>0</v>
      </c>
      <c r="AC279" s="87">
        <f>IF(ISNUMBER('Etape 2'!X276),'Etape 2'!X276,0)</f>
        <v>0</v>
      </c>
      <c r="AD279" s="87">
        <f>IF(ISNUMBER('Etape 2'!Y276),'Etape 2'!Y276,0)</f>
        <v>0</v>
      </c>
      <c r="AE279" s="87">
        <f>IF(ISNUMBER('Etape 2'!Z276),'Etape 2'!Z276,0)</f>
        <v>0</v>
      </c>
      <c r="AF279" s="86">
        <f t="shared" si="263"/>
        <v>999</v>
      </c>
      <c r="AG279" s="288">
        <f t="shared" si="264"/>
        <v>0.25</v>
      </c>
      <c r="AH279" s="181" t="e">
        <f t="shared" si="248"/>
        <v>#VALUE!</v>
      </c>
      <c r="AI279" s="181" t="e">
        <f t="shared" si="233"/>
        <v>#VALUE!</v>
      </c>
      <c r="AJ279" s="86">
        <f t="shared" si="249"/>
        <v>200</v>
      </c>
      <c r="AK279" s="91" t="e">
        <f t="shared" si="250"/>
        <v>#N/A</v>
      </c>
      <c r="AL279" s="91" t="e">
        <f t="shared" si="234"/>
        <v>#N/A</v>
      </c>
      <c r="AM279" s="91">
        <f t="shared" si="109"/>
        <v>6</v>
      </c>
      <c r="AN279" s="91" t="e">
        <f t="shared" si="235"/>
        <v>#N/A</v>
      </c>
      <c r="AO279" s="91" t="e">
        <f t="shared" si="236"/>
        <v>#N/A</v>
      </c>
      <c r="AP279" s="21" t="e">
        <f t="shared" si="237"/>
        <v>#N/A</v>
      </c>
      <c r="AQ279" s="21" t="e">
        <f t="shared" si="238"/>
        <v>#N/A</v>
      </c>
      <c r="AR279" s="92" t="str">
        <f t="shared" si="265"/>
        <v/>
      </c>
      <c r="AS279" s="21" t="str">
        <f t="shared" si="266"/>
        <v/>
      </c>
      <c r="AT279" s="59" t="str">
        <f t="shared" si="251"/>
        <v/>
      </c>
      <c r="AU279" s="105">
        <f t="shared" si="113"/>
        <v>1</v>
      </c>
      <c r="AV279" s="105">
        <f t="shared" si="239"/>
        <v>1</v>
      </c>
      <c r="AW279" s="58">
        <f t="shared" si="240"/>
        <v>2</v>
      </c>
      <c r="AX279" s="58">
        <f t="shared" si="241"/>
        <v>3</v>
      </c>
      <c r="AY279" s="58" t="str">
        <f t="shared" si="242"/>
        <v>avec vannes</v>
      </c>
      <c r="AZ279" s="58" t="str">
        <f t="shared" si="243"/>
        <v>fermé</v>
      </c>
      <c r="BA279" s="60">
        <f t="shared" si="273"/>
        <v>0</v>
      </c>
      <c r="BB279" s="60">
        <f t="shared" si="273"/>
        <v>0</v>
      </c>
      <c r="BC279" s="60">
        <f t="shared" si="273"/>
        <v>0</v>
      </c>
      <c r="BD279" s="60">
        <f t="shared" si="273"/>
        <v>0</v>
      </c>
      <c r="BE279" s="286" t="str">
        <f t="shared" si="252"/>
        <v/>
      </c>
      <c r="BF279" s="58" t="str">
        <f t="shared" si="267"/>
        <v/>
      </c>
      <c r="BG279" s="59" t="str">
        <f t="shared" si="253"/>
        <v/>
      </c>
      <c r="BH279" s="158">
        <f t="shared" ca="1" si="254"/>
        <v>1</v>
      </c>
      <c r="BI279" s="60">
        <f t="shared" ca="1" si="255"/>
        <v>0.15</v>
      </c>
      <c r="BJ279" s="60">
        <f t="shared" si="256"/>
        <v>0.2</v>
      </c>
      <c r="BK279" s="60" t="str">
        <f t="shared" si="268"/>
        <v/>
      </c>
      <c r="BL279" s="21" t="str">
        <f t="shared" si="269"/>
        <v/>
      </c>
      <c r="BM279" s="264" t="str">
        <f t="shared" si="257"/>
        <v/>
      </c>
      <c r="BN279" s="60" t="str">
        <f t="shared" si="270"/>
        <v/>
      </c>
      <c r="BO279" s="136">
        <f t="shared" si="271"/>
        <v>0</v>
      </c>
      <c r="BP279" s="59">
        <f t="shared" si="272"/>
        <v>0</v>
      </c>
      <c r="BQ279" s="136">
        <f t="shared" ca="1" si="258"/>
        <v>1464</v>
      </c>
      <c r="BR279" s="136">
        <f t="shared" ca="1" si="259"/>
        <v>1000.8770764119602</v>
      </c>
      <c r="BS279" s="136">
        <f t="shared" ca="1" si="260"/>
        <v>1468800.8770764119</v>
      </c>
      <c r="BT279" s="136">
        <f t="shared" ca="1" si="261"/>
        <v>313875.79980217118</v>
      </c>
      <c r="BU279" s="136">
        <f t="shared" ca="1" si="262"/>
        <v>1000.8770764119602</v>
      </c>
    </row>
    <row r="280" spans="1:73" x14ac:dyDescent="0.2">
      <c r="A280" s="87" t="str">
        <f>'Etape 2'!A277</f>
        <v/>
      </c>
      <c r="B280" s="87">
        <f>'Etape 2'!B277</f>
        <v>265</v>
      </c>
      <c r="C280" s="87">
        <f ca="1">'Etape 2'!C277</f>
        <v>36</v>
      </c>
      <c r="D280" s="87"/>
      <c r="E280" s="61">
        <f ca="1">RANK(BU280,BU$16:BU$315,0)+COUNTIF(BU$16:BU280,BU280)-1</f>
        <v>36</v>
      </c>
      <c r="F280" s="87" t="str">
        <f>'Etape 2'!D277</f>
        <v/>
      </c>
      <c r="G280" s="87" t="str">
        <f>'Etape 2'!E277</f>
        <v/>
      </c>
      <c r="H280" s="87" t="str">
        <f>'Etape 2'!F277</f>
        <v/>
      </c>
      <c r="I280" s="87" t="str">
        <f>'Etape 2'!G277</f>
        <v/>
      </c>
      <c r="J280" s="87" t="str">
        <f>'Etape 2'!H277</f>
        <v/>
      </c>
      <c r="K280" s="87" t="str">
        <f>'Etape 2'!I277</f>
        <v/>
      </c>
      <c r="L280" s="87">
        <f ca="1">'Etape 2'!J277</f>
        <v>999999</v>
      </c>
      <c r="M280" s="87">
        <f>'Etape 2'!K277</f>
        <v>999</v>
      </c>
      <c r="N280" s="87">
        <f ca="1">'Etape 2'!L277</f>
        <v>265</v>
      </c>
      <c r="O280" s="259">
        <f t="shared" si="245"/>
        <v>0.3</v>
      </c>
      <c r="P280" s="259">
        <f t="shared" si="246"/>
        <v>1.1000000000000001</v>
      </c>
      <c r="Q280" s="260">
        <f t="shared" si="247"/>
        <v>0</v>
      </c>
      <c r="R280" s="261">
        <f t="shared" ref="R280:R315" si="274">IF(ISERROR(Q280*I280*J280),0,Q280*I280*J280)</f>
        <v>0</v>
      </c>
      <c r="S280" s="87">
        <f>IF(ISBLANK('Etape 2'!N277),0,VLOOKUP('Etape 2'!N277,Matrix_Uebersetzung,2,FALSE))</f>
        <v>0</v>
      </c>
      <c r="T280" s="87">
        <f>IF(ISBLANK('Etape 2'!O277),0,VLOOKUP('Etape 2'!O277,Matrix_Uebersetzung,2,FALSE))</f>
        <v>0</v>
      </c>
      <c r="U280" s="87">
        <f>IF(ISBLANK('Etape 2'!P277),0,VLOOKUP('Etape 2'!P277,Matrix_Uebersetzung,2,FALSE))</f>
        <v>0</v>
      </c>
      <c r="V280" s="87" t="str">
        <f>'Etape 2'!Q277</f>
        <v/>
      </c>
      <c r="W280" s="87">
        <f>'Etape 2'!R277</f>
        <v>0</v>
      </c>
      <c r="X280" s="87" t="str">
        <f>'Etape 2'!S277</f>
        <v/>
      </c>
      <c r="Y280" s="89" t="str">
        <f>'Etape 2'!T277</f>
        <v/>
      </c>
      <c r="Z280" s="87">
        <f>'Etape 2'!U277</f>
        <v>0</v>
      </c>
      <c r="AA280" s="87" t="str">
        <f>'Etape 2'!V277</f>
        <v/>
      </c>
      <c r="AB280" s="87">
        <f>IF(ISNUMBER('Etape 2'!W277),'Etape 2'!W277,0)</f>
        <v>0</v>
      </c>
      <c r="AC280" s="87">
        <f>IF(ISNUMBER('Etape 2'!X277),'Etape 2'!X277,0)</f>
        <v>0</v>
      </c>
      <c r="AD280" s="87">
        <f>IF(ISNUMBER('Etape 2'!Y277),'Etape 2'!Y277,0)</f>
        <v>0</v>
      </c>
      <c r="AE280" s="87">
        <f>IF(ISNUMBER('Etape 2'!Z277),'Etape 2'!Z277,0)</f>
        <v>0</v>
      </c>
      <c r="AF280" s="86">
        <f t="shared" si="263"/>
        <v>999</v>
      </c>
      <c r="AG280" s="288">
        <f t="shared" si="264"/>
        <v>0.25</v>
      </c>
      <c r="AH280" s="181" t="e">
        <f t="shared" si="248"/>
        <v>#VALUE!</v>
      </c>
      <c r="AI280" s="181" t="e">
        <f t="shared" si="233"/>
        <v>#VALUE!</v>
      </c>
      <c r="AJ280" s="86">
        <f t="shared" si="249"/>
        <v>200</v>
      </c>
      <c r="AK280" s="91" t="e">
        <f t="shared" si="250"/>
        <v>#N/A</v>
      </c>
      <c r="AL280" s="91" t="e">
        <f t="shared" si="234"/>
        <v>#N/A</v>
      </c>
      <c r="AM280" s="91">
        <f t="shared" si="109"/>
        <v>6</v>
      </c>
      <c r="AN280" s="91" t="e">
        <f t="shared" si="235"/>
        <v>#N/A</v>
      </c>
      <c r="AO280" s="91" t="e">
        <f t="shared" si="236"/>
        <v>#N/A</v>
      </c>
      <c r="AP280" s="21" t="e">
        <f t="shared" si="237"/>
        <v>#N/A</v>
      </c>
      <c r="AQ280" s="21" t="e">
        <f t="shared" si="238"/>
        <v>#N/A</v>
      </c>
      <c r="AR280" s="92" t="str">
        <f t="shared" si="265"/>
        <v/>
      </c>
      <c r="AS280" s="21" t="str">
        <f t="shared" si="266"/>
        <v/>
      </c>
      <c r="AT280" s="59" t="str">
        <f t="shared" si="251"/>
        <v/>
      </c>
      <c r="AU280" s="105">
        <f t="shared" si="113"/>
        <v>1</v>
      </c>
      <c r="AV280" s="105">
        <f t="shared" si="239"/>
        <v>1</v>
      </c>
      <c r="AW280" s="58">
        <f t="shared" si="240"/>
        <v>2</v>
      </c>
      <c r="AX280" s="58">
        <f t="shared" si="241"/>
        <v>3</v>
      </c>
      <c r="AY280" s="58" t="str">
        <f t="shared" si="242"/>
        <v>avec vannes</v>
      </c>
      <c r="AZ280" s="58" t="str">
        <f t="shared" si="243"/>
        <v>fermé</v>
      </c>
      <c r="BA280" s="60">
        <f t="shared" si="273"/>
        <v>0</v>
      </c>
      <c r="BB280" s="60">
        <f t="shared" si="273"/>
        <v>0</v>
      </c>
      <c r="BC280" s="60">
        <f t="shared" si="273"/>
        <v>0</v>
      </c>
      <c r="BD280" s="60">
        <f t="shared" si="273"/>
        <v>0</v>
      </c>
      <c r="BE280" s="286" t="str">
        <f t="shared" si="252"/>
        <v/>
      </c>
      <c r="BF280" s="58" t="str">
        <f t="shared" si="267"/>
        <v/>
      </c>
      <c r="BG280" s="59" t="str">
        <f t="shared" si="253"/>
        <v/>
      </c>
      <c r="BH280" s="158">
        <f t="shared" ca="1" si="254"/>
        <v>1</v>
      </c>
      <c r="BI280" s="60">
        <f t="shared" ca="1" si="255"/>
        <v>0.15</v>
      </c>
      <c r="BJ280" s="60">
        <f t="shared" si="256"/>
        <v>0.2</v>
      </c>
      <c r="BK280" s="60" t="str">
        <f t="shared" si="268"/>
        <v/>
      </c>
      <c r="BL280" s="21" t="str">
        <f t="shared" si="269"/>
        <v/>
      </c>
      <c r="BM280" s="264" t="str">
        <f t="shared" si="257"/>
        <v/>
      </c>
      <c r="BN280" s="60" t="str">
        <f t="shared" si="270"/>
        <v/>
      </c>
      <c r="BO280" s="136">
        <f t="shared" si="271"/>
        <v>0</v>
      </c>
      <c r="BP280" s="59">
        <f t="shared" si="272"/>
        <v>0</v>
      </c>
      <c r="BQ280" s="136">
        <f t="shared" ca="1" si="258"/>
        <v>1465</v>
      </c>
      <c r="BR280" s="136">
        <f t="shared" ca="1" si="259"/>
        <v>1000.8803986710964</v>
      </c>
      <c r="BS280" s="136">
        <f t="shared" ca="1" si="260"/>
        <v>1468800.8803986711</v>
      </c>
      <c r="BT280" s="136">
        <f t="shared" ca="1" si="261"/>
        <v>313875.8031244303</v>
      </c>
      <c r="BU280" s="136">
        <f t="shared" ca="1" si="262"/>
        <v>1000.8803986710964</v>
      </c>
    </row>
    <row r="281" spans="1:73" x14ac:dyDescent="0.2">
      <c r="A281" s="87" t="str">
        <f>'Etape 2'!A278</f>
        <v/>
      </c>
      <c r="B281" s="87">
        <f>'Etape 2'!B278</f>
        <v>266</v>
      </c>
      <c r="C281" s="87">
        <f ca="1">'Etape 2'!C278</f>
        <v>35</v>
      </c>
      <c r="D281" s="87"/>
      <c r="E281" s="61">
        <f ca="1">RANK(BU281,BU$16:BU$315,0)+COUNTIF(BU$16:BU281,BU281)-1</f>
        <v>35</v>
      </c>
      <c r="F281" s="87" t="str">
        <f>'Etape 2'!D278</f>
        <v/>
      </c>
      <c r="G281" s="87" t="str">
        <f>'Etape 2'!E278</f>
        <v/>
      </c>
      <c r="H281" s="87" t="str">
        <f>'Etape 2'!F278</f>
        <v/>
      </c>
      <c r="I281" s="87" t="str">
        <f>'Etape 2'!G278</f>
        <v/>
      </c>
      <c r="J281" s="87" t="str">
        <f>'Etape 2'!H278</f>
        <v/>
      </c>
      <c r="K281" s="87" t="str">
        <f>'Etape 2'!I278</f>
        <v/>
      </c>
      <c r="L281" s="87">
        <f ca="1">'Etape 2'!J278</f>
        <v>999999</v>
      </c>
      <c r="M281" s="87">
        <f>'Etape 2'!K278</f>
        <v>999</v>
      </c>
      <c r="N281" s="87">
        <f ca="1">'Etape 2'!L278</f>
        <v>266</v>
      </c>
      <c r="O281" s="259">
        <f t="shared" si="245"/>
        <v>0.3</v>
      </c>
      <c r="P281" s="259">
        <f t="shared" si="246"/>
        <v>1.1000000000000001</v>
      </c>
      <c r="Q281" s="260">
        <f t="shared" si="247"/>
        <v>0</v>
      </c>
      <c r="R281" s="261">
        <f t="shared" si="274"/>
        <v>0</v>
      </c>
      <c r="S281" s="87">
        <f>IF(ISBLANK('Etape 2'!N278),0,VLOOKUP('Etape 2'!N278,Matrix_Uebersetzung,2,FALSE))</f>
        <v>0</v>
      </c>
      <c r="T281" s="87">
        <f>IF(ISBLANK('Etape 2'!O278),0,VLOOKUP('Etape 2'!O278,Matrix_Uebersetzung,2,FALSE))</f>
        <v>0</v>
      </c>
      <c r="U281" s="87">
        <f>IF(ISBLANK('Etape 2'!P278),0,VLOOKUP('Etape 2'!P278,Matrix_Uebersetzung,2,FALSE))</f>
        <v>0</v>
      </c>
      <c r="V281" s="87" t="str">
        <f>'Etape 2'!Q278</f>
        <v/>
      </c>
      <c r="W281" s="87">
        <f>'Etape 2'!R278</f>
        <v>0</v>
      </c>
      <c r="X281" s="87" t="str">
        <f>'Etape 2'!S278</f>
        <v/>
      </c>
      <c r="Y281" s="89" t="str">
        <f>'Etape 2'!T278</f>
        <v/>
      </c>
      <c r="Z281" s="87">
        <f>'Etape 2'!U278</f>
        <v>0</v>
      </c>
      <c r="AA281" s="87" t="str">
        <f>'Etape 2'!V278</f>
        <v/>
      </c>
      <c r="AB281" s="87">
        <f>IF(ISNUMBER('Etape 2'!W278),'Etape 2'!W278,0)</f>
        <v>0</v>
      </c>
      <c r="AC281" s="87">
        <f>IF(ISNUMBER('Etape 2'!X278),'Etape 2'!X278,0)</f>
        <v>0</v>
      </c>
      <c r="AD281" s="87">
        <f>IF(ISNUMBER('Etape 2'!Y278),'Etape 2'!Y278,0)</f>
        <v>0</v>
      </c>
      <c r="AE281" s="87">
        <f>IF(ISNUMBER('Etape 2'!Z278),'Etape 2'!Z278,0)</f>
        <v>0</v>
      </c>
      <c r="AF281" s="86">
        <f t="shared" si="263"/>
        <v>999</v>
      </c>
      <c r="AG281" s="288">
        <f t="shared" si="264"/>
        <v>0.25</v>
      </c>
      <c r="AH281" s="181" t="e">
        <f t="shared" si="248"/>
        <v>#VALUE!</v>
      </c>
      <c r="AI281" s="181" t="e">
        <f t="shared" si="233"/>
        <v>#VALUE!</v>
      </c>
      <c r="AJ281" s="86">
        <f t="shared" si="249"/>
        <v>200</v>
      </c>
      <c r="AK281" s="91" t="e">
        <f t="shared" si="250"/>
        <v>#N/A</v>
      </c>
      <c r="AL281" s="91" t="e">
        <f t="shared" si="234"/>
        <v>#N/A</v>
      </c>
      <c r="AM281" s="91">
        <f t="shared" si="109"/>
        <v>6</v>
      </c>
      <c r="AN281" s="91" t="e">
        <f t="shared" si="235"/>
        <v>#N/A</v>
      </c>
      <c r="AO281" s="91" t="e">
        <f t="shared" si="236"/>
        <v>#N/A</v>
      </c>
      <c r="AP281" s="21" t="e">
        <f t="shared" si="237"/>
        <v>#N/A</v>
      </c>
      <c r="AQ281" s="21" t="e">
        <f t="shared" si="238"/>
        <v>#N/A</v>
      </c>
      <c r="AR281" s="92" t="str">
        <f t="shared" si="265"/>
        <v/>
      </c>
      <c r="AS281" s="21" t="str">
        <f t="shared" si="266"/>
        <v/>
      </c>
      <c r="AT281" s="59" t="str">
        <f t="shared" si="251"/>
        <v/>
      </c>
      <c r="AU281" s="105">
        <f t="shared" si="113"/>
        <v>1</v>
      </c>
      <c r="AV281" s="105">
        <f t="shared" si="239"/>
        <v>1</v>
      </c>
      <c r="AW281" s="58">
        <f t="shared" si="240"/>
        <v>2</v>
      </c>
      <c r="AX281" s="58">
        <f t="shared" si="241"/>
        <v>3</v>
      </c>
      <c r="AY281" s="58" t="str">
        <f t="shared" si="242"/>
        <v>avec vannes</v>
      </c>
      <c r="AZ281" s="58" t="str">
        <f t="shared" si="243"/>
        <v>fermé</v>
      </c>
      <c r="BA281" s="60">
        <f t="shared" si="273"/>
        <v>0</v>
      </c>
      <c r="BB281" s="60">
        <f t="shared" si="273"/>
        <v>0</v>
      </c>
      <c r="BC281" s="60">
        <f t="shared" si="273"/>
        <v>0</v>
      </c>
      <c r="BD281" s="60">
        <f t="shared" si="273"/>
        <v>0</v>
      </c>
      <c r="BE281" s="286" t="str">
        <f t="shared" si="252"/>
        <v/>
      </c>
      <c r="BF281" s="58" t="str">
        <f t="shared" si="267"/>
        <v/>
      </c>
      <c r="BG281" s="59" t="str">
        <f t="shared" si="253"/>
        <v/>
      </c>
      <c r="BH281" s="158">
        <f t="shared" ca="1" si="254"/>
        <v>1</v>
      </c>
      <c r="BI281" s="60">
        <f t="shared" ca="1" si="255"/>
        <v>0.15</v>
      </c>
      <c r="BJ281" s="60">
        <f t="shared" si="256"/>
        <v>0.2</v>
      </c>
      <c r="BK281" s="60" t="str">
        <f t="shared" si="268"/>
        <v/>
      </c>
      <c r="BL281" s="21" t="str">
        <f t="shared" si="269"/>
        <v/>
      </c>
      <c r="BM281" s="264" t="str">
        <f t="shared" si="257"/>
        <v/>
      </c>
      <c r="BN281" s="60" t="str">
        <f t="shared" si="270"/>
        <v/>
      </c>
      <c r="BO281" s="136">
        <f t="shared" si="271"/>
        <v>0</v>
      </c>
      <c r="BP281" s="59">
        <f t="shared" si="272"/>
        <v>0</v>
      </c>
      <c r="BQ281" s="136">
        <f t="shared" ca="1" si="258"/>
        <v>1466</v>
      </c>
      <c r="BR281" s="136">
        <f t="shared" ca="1" si="259"/>
        <v>1000.8837209302326</v>
      </c>
      <c r="BS281" s="136">
        <f t="shared" ca="1" si="260"/>
        <v>1468800.8837209302</v>
      </c>
      <c r="BT281" s="136">
        <f t="shared" ca="1" si="261"/>
        <v>313875.80644668947</v>
      </c>
      <c r="BU281" s="136">
        <f t="shared" ca="1" si="262"/>
        <v>1000.8837209302326</v>
      </c>
    </row>
    <row r="282" spans="1:73" x14ac:dyDescent="0.2">
      <c r="A282" s="87" t="str">
        <f>'Etape 2'!A279</f>
        <v/>
      </c>
      <c r="B282" s="87">
        <f>'Etape 2'!B279</f>
        <v>267</v>
      </c>
      <c r="C282" s="87">
        <f ca="1">'Etape 2'!C279</f>
        <v>34</v>
      </c>
      <c r="D282" s="87"/>
      <c r="E282" s="61">
        <f ca="1">RANK(BU282,BU$16:BU$315,0)+COUNTIF(BU$16:BU282,BU282)-1</f>
        <v>34</v>
      </c>
      <c r="F282" s="87" t="str">
        <f>'Etape 2'!D279</f>
        <v/>
      </c>
      <c r="G282" s="87" t="str">
        <f>'Etape 2'!E279</f>
        <v/>
      </c>
      <c r="H282" s="87" t="str">
        <f>'Etape 2'!F279</f>
        <v/>
      </c>
      <c r="I282" s="87" t="str">
        <f>'Etape 2'!G279</f>
        <v/>
      </c>
      <c r="J282" s="87" t="str">
        <f>'Etape 2'!H279</f>
        <v/>
      </c>
      <c r="K282" s="87" t="str">
        <f>'Etape 2'!I279</f>
        <v/>
      </c>
      <c r="L282" s="87">
        <f ca="1">'Etape 2'!J279</f>
        <v>999999</v>
      </c>
      <c r="M282" s="87">
        <f>'Etape 2'!K279</f>
        <v>999</v>
      </c>
      <c r="N282" s="87">
        <f ca="1">'Etape 2'!L279</f>
        <v>267</v>
      </c>
      <c r="O282" s="259">
        <f t="shared" si="245"/>
        <v>0.3</v>
      </c>
      <c r="P282" s="259">
        <f t="shared" si="246"/>
        <v>1.1000000000000001</v>
      </c>
      <c r="Q282" s="260">
        <f t="shared" si="247"/>
        <v>0</v>
      </c>
      <c r="R282" s="261">
        <f t="shared" si="274"/>
        <v>0</v>
      </c>
      <c r="S282" s="87">
        <f>IF(ISBLANK('Etape 2'!N279),0,VLOOKUP('Etape 2'!N279,Matrix_Uebersetzung,2,FALSE))</f>
        <v>0</v>
      </c>
      <c r="T282" s="87">
        <f>IF(ISBLANK('Etape 2'!O279),0,VLOOKUP('Etape 2'!O279,Matrix_Uebersetzung,2,FALSE))</f>
        <v>0</v>
      </c>
      <c r="U282" s="87">
        <f>IF(ISBLANK('Etape 2'!P279),0,VLOOKUP('Etape 2'!P279,Matrix_Uebersetzung,2,FALSE))</f>
        <v>0</v>
      </c>
      <c r="V282" s="87" t="str">
        <f>'Etape 2'!Q279</f>
        <v/>
      </c>
      <c r="W282" s="87">
        <f>'Etape 2'!R279</f>
        <v>0</v>
      </c>
      <c r="X282" s="87" t="str">
        <f>'Etape 2'!S279</f>
        <v/>
      </c>
      <c r="Y282" s="89" t="str">
        <f>'Etape 2'!T279</f>
        <v/>
      </c>
      <c r="Z282" s="87">
        <f>'Etape 2'!U279</f>
        <v>0</v>
      </c>
      <c r="AA282" s="87" t="str">
        <f>'Etape 2'!V279</f>
        <v/>
      </c>
      <c r="AB282" s="87">
        <f>IF(ISNUMBER('Etape 2'!W279),'Etape 2'!W279,0)</f>
        <v>0</v>
      </c>
      <c r="AC282" s="87">
        <f>IF(ISNUMBER('Etape 2'!X279),'Etape 2'!X279,0)</f>
        <v>0</v>
      </c>
      <c r="AD282" s="87">
        <f>IF(ISNUMBER('Etape 2'!Y279),'Etape 2'!Y279,0)</f>
        <v>0</v>
      </c>
      <c r="AE282" s="87">
        <f>IF(ISNUMBER('Etape 2'!Z279),'Etape 2'!Z279,0)</f>
        <v>0</v>
      </c>
      <c r="AF282" s="86">
        <f t="shared" si="263"/>
        <v>999</v>
      </c>
      <c r="AG282" s="288">
        <f t="shared" si="264"/>
        <v>0.25</v>
      </c>
      <c r="AH282" s="181" t="e">
        <f t="shared" si="248"/>
        <v>#VALUE!</v>
      </c>
      <c r="AI282" s="181" t="e">
        <f t="shared" si="233"/>
        <v>#VALUE!</v>
      </c>
      <c r="AJ282" s="86">
        <f t="shared" si="249"/>
        <v>200</v>
      </c>
      <c r="AK282" s="91" t="e">
        <f t="shared" si="250"/>
        <v>#N/A</v>
      </c>
      <c r="AL282" s="91" t="e">
        <f t="shared" si="234"/>
        <v>#N/A</v>
      </c>
      <c r="AM282" s="91">
        <f t="shared" si="109"/>
        <v>6</v>
      </c>
      <c r="AN282" s="91" t="e">
        <f t="shared" si="235"/>
        <v>#N/A</v>
      </c>
      <c r="AO282" s="91" t="e">
        <f t="shared" si="236"/>
        <v>#N/A</v>
      </c>
      <c r="AP282" s="21" t="e">
        <f t="shared" si="237"/>
        <v>#N/A</v>
      </c>
      <c r="AQ282" s="21" t="e">
        <f t="shared" si="238"/>
        <v>#N/A</v>
      </c>
      <c r="AR282" s="92" t="str">
        <f t="shared" si="265"/>
        <v/>
      </c>
      <c r="AS282" s="21" t="str">
        <f t="shared" si="266"/>
        <v/>
      </c>
      <c r="AT282" s="59" t="str">
        <f t="shared" si="251"/>
        <v/>
      </c>
      <c r="AU282" s="105">
        <f t="shared" si="113"/>
        <v>1</v>
      </c>
      <c r="AV282" s="105">
        <f t="shared" si="239"/>
        <v>1</v>
      </c>
      <c r="AW282" s="58">
        <f t="shared" si="240"/>
        <v>2</v>
      </c>
      <c r="AX282" s="58">
        <f t="shared" si="241"/>
        <v>3</v>
      </c>
      <c r="AY282" s="58" t="str">
        <f t="shared" si="242"/>
        <v>avec vannes</v>
      </c>
      <c r="AZ282" s="58" t="str">
        <f t="shared" si="243"/>
        <v>fermé</v>
      </c>
      <c r="BA282" s="60">
        <f t="shared" si="273"/>
        <v>0</v>
      </c>
      <c r="BB282" s="60">
        <f t="shared" si="273"/>
        <v>0</v>
      </c>
      <c r="BC282" s="60">
        <f t="shared" si="273"/>
        <v>0</v>
      </c>
      <c r="BD282" s="60">
        <f t="shared" si="273"/>
        <v>0</v>
      </c>
      <c r="BE282" s="286" t="str">
        <f t="shared" si="252"/>
        <v/>
      </c>
      <c r="BF282" s="58" t="str">
        <f t="shared" si="267"/>
        <v/>
      </c>
      <c r="BG282" s="59" t="str">
        <f t="shared" si="253"/>
        <v/>
      </c>
      <c r="BH282" s="158">
        <f t="shared" ca="1" si="254"/>
        <v>1</v>
      </c>
      <c r="BI282" s="60">
        <f t="shared" ca="1" si="255"/>
        <v>0.15</v>
      </c>
      <c r="BJ282" s="60">
        <f t="shared" si="256"/>
        <v>0.2</v>
      </c>
      <c r="BK282" s="60" t="str">
        <f t="shared" si="268"/>
        <v/>
      </c>
      <c r="BL282" s="21" t="str">
        <f t="shared" si="269"/>
        <v/>
      </c>
      <c r="BM282" s="264" t="str">
        <f t="shared" si="257"/>
        <v/>
      </c>
      <c r="BN282" s="60" t="str">
        <f t="shared" si="270"/>
        <v/>
      </c>
      <c r="BO282" s="136">
        <f t="shared" si="271"/>
        <v>0</v>
      </c>
      <c r="BP282" s="59">
        <f t="shared" si="272"/>
        <v>0</v>
      </c>
      <c r="BQ282" s="136">
        <f t="shared" ca="1" si="258"/>
        <v>1467</v>
      </c>
      <c r="BR282" s="136">
        <f t="shared" ca="1" si="259"/>
        <v>1000.8870431893688</v>
      </c>
      <c r="BS282" s="136">
        <f t="shared" ca="1" si="260"/>
        <v>1468800.8870431893</v>
      </c>
      <c r="BT282" s="136">
        <f t="shared" ca="1" si="261"/>
        <v>313875.80976894859</v>
      </c>
      <c r="BU282" s="136">
        <f t="shared" ca="1" si="262"/>
        <v>1000.8870431893688</v>
      </c>
    </row>
    <row r="283" spans="1:73" x14ac:dyDescent="0.2">
      <c r="A283" s="87" t="str">
        <f>'Etape 2'!A280</f>
        <v/>
      </c>
      <c r="B283" s="87">
        <f>'Etape 2'!B280</f>
        <v>268</v>
      </c>
      <c r="C283" s="87">
        <f ca="1">'Etape 2'!C280</f>
        <v>33</v>
      </c>
      <c r="D283" s="87"/>
      <c r="E283" s="61">
        <f ca="1">RANK(BU283,BU$16:BU$315,0)+COUNTIF(BU$16:BU283,BU283)-1</f>
        <v>33</v>
      </c>
      <c r="F283" s="87" t="str">
        <f>'Etape 2'!D280</f>
        <v/>
      </c>
      <c r="G283" s="87" t="str">
        <f>'Etape 2'!E280</f>
        <v/>
      </c>
      <c r="H283" s="87" t="str">
        <f>'Etape 2'!F280</f>
        <v/>
      </c>
      <c r="I283" s="87" t="str">
        <f>'Etape 2'!G280</f>
        <v/>
      </c>
      <c r="J283" s="87" t="str">
        <f>'Etape 2'!H280</f>
        <v/>
      </c>
      <c r="K283" s="87" t="str">
        <f>'Etape 2'!I280</f>
        <v/>
      </c>
      <c r="L283" s="87">
        <f ca="1">'Etape 2'!J280</f>
        <v>999999</v>
      </c>
      <c r="M283" s="87">
        <f>'Etape 2'!K280</f>
        <v>999</v>
      </c>
      <c r="N283" s="87">
        <f ca="1">'Etape 2'!L280</f>
        <v>268</v>
      </c>
      <c r="O283" s="259">
        <f t="shared" si="245"/>
        <v>0.3</v>
      </c>
      <c r="P283" s="259">
        <f t="shared" si="246"/>
        <v>1.1000000000000001</v>
      </c>
      <c r="Q283" s="260">
        <f t="shared" si="247"/>
        <v>0</v>
      </c>
      <c r="R283" s="261">
        <f t="shared" si="274"/>
        <v>0</v>
      </c>
      <c r="S283" s="87">
        <f>IF(ISBLANK('Etape 2'!N280),0,VLOOKUP('Etape 2'!N280,Matrix_Uebersetzung,2,FALSE))</f>
        <v>0</v>
      </c>
      <c r="T283" s="87">
        <f>IF(ISBLANK('Etape 2'!O280),0,VLOOKUP('Etape 2'!O280,Matrix_Uebersetzung,2,FALSE))</f>
        <v>0</v>
      </c>
      <c r="U283" s="87">
        <f>IF(ISBLANK('Etape 2'!P280),0,VLOOKUP('Etape 2'!P280,Matrix_Uebersetzung,2,FALSE))</f>
        <v>0</v>
      </c>
      <c r="V283" s="87" t="str">
        <f>'Etape 2'!Q280</f>
        <v/>
      </c>
      <c r="W283" s="87">
        <f>'Etape 2'!R280</f>
        <v>0</v>
      </c>
      <c r="X283" s="87" t="str">
        <f>'Etape 2'!S280</f>
        <v/>
      </c>
      <c r="Y283" s="89" t="str">
        <f>'Etape 2'!T280</f>
        <v/>
      </c>
      <c r="Z283" s="87">
        <f>'Etape 2'!U280</f>
        <v>0</v>
      </c>
      <c r="AA283" s="87" t="str">
        <f>'Etape 2'!V280</f>
        <v/>
      </c>
      <c r="AB283" s="87">
        <f>IF(ISNUMBER('Etape 2'!W280),'Etape 2'!W280,0)</f>
        <v>0</v>
      </c>
      <c r="AC283" s="87">
        <f>IF(ISNUMBER('Etape 2'!X280),'Etape 2'!X280,0)</f>
        <v>0</v>
      </c>
      <c r="AD283" s="87">
        <f>IF(ISNUMBER('Etape 2'!Y280),'Etape 2'!Y280,0)</f>
        <v>0</v>
      </c>
      <c r="AE283" s="87">
        <f>IF(ISNUMBER('Etape 2'!Z280),'Etape 2'!Z280,0)</f>
        <v>0</v>
      </c>
      <c r="AF283" s="86">
        <f t="shared" si="263"/>
        <v>999</v>
      </c>
      <c r="AG283" s="288">
        <f t="shared" si="264"/>
        <v>0.25</v>
      </c>
      <c r="AH283" s="181" t="e">
        <f t="shared" si="248"/>
        <v>#VALUE!</v>
      </c>
      <c r="AI283" s="181" t="e">
        <f t="shared" si="233"/>
        <v>#VALUE!</v>
      </c>
      <c r="AJ283" s="86">
        <f t="shared" si="249"/>
        <v>200</v>
      </c>
      <c r="AK283" s="91" t="e">
        <f t="shared" si="250"/>
        <v>#N/A</v>
      </c>
      <c r="AL283" s="91" t="e">
        <f t="shared" si="234"/>
        <v>#N/A</v>
      </c>
      <c r="AM283" s="91">
        <f t="shared" si="109"/>
        <v>6</v>
      </c>
      <c r="AN283" s="91" t="e">
        <f t="shared" si="235"/>
        <v>#N/A</v>
      </c>
      <c r="AO283" s="91" t="e">
        <f t="shared" si="236"/>
        <v>#N/A</v>
      </c>
      <c r="AP283" s="21" t="e">
        <f t="shared" si="237"/>
        <v>#N/A</v>
      </c>
      <c r="AQ283" s="21" t="e">
        <f t="shared" si="238"/>
        <v>#N/A</v>
      </c>
      <c r="AR283" s="92" t="str">
        <f t="shared" si="265"/>
        <v/>
      </c>
      <c r="AS283" s="21" t="str">
        <f t="shared" si="266"/>
        <v/>
      </c>
      <c r="AT283" s="59" t="str">
        <f t="shared" si="251"/>
        <v/>
      </c>
      <c r="AU283" s="105">
        <f t="shared" si="113"/>
        <v>1</v>
      </c>
      <c r="AV283" s="105">
        <f t="shared" si="239"/>
        <v>1</v>
      </c>
      <c r="AW283" s="58">
        <f t="shared" si="240"/>
        <v>2</v>
      </c>
      <c r="AX283" s="58">
        <f t="shared" si="241"/>
        <v>3</v>
      </c>
      <c r="AY283" s="58" t="str">
        <f t="shared" si="242"/>
        <v>avec vannes</v>
      </c>
      <c r="AZ283" s="58" t="str">
        <f t="shared" si="243"/>
        <v>fermé</v>
      </c>
      <c r="BA283" s="60">
        <f t="shared" si="273"/>
        <v>0</v>
      </c>
      <c r="BB283" s="60">
        <f t="shared" si="273"/>
        <v>0</v>
      </c>
      <c r="BC283" s="60">
        <f t="shared" si="273"/>
        <v>0</v>
      </c>
      <c r="BD283" s="60">
        <f t="shared" si="273"/>
        <v>0</v>
      </c>
      <c r="BE283" s="286" t="str">
        <f t="shared" si="252"/>
        <v/>
      </c>
      <c r="BF283" s="58" t="str">
        <f t="shared" si="267"/>
        <v/>
      </c>
      <c r="BG283" s="59" t="str">
        <f t="shared" si="253"/>
        <v/>
      </c>
      <c r="BH283" s="158">
        <f t="shared" ca="1" si="254"/>
        <v>1</v>
      </c>
      <c r="BI283" s="60">
        <f t="shared" ca="1" si="255"/>
        <v>0.15</v>
      </c>
      <c r="BJ283" s="60">
        <f t="shared" si="256"/>
        <v>0.2</v>
      </c>
      <c r="BK283" s="60" t="str">
        <f t="shared" si="268"/>
        <v/>
      </c>
      <c r="BL283" s="21" t="str">
        <f t="shared" si="269"/>
        <v/>
      </c>
      <c r="BM283" s="264" t="str">
        <f t="shared" si="257"/>
        <v/>
      </c>
      <c r="BN283" s="60" t="str">
        <f t="shared" si="270"/>
        <v/>
      </c>
      <c r="BO283" s="136">
        <f t="shared" si="271"/>
        <v>0</v>
      </c>
      <c r="BP283" s="59">
        <f t="shared" si="272"/>
        <v>0</v>
      </c>
      <c r="BQ283" s="136">
        <f t="shared" ca="1" si="258"/>
        <v>1468</v>
      </c>
      <c r="BR283" s="136">
        <f t="shared" ca="1" si="259"/>
        <v>1000.890365448505</v>
      </c>
      <c r="BS283" s="136">
        <f t="shared" ca="1" si="260"/>
        <v>1468800.8903654485</v>
      </c>
      <c r="BT283" s="136">
        <f t="shared" ca="1" si="261"/>
        <v>313875.8130912077</v>
      </c>
      <c r="BU283" s="136">
        <f t="shared" ca="1" si="262"/>
        <v>1000.890365448505</v>
      </c>
    </row>
    <row r="284" spans="1:73" x14ac:dyDescent="0.2">
      <c r="A284" s="87" t="str">
        <f>'Etape 2'!A281</f>
        <v/>
      </c>
      <c r="B284" s="87">
        <f>'Etape 2'!B281</f>
        <v>269</v>
      </c>
      <c r="C284" s="87">
        <f ca="1">'Etape 2'!C281</f>
        <v>32</v>
      </c>
      <c r="D284" s="87"/>
      <c r="E284" s="61">
        <f ca="1">RANK(BU284,BU$16:BU$315,0)+COUNTIF(BU$16:BU284,BU284)-1</f>
        <v>32</v>
      </c>
      <c r="F284" s="87" t="str">
        <f>'Etape 2'!D281</f>
        <v/>
      </c>
      <c r="G284" s="87" t="str">
        <f>'Etape 2'!E281</f>
        <v/>
      </c>
      <c r="H284" s="87" t="str">
        <f>'Etape 2'!F281</f>
        <v/>
      </c>
      <c r="I284" s="87" t="str">
        <f>'Etape 2'!G281</f>
        <v/>
      </c>
      <c r="J284" s="87" t="str">
        <f>'Etape 2'!H281</f>
        <v/>
      </c>
      <c r="K284" s="87" t="str">
        <f>'Etape 2'!I281</f>
        <v/>
      </c>
      <c r="L284" s="87">
        <f ca="1">'Etape 2'!J281</f>
        <v>999999</v>
      </c>
      <c r="M284" s="87">
        <f>'Etape 2'!K281</f>
        <v>999</v>
      </c>
      <c r="N284" s="87">
        <f ca="1">'Etape 2'!L281</f>
        <v>269</v>
      </c>
      <c r="O284" s="259">
        <f t="shared" si="245"/>
        <v>0.3</v>
      </c>
      <c r="P284" s="259">
        <f t="shared" si="246"/>
        <v>1.1000000000000001</v>
      </c>
      <c r="Q284" s="260">
        <f t="shared" si="247"/>
        <v>0</v>
      </c>
      <c r="R284" s="261">
        <f t="shared" si="274"/>
        <v>0</v>
      </c>
      <c r="S284" s="87">
        <f>IF(ISBLANK('Etape 2'!N281),0,VLOOKUP('Etape 2'!N281,Matrix_Uebersetzung,2,FALSE))</f>
        <v>0</v>
      </c>
      <c r="T284" s="87">
        <f>IF(ISBLANK('Etape 2'!O281),0,VLOOKUP('Etape 2'!O281,Matrix_Uebersetzung,2,FALSE))</f>
        <v>0</v>
      </c>
      <c r="U284" s="87">
        <f>IF(ISBLANK('Etape 2'!P281),0,VLOOKUP('Etape 2'!P281,Matrix_Uebersetzung,2,FALSE))</f>
        <v>0</v>
      </c>
      <c r="V284" s="87" t="str">
        <f>'Etape 2'!Q281</f>
        <v/>
      </c>
      <c r="W284" s="87">
        <f>'Etape 2'!R281</f>
        <v>0</v>
      </c>
      <c r="X284" s="87" t="str">
        <f>'Etape 2'!S281</f>
        <v/>
      </c>
      <c r="Y284" s="89" t="str">
        <f>'Etape 2'!T281</f>
        <v/>
      </c>
      <c r="Z284" s="87">
        <f>'Etape 2'!U281</f>
        <v>0</v>
      </c>
      <c r="AA284" s="87" t="str">
        <f>'Etape 2'!V281</f>
        <v/>
      </c>
      <c r="AB284" s="87">
        <f>IF(ISNUMBER('Etape 2'!W281),'Etape 2'!W281,0)</f>
        <v>0</v>
      </c>
      <c r="AC284" s="87">
        <f>IF(ISNUMBER('Etape 2'!X281),'Etape 2'!X281,0)</f>
        <v>0</v>
      </c>
      <c r="AD284" s="87">
        <f>IF(ISNUMBER('Etape 2'!Y281),'Etape 2'!Y281,0)</f>
        <v>0</v>
      </c>
      <c r="AE284" s="87">
        <f>IF(ISNUMBER('Etape 2'!Z281),'Etape 2'!Z281,0)</f>
        <v>0</v>
      </c>
      <c r="AF284" s="86">
        <f t="shared" si="263"/>
        <v>999</v>
      </c>
      <c r="AG284" s="288">
        <f t="shared" si="264"/>
        <v>0.25</v>
      </c>
      <c r="AH284" s="181" t="e">
        <f t="shared" si="248"/>
        <v>#VALUE!</v>
      </c>
      <c r="AI284" s="181" t="e">
        <f t="shared" si="233"/>
        <v>#VALUE!</v>
      </c>
      <c r="AJ284" s="86">
        <f t="shared" si="249"/>
        <v>200</v>
      </c>
      <c r="AK284" s="91" t="e">
        <f t="shared" si="250"/>
        <v>#N/A</v>
      </c>
      <c r="AL284" s="91" t="e">
        <f t="shared" si="234"/>
        <v>#N/A</v>
      </c>
      <c r="AM284" s="91">
        <f t="shared" si="109"/>
        <v>6</v>
      </c>
      <c r="AN284" s="91" t="e">
        <f t="shared" si="235"/>
        <v>#N/A</v>
      </c>
      <c r="AO284" s="91" t="e">
        <f t="shared" si="236"/>
        <v>#N/A</v>
      </c>
      <c r="AP284" s="21" t="e">
        <f t="shared" si="237"/>
        <v>#N/A</v>
      </c>
      <c r="AQ284" s="21" t="e">
        <f t="shared" si="238"/>
        <v>#N/A</v>
      </c>
      <c r="AR284" s="92" t="str">
        <f t="shared" si="265"/>
        <v/>
      </c>
      <c r="AS284" s="21" t="str">
        <f t="shared" si="266"/>
        <v/>
      </c>
      <c r="AT284" s="59" t="str">
        <f t="shared" si="251"/>
        <v/>
      </c>
      <c r="AU284" s="105">
        <f t="shared" si="113"/>
        <v>1</v>
      </c>
      <c r="AV284" s="105">
        <f t="shared" si="239"/>
        <v>1</v>
      </c>
      <c r="AW284" s="58">
        <f t="shared" si="240"/>
        <v>2</v>
      </c>
      <c r="AX284" s="58">
        <f t="shared" si="241"/>
        <v>3</v>
      </c>
      <c r="AY284" s="58" t="str">
        <f t="shared" si="242"/>
        <v>avec vannes</v>
      </c>
      <c r="AZ284" s="58" t="str">
        <f t="shared" si="243"/>
        <v>fermé</v>
      </c>
      <c r="BA284" s="60">
        <f t="shared" si="273"/>
        <v>0</v>
      </c>
      <c r="BB284" s="60">
        <f t="shared" si="273"/>
        <v>0</v>
      </c>
      <c r="BC284" s="60">
        <f t="shared" si="273"/>
        <v>0</v>
      </c>
      <c r="BD284" s="60">
        <f t="shared" si="273"/>
        <v>0</v>
      </c>
      <c r="BE284" s="286" t="str">
        <f t="shared" si="252"/>
        <v/>
      </c>
      <c r="BF284" s="58" t="str">
        <f t="shared" si="267"/>
        <v/>
      </c>
      <c r="BG284" s="59" t="str">
        <f t="shared" si="253"/>
        <v/>
      </c>
      <c r="BH284" s="158">
        <f t="shared" ca="1" si="254"/>
        <v>1</v>
      </c>
      <c r="BI284" s="60">
        <f t="shared" ca="1" si="255"/>
        <v>0.15</v>
      </c>
      <c r="BJ284" s="60">
        <f t="shared" si="256"/>
        <v>0.2</v>
      </c>
      <c r="BK284" s="60" t="str">
        <f t="shared" si="268"/>
        <v/>
      </c>
      <c r="BL284" s="21" t="str">
        <f t="shared" si="269"/>
        <v/>
      </c>
      <c r="BM284" s="264" t="str">
        <f t="shared" si="257"/>
        <v/>
      </c>
      <c r="BN284" s="60" t="str">
        <f t="shared" si="270"/>
        <v/>
      </c>
      <c r="BO284" s="136">
        <f t="shared" si="271"/>
        <v>0</v>
      </c>
      <c r="BP284" s="59">
        <f t="shared" si="272"/>
        <v>0</v>
      </c>
      <c r="BQ284" s="136">
        <f t="shared" ca="1" si="258"/>
        <v>1469</v>
      </c>
      <c r="BR284" s="136">
        <f t="shared" ca="1" si="259"/>
        <v>1000.8936877076412</v>
      </c>
      <c r="BS284" s="136">
        <f t="shared" ca="1" si="260"/>
        <v>1468800.8936877076</v>
      </c>
      <c r="BT284" s="136">
        <f t="shared" ca="1" si="261"/>
        <v>313875.81641346688</v>
      </c>
      <c r="BU284" s="136">
        <f t="shared" ca="1" si="262"/>
        <v>1000.8936877076412</v>
      </c>
    </row>
    <row r="285" spans="1:73" x14ac:dyDescent="0.2">
      <c r="A285" s="87" t="str">
        <f>'Etape 2'!A282</f>
        <v/>
      </c>
      <c r="B285" s="87">
        <f>'Etape 2'!B282</f>
        <v>270</v>
      </c>
      <c r="C285" s="87">
        <f ca="1">'Etape 2'!C282</f>
        <v>31</v>
      </c>
      <c r="D285" s="87"/>
      <c r="E285" s="61">
        <f ca="1">RANK(BU285,BU$16:BU$315,0)+COUNTIF(BU$16:BU285,BU285)-1</f>
        <v>31</v>
      </c>
      <c r="F285" s="87" t="str">
        <f>'Etape 2'!D282</f>
        <v/>
      </c>
      <c r="G285" s="87" t="str">
        <f>'Etape 2'!E282</f>
        <v/>
      </c>
      <c r="H285" s="87" t="str">
        <f>'Etape 2'!F282</f>
        <v/>
      </c>
      <c r="I285" s="87" t="str">
        <f>'Etape 2'!G282</f>
        <v/>
      </c>
      <c r="J285" s="87" t="str">
        <f>'Etape 2'!H282</f>
        <v/>
      </c>
      <c r="K285" s="87" t="str">
        <f>'Etape 2'!I282</f>
        <v/>
      </c>
      <c r="L285" s="87">
        <f ca="1">'Etape 2'!J282</f>
        <v>999999</v>
      </c>
      <c r="M285" s="87">
        <f>'Etape 2'!K282</f>
        <v>999</v>
      </c>
      <c r="N285" s="87">
        <f ca="1">'Etape 2'!L282</f>
        <v>270</v>
      </c>
      <c r="O285" s="259">
        <f t="shared" si="245"/>
        <v>0.3</v>
      </c>
      <c r="P285" s="259">
        <f t="shared" si="246"/>
        <v>1.1000000000000001</v>
      </c>
      <c r="Q285" s="260">
        <f t="shared" si="247"/>
        <v>0</v>
      </c>
      <c r="R285" s="261">
        <f t="shared" si="274"/>
        <v>0</v>
      </c>
      <c r="S285" s="87">
        <f>IF(ISBLANK('Etape 2'!N282),0,VLOOKUP('Etape 2'!N282,Matrix_Uebersetzung,2,FALSE))</f>
        <v>0</v>
      </c>
      <c r="T285" s="87">
        <f>IF(ISBLANK('Etape 2'!O282),0,VLOOKUP('Etape 2'!O282,Matrix_Uebersetzung,2,FALSE))</f>
        <v>0</v>
      </c>
      <c r="U285" s="87">
        <f>IF(ISBLANK('Etape 2'!P282),0,VLOOKUP('Etape 2'!P282,Matrix_Uebersetzung,2,FALSE))</f>
        <v>0</v>
      </c>
      <c r="V285" s="87" t="str">
        <f>'Etape 2'!Q282</f>
        <v/>
      </c>
      <c r="W285" s="87">
        <f>'Etape 2'!R282</f>
        <v>0</v>
      </c>
      <c r="X285" s="87" t="str">
        <f>'Etape 2'!S282</f>
        <v/>
      </c>
      <c r="Y285" s="89" t="str">
        <f>'Etape 2'!T282</f>
        <v/>
      </c>
      <c r="Z285" s="87">
        <f>'Etape 2'!U282</f>
        <v>0</v>
      </c>
      <c r="AA285" s="87" t="str">
        <f>'Etape 2'!V282</f>
        <v/>
      </c>
      <c r="AB285" s="87">
        <f>IF(ISNUMBER('Etape 2'!W282),'Etape 2'!W282,0)</f>
        <v>0</v>
      </c>
      <c r="AC285" s="87">
        <f>IF(ISNUMBER('Etape 2'!X282),'Etape 2'!X282,0)</f>
        <v>0</v>
      </c>
      <c r="AD285" s="87">
        <f>IF(ISNUMBER('Etape 2'!Y282),'Etape 2'!Y282,0)</f>
        <v>0</v>
      </c>
      <c r="AE285" s="87">
        <f>IF(ISNUMBER('Etape 2'!Z282),'Etape 2'!Z282,0)</f>
        <v>0</v>
      </c>
      <c r="AF285" s="86">
        <f t="shared" si="263"/>
        <v>999</v>
      </c>
      <c r="AG285" s="288">
        <f t="shared" si="264"/>
        <v>0.25</v>
      </c>
      <c r="AH285" s="181" t="e">
        <f t="shared" si="248"/>
        <v>#VALUE!</v>
      </c>
      <c r="AI285" s="181" t="e">
        <f t="shared" si="233"/>
        <v>#VALUE!</v>
      </c>
      <c r="AJ285" s="86">
        <f t="shared" si="249"/>
        <v>200</v>
      </c>
      <c r="AK285" s="91" t="e">
        <f t="shared" si="250"/>
        <v>#N/A</v>
      </c>
      <c r="AL285" s="91" t="e">
        <f t="shared" si="234"/>
        <v>#N/A</v>
      </c>
      <c r="AM285" s="91">
        <f t="shared" si="109"/>
        <v>6</v>
      </c>
      <c r="AN285" s="91" t="e">
        <f t="shared" si="235"/>
        <v>#N/A</v>
      </c>
      <c r="AO285" s="91" t="e">
        <f t="shared" si="236"/>
        <v>#N/A</v>
      </c>
      <c r="AP285" s="21" t="e">
        <f t="shared" si="237"/>
        <v>#N/A</v>
      </c>
      <c r="AQ285" s="21" t="e">
        <f t="shared" si="238"/>
        <v>#N/A</v>
      </c>
      <c r="AR285" s="92" t="str">
        <f t="shared" si="265"/>
        <v/>
      </c>
      <c r="AS285" s="21" t="str">
        <f t="shared" si="266"/>
        <v/>
      </c>
      <c r="AT285" s="59" t="str">
        <f t="shared" si="251"/>
        <v/>
      </c>
      <c r="AU285" s="105">
        <f t="shared" si="113"/>
        <v>1</v>
      </c>
      <c r="AV285" s="105">
        <f t="shared" si="239"/>
        <v>1</v>
      </c>
      <c r="AW285" s="58">
        <f t="shared" si="240"/>
        <v>2</v>
      </c>
      <c r="AX285" s="58">
        <f t="shared" si="241"/>
        <v>3</v>
      </c>
      <c r="AY285" s="58" t="str">
        <f t="shared" si="242"/>
        <v>avec vannes</v>
      </c>
      <c r="AZ285" s="58" t="str">
        <f t="shared" si="243"/>
        <v>fermé</v>
      </c>
      <c r="BA285" s="60">
        <f t="shared" si="273"/>
        <v>0</v>
      </c>
      <c r="BB285" s="60">
        <f t="shared" si="273"/>
        <v>0</v>
      </c>
      <c r="BC285" s="60">
        <f t="shared" si="273"/>
        <v>0</v>
      </c>
      <c r="BD285" s="60">
        <f t="shared" si="273"/>
        <v>0</v>
      </c>
      <c r="BE285" s="286" t="str">
        <f t="shared" si="252"/>
        <v/>
      </c>
      <c r="BF285" s="58" t="str">
        <f t="shared" si="267"/>
        <v/>
      </c>
      <c r="BG285" s="59" t="str">
        <f t="shared" si="253"/>
        <v/>
      </c>
      <c r="BH285" s="158">
        <f t="shared" ca="1" si="254"/>
        <v>1</v>
      </c>
      <c r="BI285" s="60">
        <f t="shared" ca="1" si="255"/>
        <v>0.15</v>
      </c>
      <c r="BJ285" s="60">
        <f t="shared" si="256"/>
        <v>0.2</v>
      </c>
      <c r="BK285" s="60" t="str">
        <f t="shared" si="268"/>
        <v/>
      </c>
      <c r="BL285" s="21" t="str">
        <f t="shared" si="269"/>
        <v/>
      </c>
      <c r="BM285" s="264" t="str">
        <f t="shared" si="257"/>
        <v/>
      </c>
      <c r="BN285" s="60" t="str">
        <f t="shared" si="270"/>
        <v/>
      </c>
      <c r="BO285" s="136">
        <f t="shared" si="271"/>
        <v>0</v>
      </c>
      <c r="BP285" s="59">
        <f t="shared" si="272"/>
        <v>0</v>
      </c>
      <c r="BQ285" s="136">
        <f t="shared" ca="1" si="258"/>
        <v>1470</v>
      </c>
      <c r="BR285" s="136">
        <f t="shared" ca="1" si="259"/>
        <v>1000.8970099667774</v>
      </c>
      <c r="BS285" s="136">
        <f t="shared" ca="1" si="260"/>
        <v>1468800.8970099667</v>
      </c>
      <c r="BT285" s="136">
        <f t="shared" ca="1" si="261"/>
        <v>313875.81973572599</v>
      </c>
      <c r="BU285" s="136">
        <f t="shared" ca="1" si="262"/>
        <v>1000.8970099667774</v>
      </c>
    </row>
    <row r="286" spans="1:73" x14ac:dyDescent="0.2">
      <c r="A286" s="87" t="str">
        <f>'Etape 2'!A283</f>
        <v/>
      </c>
      <c r="B286" s="87">
        <f>'Etape 2'!B283</f>
        <v>271</v>
      </c>
      <c r="C286" s="87">
        <f ca="1">'Etape 2'!C283</f>
        <v>30</v>
      </c>
      <c r="D286" s="87"/>
      <c r="E286" s="61">
        <f ca="1">RANK(BU286,BU$16:BU$315,0)+COUNTIF(BU$16:BU286,BU286)-1</f>
        <v>30</v>
      </c>
      <c r="F286" s="87" t="str">
        <f>'Etape 2'!D283</f>
        <v/>
      </c>
      <c r="G286" s="87" t="str">
        <f>'Etape 2'!E283</f>
        <v/>
      </c>
      <c r="H286" s="87" t="str">
        <f>'Etape 2'!F283</f>
        <v/>
      </c>
      <c r="I286" s="87" t="str">
        <f>'Etape 2'!G283</f>
        <v/>
      </c>
      <c r="J286" s="87" t="str">
        <f>'Etape 2'!H283</f>
        <v/>
      </c>
      <c r="K286" s="87" t="str">
        <f>'Etape 2'!I283</f>
        <v/>
      </c>
      <c r="L286" s="87">
        <f ca="1">'Etape 2'!J283</f>
        <v>999999</v>
      </c>
      <c r="M286" s="87">
        <f>'Etape 2'!K283</f>
        <v>999</v>
      </c>
      <c r="N286" s="87">
        <f ca="1">'Etape 2'!L283</f>
        <v>271</v>
      </c>
      <c r="O286" s="259">
        <f t="shared" si="245"/>
        <v>0.3</v>
      </c>
      <c r="P286" s="259">
        <f t="shared" si="246"/>
        <v>1.1000000000000001</v>
      </c>
      <c r="Q286" s="260">
        <f t="shared" si="247"/>
        <v>0</v>
      </c>
      <c r="R286" s="261">
        <f t="shared" si="274"/>
        <v>0</v>
      </c>
      <c r="S286" s="87">
        <f>IF(ISBLANK('Etape 2'!N283),0,VLOOKUP('Etape 2'!N283,Matrix_Uebersetzung,2,FALSE))</f>
        <v>0</v>
      </c>
      <c r="T286" s="87">
        <f>IF(ISBLANK('Etape 2'!O283),0,VLOOKUP('Etape 2'!O283,Matrix_Uebersetzung,2,FALSE))</f>
        <v>0</v>
      </c>
      <c r="U286" s="87">
        <f>IF(ISBLANK('Etape 2'!P283),0,VLOOKUP('Etape 2'!P283,Matrix_Uebersetzung,2,FALSE))</f>
        <v>0</v>
      </c>
      <c r="V286" s="87" t="str">
        <f>'Etape 2'!Q283</f>
        <v/>
      </c>
      <c r="W286" s="87">
        <f>'Etape 2'!R283</f>
        <v>0</v>
      </c>
      <c r="X286" s="87" t="str">
        <f>'Etape 2'!S283</f>
        <v/>
      </c>
      <c r="Y286" s="89" t="str">
        <f>'Etape 2'!T283</f>
        <v/>
      </c>
      <c r="Z286" s="87">
        <f>'Etape 2'!U283</f>
        <v>0</v>
      </c>
      <c r="AA286" s="87" t="str">
        <f>'Etape 2'!V283</f>
        <v/>
      </c>
      <c r="AB286" s="87">
        <f>IF(ISNUMBER('Etape 2'!W283),'Etape 2'!W283,0)</f>
        <v>0</v>
      </c>
      <c r="AC286" s="87">
        <f>IF(ISNUMBER('Etape 2'!X283),'Etape 2'!X283,0)</f>
        <v>0</v>
      </c>
      <c r="AD286" s="87">
        <f>IF(ISNUMBER('Etape 2'!Y283),'Etape 2'!Y283,0)</f>
        <v>0</v>
      </c>
      <c r="AE286" s="87">
        <f>IF(ISNUMBER('Etape 2'!Z283),'Etape 2'!Z283,0)</f>
        <v>0</v>
      </c>
      <c r="AF286" s="86">
        <f t="shared" si="263"/>
        <v>999</v>
      </c>
      <c r="AG286" s="288">
        <f t="shared" si="264"/>
        <v>0.25</v>
      </c>
      <c r="AH286" s="181" t="e">
        <f t="shared" si="248"/>
        <v>#VALUE!</v>
      </c>
      <c r="AI286" s="181" t="e">
        <f t="shared" si="233"/>
        <v>#VALUE!</v>
      </c>
      <c r="AJ286" s="86">
        <f t="shared" si="249"/>
        <v>200</v>
      </c>
      <c r="AK286" s="91" t="e">
        <f t="shared" si="250"/>
        <v>#N/A</v>
      </c>
      <c r="AL286" s="91" t="e">
        <f t="shared" si="234"/>
        <v>#N/A</v>
      </c>
      <c r="AM286" s="91">
        <f t="shared" si="109"/>
        <v>6</v>
      </c>
      <c r="AN286" s="91" t="e">
        <f t="shared" si="235"/>
        <v>#N/A</v>
      </c>
      <c r="AO286" s="91" t="e">
        <f t="shared" si="236"/>
        <v>#N/A</v>
      </c>
      <c r="AP286" s="21" t="e">
        <f t="shared" si="237"/>
        <v>#N/A</v>
      </c>
      <c r="AQ286" s="21" t="e">
        <f t="shared" si="238"/>
        <v>#N/A</v>
      </c>
      <c r="AR286" s="92" t="str">
        <f t="shared" si="265"/>
        <v/>
      </c>
      <c r="AS286" s="21" t="str">
        <f t="shared" si="266"/>
        <v/>
      </c>
      <c r="AT286" s="59" t="str">
        <f t="shared" si="251"/>
        <v/>
      </c>
      <c r="AU286" s="105">
        <f t="shared" si="113"/>
        <v>1</v>
      </c>
      <c r="AV286" s="105">
        <f t="shared" si="239"/>
        <v>1</v>
      </c>
      <c r="AW286" s="58">
        <f t="shared" si="240"/>
        <v>2</v>
      </c>
      <c r="AX286" s="58">
        <f t="shared" si="241"/>
        <v>3</v>
      </c>
      <c r="AY286" s="58" t="str">
        <f t="shared" si="242"/>
        <v>avec vannes</v>
      </c>
      <c r="AZ286" s="58" t="str">
        <f t="shared" si="243"/>
        <v>fermé</v>
      </c>
      <c r="BA286" s="60">
        <f t="shared" si="273"/>
        <v>0</v>
      </c>
      <c r="BB286" s="60">
        <f t="shared" si="273"/>
        <v>0</v>
      </c>
      <c r="BC286" s="60">
        <f t="shared" si="273"/>
        <v>0</v>
      </c>
      <c r="BD286" s="60">
        <f t="shared" si="273"/>
        <v>0</v>
      </c>
      <c r="BE286" s="286" t="str">
        <f t="shared" si="252"/>
        <v/>
      </c>
      <c r="BF286" s="58" t="str">
        <f t="shared" si="267"/>
        <v/>
      </c>
      <c r="BG286" s="59" t="str">
        <f t="shared" si="253"/>
        <v/>
      </c>
      <c r="BH286" s="158">
        <f t="shared" ca="1" si="254"/>
        <v>1</v>
      </c>
      <c r="BI286" s="60">
        <f t="shared" ca="1" si="255"/>
        <v>0.15</v>
      </c>
      <c r="BJ286" s="60">
        <f t="shared" si="256"/>
        <v>0.2</v>
      </c>
      <c r="BK286" s="60" t="str">
        <f t="shared" si="268"/>
        <v/>
      </c>
      <c r="BL286" s="21" t="str">
        <f t="shared" si="269"/>
        <v/>
      </c>
      <c r="BM286" s="264" t="str">
        <f t="shared" si="257"/>
        <v/>
      </c>
      <c r="BN286" s="60" t="str">
        <f t="shared" si="270"/>
        <v/>
      </c>
      <c r="BO286" s="136">
        <f t="shared" si="271"/>
        <v>0</v>
      </c>
      <c r="BP286" s="59">
        <f t="shared" si="272"/>
        <v>0</v>
      </c>
      <c r="BQ286" s="136">
        <f t="shared" ca="1" si="258"/>
        <v>1471</v>
      </c>
      <c r="BR286" s="136">
        <f t="shared" ca="1" si="259"/>
        <v>1000.9003322259136</v>
      </c>
      <c r="BS286" s="136">
        <f t="shared" ca="1" si="260"/>
        <v>1468800.900332226</v>
      </c>
      <c r="BT286" s="136">
        <f t="shared" ca="1" si="261"/>
        <v>313875.82305798511</v>
      </c>
      <c r="BU286" s="136">
        <f t="shared" ca="1" si="262"/>
        <v>1000.9003322259136</v>
      </c>
    </row>
    <row r="287" spans="1:73" x14ac:dyDescent="0.2">
      <c r="A287" s="87" t="str">
        <f>'Etape 2'!A284</f>
        <v/>
      </c>
      <c r="B287" s="87">
        <f>'Etape 2'!B284</f>
        <v>272</v>
      </c>
      <c r="C287" s="87">
        <f ca="1">'Etape 2'!C284</f>
        <v>29</v>
      </c>
      <c r="D287" s="87"/>
      <c r="E287" s="61">
        <f ca="1">RANK(BU287,BU$16:BU$315,0)+COUNTIF(BU$16:BU287,BU287)-1</f>
        <v>29</v>
      </c>
      <c r="F287" s="87" t="str">
        <f>'Etape 2'!D284</f>
        <v/>
      </c>
      <c r="G287" s="87" t="str">
        <f>'Etape 2'!E284</f>
        <v/>
      </c>
      <c r="H287" s="87" t="str">
        <f>'Etape 2'!F284</f>
        <v/>
      </c>
      <c r="I287" s="87" t="str">
        <f>'Etape 2'!G284</f>
        <v/>
      </c>
      <c r="J287" s="87" t="str">
        <f>'Etape 2'!H284</f>
        <v/>
      </c>
      <c r="K287" s="87" t="str">
        <f>'Etape 2'!I284</f>
        <v/>
      </c>
      <c r="L287" s="87">
        <f ca="1">'Etape 2'!J284</f>
        <v>999999</v>
      </c>
      <c r="M287" s="87">
        <f>'Etape 2'!K284</f>
        <v>999</v>
      </c>
      <c r="N287" s="87">
        <f ca="1">'Etape 2'!L284</f>
        <v>272</v>
      </c>
      <c r="O287" s="259">
        <f t="shared" si="245"/>
        <v>0.3</v>
      </c>
      <c r="P287" s="259">
        <f t="shared" si="246"/>
        <v>1.1000000000000001</v>
      </c>
      <c r="Q287" s="260">
        <f t="shared" si="247"/>
        <v>0</v>
      </c>
      <c r="R287" s="261">
        <f t="shared" si="274"/>
        <v>0</v>
      </c>
      <c r="S287" s="87">
        <f>IF(ISBLANK('Etape 2'!N284),0,VLOOKUP('Etape 2'!N284,Matrix_Uebersetzung,2,FALSE))</f>
        <v>0</v>
      </c>
      <c r="T287" s="87">
        <f>IF(ISBLANK('Etape 2'!O284),0,VLOOKUP('Etape 2'!O284,Matrix_Uebersetzung,2,FALSE))</f>
        <v>0</v>
      </c>
      <c r="U287" s="87">
        <f>IF(ISBLANK('Etape 2'!P284),0,VLOOKUP('Etape 2'!P284,Matrix_Uebersetzung,2,FALSE))</f>
        <v>0</v>
      </c>
      <c r="V287" s="87" t="str">
        <f>'Etape 2'!Q284</f>
        <v/>
      </c>
      <c r="W287" s="87">
        <f>'Etape 2'!R284</f>
        <v>0</v>
      </c>
      <c r="X287" s="87" t="str">
        <f>'Etape 2'!S284</f>
        <v/>
      </c>
      <c r="Y287" s="89" t="str">
        <f>'Etape 2'!T284</f>
        <v/>
      </c>
      <c r="Z287" s="87">
        <f>'Etape 2'!U284</f>
        <v>0</v>
      </c>
      <c r="AA287" s="87" t="str">
        <f>'Etape 2'!V284</f>
        <v/>
      </c>
      <c r="AB287" s="87">
        <f>IF(ISNUMBER('Etape 2'!W284),'Etape 2'!W284,0)</f>
        <v>0</v>
      </c>
      <c r="AC287" s="87">
        <f>IF(ISNUMBER('Etape 2'!X284),'Etape 2'!X284,0)</f>
        <v>0</v>
      </c>
      <c r="AD287" s="87">
        <f>IF(ISNUMBER('Etape 2'!Y284),'Etape 2'!Y284,0)</f>
        <v>0</v>
      </c>
      <c r="AE287" s="87">
        <f>IF(ISNUMBER('Etape 2'!Z284),'Etape 2'!Z284,0)</f>
        <v>0</v>
      </c>
      <c r="AF287" s="86">
        <f t="shared" si="263"/>
        <v>999</v>
      </c>
      <c r="AG287" s="288">
        <f t="shared" si="264"/>
        <v>0.25</v>
      </c>
      <c r="AH287" s="181" t="e">
        <f t="shared" si="248"/>
        <v>#VALUE!</v>
      </c>
      <c r="AI287" s="181" t="e">
        <f t="shared" si="233"/>
        <v>#VALUE!</v>
      </c>
      <c r="AJ287" s="86">
        <f t="shared" si="249"/>
        <v>200</v>
      </c>
      <c r="AK287" s="91" t="e">
        <f t="shared" si="250"/>
        <v>#N/A</v>
      </c>
      <c r="AL287" s="91" t="e">
        <f t="shared" si="234"/>
        <v>#N/A</v>
      </c>
      <c r="AM287" s="91">
        <f t="shared" si="109"/>
        <v>6</v>
      </c>
      <c r="AN287" s="91" t="e">
        <f t="shared" si="235"/>
        <v>#N/A</v>
      </c>
      <c r="AO287" s="91" t="e">
        <f t="shared" si="236"/>
        <v>#N/A</v>
      </c>
      <c r="AP287" s="21" t="e">
        <f t="shared" si="237"/>
        <v>#N/A</v>
      </c>
      <c r="AQ287" s="21" t="e">
        <f t="shared" si="238"/>
        <v>#N/A</v>
      </c>
      <c r="AR287" s="92" t="str">
        <f t="shared" si="265"/>
        <v/>
      </c>
      <c r="AS287" s="21" t="str">
        <f t="shared" si="266"/>
        <v/>
      </c>
      <c r="AT287" s="59" t="str">
        <f t="shared" si="251"/>
        <v/>
      </c>
      <c r="AU287" s="105">
        <f t="shared" si="113"/>
        <v>1</v>
      </c>
      <c r="AV287" s="105">
        <f t="shared" si="239"/>
        <v>1</v>
      </c>
      <c r="AW287" s="58">
        <f t="shared" si="240"/>
        <v>2</v>
      </c>
      <c r="AX287" s="58">
        <f t="shared" si="241"/>
        <v>3</v>
      </c>
      <c r="AY287" s="58" t="str">
        <f t="shared" si="242"/>
        <v>avec vannes</v>
      </c>
      <c r="AZ287" s="58" t="str">
        <f t="shared" si="243"/>
        <v>fermé</v>
      </c>
      <c r="BA287" s="60">
        <f t="shared" si="273"/>
        <v>0</v>
      </c>
      <c r="BB287" s="60">
        <f t="shared" si="273"/>
        <v>0</v>
      </c>
      <c r="BC287" s="60">
        <f t="shared" si="273"/>
        <v>0</v>
      </c>
      <c r="BD287" s="60">
        <f t="shared" si="273"/>
        <v>0</v>
      </c>
      <c r="BE287" s="286" t="str">
        <f t="shared" si="252"/>
        <v/>
      </c>
      <c r="BF287" s="58" t="str">
        <f t="shared" si="267"/>
        <v/>
      </c>
      <c r="BG287" s="59" t="str">
        <f t="shared" si="253"/>
        <v/>
      </c>
      <c r="BH287" s="158">
        <f t="shared" ca="1" si="254"/>
        <v>1</v>
      </c>
      <c r="BI287" s="60">
        <f t="shared" ca="1" si="255"/>
        <v>0.15</v>
      </c>
      <c r="BJ287" s="60">
        <f t="shared" si="256"/>
        <v>0.2</v>
      </c>
      <c r="BK287" s="60" t="str">
        <f t="shared" si="268"/>
        <v/>
      </c>
      <c r="BL287" s="21" t="str">
        <f t="shared" si="269"/>
        <v/>
      </c>
      <c r="BM287" s="264" t="str">
        <f t="shared" si="257"/>
        <v/>
      </c>
      <c r="BN287" s="60" t="str">
        <f t="shared" si="270"/>
        <v/>
      </c>
      <c r="BO287" s="136">
        <f t="shared" si="271"/>
        <v>0</v>
      </c>
      <c r="BP287" s="59">
        <f t="shared" si="272"/>
        <v>0</v>
      </c>
      <c r="BQ287" s="136">
        <f t="shared" ca="1" si="258"/>
        <v>1472</v>
      </c>
      <c r="BR287" s="136">
        <f t="shared" ca="1" si="259"/>
        <v>1000.9036544850499</v>
      </c>
      <c r="BS287" s="136">
        <f t="shared" ca="1" si="260"/>
        <v>1468800.903654485</v>
      </c>
      <c r="BT287" s="136">
        <f t="shared" ca="1" si="261"/>
        <v>313875.82638024428</v>
      </c>
      <c r="BU287" s="136">
        <f t="shared" ca="1" si="262"/>
        <v>1000.9036544850499</v>
      </c>
    </row>
    <row r="288" spans="1:73" x14ac:dyDescent="0.2">
      <c r="A288" s="87" t="str">
        <f>'Etape 2'!A285</f>
        <v/>
      </c>
      <c r="B288" s="87">
        <f>'Etape 2'!B285</f>
        <v>273</v>
      </c>
      <c r="C288" s="87">
        <f ca="1">'Etape 2'!C285</f>
        <v>28</v>
      </c>
      <c r="D288" s="87"/>
      <c r="E288" s="61">
        <f ca="1">RANK(BU288,BU$16:BU$315,0)+COUNTIF(BU$16:BU288,BU288)-1</f>
        <v>28</v>
      </c>
      <c r="F288" s="87" t="str">
        <f>'Etape 2'!D285</f>
        <v/>
      </c>
      <c r="G288" s="87" t="str">
        <f>'Etape 2'!E285</f>
        <v/>
      </c>
      <c r="H288" s="87" t="str">
        <f>'Etape 2'!F285</f>
        <v/>
      </c>
      <c r="I288" s="87" t="str">
        <f>'Etape 2'!G285</f>
        <v/>
      </c>
      <c r="J288" s="87" t="str">
        <f>'Etape 2'!H285</f>
        <v/>
      </c>
      <c r="K288" s="87" t="str">
        <f>'Etape 2'!I285</f>
        <v/>
      </c>
      <c r="L288" s="87">
        <f ca="1">'Etape 2'!J285</f>
        <v>999999</v>
      </c>
      <c r="M288" s="87">
        <f>'Etape 2'!K285</f>
        <v>999</v>
      </c>
      <c r="N288" s="87">
        <f ca="1">'Etape 2'!L285</f>
        <v>273</v>
      </c>
      <c r="O288" s="259">
        <f t="shared" si="245"/>
        <v>0.3</v>
      </c>
      <c r="P288" s="259">
        <f t="shared" si="246"/>
        <v>1.1000000000000001</v>
      </c>
      <c r="Q288" s="260">
        <f t="shared" si="247"/>
        <v>0</v>
      </c>
      <c r="R288" s="261">
        <f t="shared" si="274"/>
        <v>0</v>
      </c>
      <c r="S288" s="87">
        <f>IF(ISBLANK('Etape 2'!N285),0,VLOOKUP('Etape 2'!N285,Matrix_Uebersetzung,2,FALSE))</f>
        <v>0</v>
      </c>
      <c r="T288" s="87">
        <f>IF(ISBLANK('Etape 2'!O285),0,VLOOKUP('Etape 2'!O285,Matrix_Uebersetzung,2,FALSE))</f>
        <v>0</v>
      </c>
      <c r="U288" s="87">
        <f>IF(ISBLANK('Etape 2'!P285),0,VLOOKUP('Etape 2'!P285,Matrix_Uebersetzung,2,FALSE))</f>
        <v>0</v>
      </c>
      <c r="V288" s="87" t="str">
        <f>'Etape 2'!Q285</f>
        <v/>
      </c>
      <c r="W288" s="87">
        <f>'Etape 2'!R285</f>
        <v>0</v>
      </c>
      <c r="X288" s="87" t="str">
        <f>'Etape 2'!S285</f>
        <v/>
      </c>
      <c r="Y288" s="89" t="str">
        <f>'Etape 2'!T285</f>
        <v/>
      </c>
      <c r="Z288" s="87">
        <f>'Etape 2'!U285</f>
        <v>0</v>
      </c>
      <c r="AA288" s="87" t="str">
        <f>'Etape 2'!V285</f>
        <v/>
      </c>
      <c r="AB288" s="87">
        <f>IF(ISNUMBER('Etape 2'!W285),'Etape 2'!W285,0)</f>
        <v>0</v>
      </c>
      <c r="AC288" s="87">
        <f>IF(ISNUMBER('Etape 2'!X285),'Etape 2'!X285,0)</f>
        <v>0</v>
      </c>
      <c r="AD288" s="87">
        <f>IF(ISNUMBER('Etape 2'!Y285),'Etape 2'!Y285,0)</f>
        <v>0</v>
      </c>
      <c r="AE288" s="87">
        <f>IF(ISNUMBER('Etape 2'!Z285),'Etape 2'!Z285,0)</f>
        <v>0</v>
      </c>
      <c r="AF288" s="86">
        <f t="shared" si="263"/>
        <v>999</v>
      </c>
      <c r="AG288" s="288">
        <f t="shared" si="264"/>
        <v>0.25</v>
      </c>
      <c r="AH288" s="181" t="e">
        <f t="shared" si="248"/>
        <v>#VALUE!</v>
      </c>
      <c r="AI288" s="181" t="e">
        <f t="shared" si="233"/>
        <v>#VALUE!</v>
      </c>
      <c r="AJ288" s="86">
        <f t="shared" si="249"/>
        <v>200</v>
      </c>
      <c r="AK288" s="91" t="e">
        <f t="shared" si="250"/>
        <v>#N/A</v>
      </c>
      <c r="AL288" s="91" t="e">
        <f t="shared" si="234"/>
        <v>#N/A</v>
      </c>
      <c r="AM288" s="91">
        <f t="shared" si="109"/>
        <v>6</v>
      </c>
      <c r="AN288" s="91" t="e">
        <f t="shared" si="235"/>
        <v>#N/A</v>
      </c>
      <c r="AO288" s="91" t="e">
        <f t="shared" si="236"/>
        <v>#N/A</v>
      </c>
      <c r="AP288" s="21" t="e">
        <f t="shared" si="237"/>
        <v>#N/A</v>
      </c>
      <c r="AQ288" s="21" t="e">
        <f t="shared" si="238"/>
        <v>#N/A</v>
      </c>
      <c r="AR288" s="92" t="str">
        <f t="shared" si="265"/>
        <v/>
      </c>
      <c r="AS288" s="21" t="str">
        <f t="shared" si="266"/>
        <v/>
      </c>
      <c r="AT288" s="59" t="str">
        <f t="shared" si="251"/>
        <v/>
      </c>
      <c r="AU288" s="105">
        <f t="shared" si="113"/>
        <v>1</v>
      </c>
      <c r="AV288" s="105">
        <f t="shared" si="239"/>
        <v>1</v>
      </c>
      <c r="AW288" s="58">
        <f t="shared" si="240"/>
        <v>2</v>
      </c>
      <c r="AX288" s="58">
        <f t="shared" si="241"/>
        <v>3</v>
      </c>
      <c r="AY288" s="58" t="str">
        <f t="shared" si="242"/>
        <v>avec vannes</v>
      </c>
      <c r="AZ288" s="58" t="str">
        <f t="shared" si="243"/>
        <v>fermé</v>
      </c>
      <c r="BA288" s="60">
        <f t="shared" si="273"/>
        <v>0</v>
      </c>
      <c r="BB288" s="60">
        <f t="shared" si="273"/>
        <v>0</v>
      </c>
      <c r="BC288" s="60">
        <f t="shared" si="273"/>
        <v>0</v>
      </c>
      <c r="BD288" s="60">
        <f t="shared" si="273"/>
        <v>0</v>
      </c>
      <c r="BE288" s="286" t="str">
        <f t="shared" si="252"/>
        <v/>
      </c>
      <c r="BF288" s="58" t="str">
        <f t="shared" si="267"/>
        <v/>
      </c>
      <c r="BG288" s="59" t="str">
        <f t="shared" si="253"/>
        <v/>
      </c>
      <c r="BH288" s="158">
        <f t="shared" ca="1" si="254"/>
        <v>1</v>
      </c>
      <c r="BI288" s="60">
        <f t="shared" ca="1" si="255"/>
        <v>0.15</v>
      </c>
      <c r="BJ288" s="60">
        <f t="shared" si="256"/>
        <v>0.2</v>
      </c>
      <c r="BK288" s="60" t="str">
        <f t="shared" si="268"/>
        <v/>
      </c>
      <c r="BL288" s="21" t="str">
        <f t="shared" si="269"/>
        <v/>
      </c>
      <c r="BM288" s="264" t="str">
        <f t="shared" si="257"/>
        <v/>
      </c>
      <c r="BN288" s="60" t="str">
        <f t="shared" si="270"/>
        <v/>
      </c>
      <c r="BO288" s="136">
        <f t="shared" si="271"/>
        <v>0</v>
      </c>
      <c r="BP288" s="59">
        <f t="shared" si="272"/>
        <v>0</v>
      </c>
      <c r="BQ288" s="136">
        <f t="shared" ca="1" si="258"/>
        <v>1473</v>
      </c>
      <c r="BR288" s="136">
        <f t="shared" ca="1" si="259"/>
        <v>1000.9069767441861</v>
      </c>
      <c r="BS288" s="136">
        <f t="shared" ca="1" si="260"/>
        <v>1468800.9069767443</v>
      </c>
      <c r="BT288" s="136">
        <f t="shared" ca="1" si="261"/>
        <v>313875.8297025034</v>
      </c>
      <c r="BU288" s="136">
        <f t="shared" ca="1" si="262"/>
        <v>1000.9069767441861</v>
      </c>
    </row>
    <row r="289" spans="1:73" x14ac:dyDescent="0.2">
      <c r="A289" s="87" t="str">
        <f>'Etape 2'!A286</f>
        <v/>
      </c>
      <c r="B289" s="87">
        <f>'Etape 2'!B286</f>
        <v>274</v>
      </c>
      <c r="C289" s="87">
        <f ca="1">'Etape 2'!C286</f>
        <v>27</v>
      </c>
      <c r="D289" s="87"/>
      <c r="E289" s="61">
        <f ca="1">RANK(BU289,BU$16:BU$315,0)+COUNTIF(BU$16:BU289,BU289)-1</f>
        <v>27</v>
      </c>
      <c r="F289" s="87" t="str">
        <f>'Etape 2'!D286</f>
        <v/>
      </c>
      <c r="G289" s="87" t="str">
        <f>'Etape 2'!E286</f>
        <v/>
      </c>
      <c r="H289" s="87" t="str">
        <f>'Etape 2'!F286</f>
        <v/>
      </c>
      <c r="I289" s="87" t="str">
        <f>'Etape 2'!G286</f>
        <v/>
      </c>
      <c r="J289" s="87" t="str">
        <f>'Etape 2'!H286</f>
        <v/>
      </c>
      <c r="K289" s="87" t="str">
        <f>'Etape 2'!I286</f>
        <v/>
      </c>
      <c r="L289" s="87">
        <f ca="1">'Etape 2'!J286</f>
        <v>999999</v>
      </c>
      <c r="M289" s="87">
        <f>'Etape 2'!K286</f>
        <v>999</v>
      </c>
      <c r="N289" s="87">
        <f ca="1">'Etape 2'!L286</f>
        <v>274</v>
      </c>
      <c r="O289" s="259">
        <f t="shared" si="245"/>
        <v>0.3</v>
      </c>
      <c r="P289" s="259">
        <f t="shared" si="246"/>
        <v>1.1000000000000001</v>
      </c>
      <c r="Q289" s="260">
        <f t="shared" si="247"/>
        <v>0</v>
      </c>
      <c r="R289" s="261">
        <f t="shared" si="274"/>
        <v>0</v>
      </c>
      <c r="S289" s="87">
        <f>IF(ISBLANK('Etape 2'!N286),0,VLOOKUP('Etape 2'!N286,Matrix_Uebersetzung,2,FALSE))</f>
        <v>0</v>
      </c>
      <c r="T289" s="87">
        <f>IF(ISBLANK('Etape 2'!O286),0,VLOOKUP('Etape 2'!O286,Matrix_Uebersetzung,2,FALSE))</f>
        <v>0</v>
      </c>
      <c r="U289" s="87">
        <f>IF(ISBLANK('Etape 2'!P286),0,VLOOKUP('Etape 2'!P286,Matrix_Uebersetzung,2,FALSE))</f>
        <v>0</v>
      </c>
      <c r="V289" s="87" t="str">
        <f>'Etape 2'!Q286</f>
        <v/>
      </c>
      <c r="W289" s="87">
        <f>'Etape 2'!R286</f>
        <v>0</v>
      </c>
      <c r="X289" s="87" t="str">
        <f>'Etape 2'!S286</f>
        <v/>
      </c>
      <c r="Y289" s="89" t="str">
        <f>'Etape 2'!T286</f>
        <v/>
      </c>
      <c r="Z289" s="87">
        <f>'Etape 2'!U286</f>
        <v>0</v>
      </c>
      <c r="AA289" s="87" t="str">
        <f>'Etape 2'!V286</f>
        <v/>
      </c>
      <c r="AB289" s="87">
        <f>IF(ISNUMBER('Etape 2'!W286),'Etape 2'!W286,0)</f>
        <v>0</v>
      </c>
      <c r="AC289" s="87">
        <f>IF(ISNUMBER('Etape 2'!X286),'Etape 2'!X286,0)</f>
        <v>0</v>
      </c>
      <c r="AD289" s="87">
        <f>IF(ISNUMBER('Etape 2'!Y286),'Etape 2'!Y286,0)</f>
        <v>0</v>
      </c>
      <c r="AE289" s="87">
        <f>IF(ISNUMBER('Etape 2'!Z286),'Etape 2'!Z286,0)</f>
        <v>0</v>
      </c>
      <c r="AF289" s="86">
        <f t="shared" si="263"/>
        <v>999</v>
      </c>
      <c r="AG289" s="288">
        <f t="shared" si="264"/>
        <v>0.25</v>
      </c>
      <c r="AH289" s="181" t="e">
        <f t="shared" si="248"/>
        <v>#VALUE!</v>
      </c>
      <c r="AI289" s="181" t="e">
        <f t="shared" si="233"/>
        <v>#VALUE!</v>
      </c>
      <c r="AJ289" s="86">
        <f t="shared" si="249"/>
        <v>200</v>
      </c>
      <c r="AK289" s="91" t="e">
        <f t="shared" si="250"/>
        <v>#N/A</v>
      </c>
      <c r="AL289" s="91" t="e">
        <f t="shared" si="234"/>
        <v>#N/A</v>
      </c>
      <c r="AM289" s="91">
        <f t="shared" si="109"/>
        <v>6</v>
      </c>
      <c r="AN289" s="91" t="e">
        <f t="shared" si="235"/>
        <v>#N/A</v>
      </c>
      <c r="AO289" s="91" t="e">
        <f t="shared" si="236"/>
        <v>#N/A</v>
      </c>
      <c r="AP289" s="21" t="e">
        <f t="shared" si="237"/>
        <v>#N/A</v>
      </c>
      <c r="AQ289" s="21" t="e">
        <f t="shared" si="238"/>
        <v>#N/A</v>
      </c>
      <c r="AR289" s="92" t="str">
        <f t="shared" si="265"/>
        <v/>
      </c>
      <c r="AS289" s="21" t="str">
        <f t="shared" si="266"/>
        <v/>
      </c>
      <c r="AT289" s="59" t="str">
        <f t="shared" si="251"/>
        <v/>
      </c>
      <c r="AU289" s="105">
        <f t="shared" si="113"/>
        <v>1</v>
      </c>
      <c r="AV289" s="105">
        <f t="shared" si="239"/>
        <v>1</v>
      </c>
      <c r="AW289" s="58">
        <f t="shared" si="240"/>
        <v>2</v>
      </c>
      <c r="AX289" s="58">
        <f t="shared" si="241"/>
        <v>3</v>
      </c>
      <c r="AY289" s="58" t="str">
        <f t="shared" si="242"/>
        <v>avec vannes</v>
      </c>
      <c r="AZ289" s="58" t="str">
        <f t="shared" si="243"/>
        <v>fermé</v>
      </c>
      <c r="BA289" s="60">
        <f t="shared" si="273"/>
        <v>0</v>
      </c>
      <c r="BB289" s="60">
        <f t="shared" si="273"/>
        <v>0</v>
      </c>
      <c r="BC289" s="60">
        <f t="shared" si="273"/>
        <v>0</v>
      </c>
      <c r="BD289" s="60">
        <f t="shared" si="273"/>
        <v>0</v>
      </c>
      <c r="BE289" s="286" t="str">
        <f t="shared" si="252"/>
        <v/>
      </c>
      <c r="BF289" s="58" t="str">
        <f t="shared" si="267"/>
        <v/>
      </c>
      <c r="BG289" s="59" t="str">
        <f t="shared" si="253"/>
        <v/>
      </c>
      <c r="BH289" s="158">
        <f t="shared" ca="1" si="254"/>
        <v>1</v>
      </c>
      <c r="BI289" s="60">
        <f t="shared" ca="1" si="255"/>
        <v>0.15</v>
      </c>
      <c r="BJ289" s="60">
        <f t="shared" si="256"/>
        <v>0.2</v>
      </c>
      <c r="BK289" s="60" t="str">
        <f t="shared" si="268"/>
        <v/>
      </c>
      <c r="BL289" s="21" t="str">
        <f t="shared" si="269"/>
        <v/>
      </c>
      <c r="BM289" s="264" t="str">
        <f t="shared" si="257"/>
        <v/>
      </c>
      <c r="BN289" s="60" t="str">
        <f t="shared" si="270"/>
        <v/>
      </c>
      <c r="BO289" s="136">
        <f t="shared" si="271"/>
        <v>0</v>
      </c>
      <c r="BP289" s="59">
        <f t="shared" si="272"/>
        <v>0</v>
      </c>
      <c r="BQ289" s="136">
        <f t="shared" ca="1" si="258"/>
        <v>1474</v>
      </c>
      <c r="BR289" s="136">
        <f t="shared" ca="1" si="259"/>
        <v>1000.9102990033223</v>
      </c>
      <c r="BS289" s="136">
        <f t="shared" ca="1" si="260"/>
        <v>1468800.9102990034</v>
      </c>
      <c r="BT289" s="136">
        <f t="shared" ca="1" si="261"/>
        <v>313875.83302476251</v>
      </c>
      <c r="BU289" s="136">
        <f t="shared" ca="1" si="262"/>
        <v>1000.9102990033223</v>
      </c>
    </row>
    <row r="290" spans="1:73" x14ac:dyDescent="0.2">
      <c r="A290" s="87" t="str">
        <f>'Etape 2'!A287</f>
        <v/>
      </c>
      <c r="B290" s="87">
        <f>'Etape 2'!B287</f>
        <v>275</v>
      </c>
      <c r="C290" s="87">
        <f ca="1">'Etape 2'!C287</f>
        <v>26</v>
      </c>
      <c r="D290" s="87"/>
      <c r="E290" s="61">
        <f ca="1">RANK(BU290,BU$16:BU$315,0)+COUNTIF(BU$16:BU290,BU290)-1</f>
        <v>26</v>
      </c>
      <c r="F290" s="87" t="str">
        <f>'Etape 2'!D287</f>
        <v/>
      </c>
      <c r="G290" s="87" t="str">
        <f>'Etape 2'!E287</f>
        <v/>
      </c>
      <c r="H290" s="87" t="str">
        <f>'Etape 2'!F287</f>
        <v/>
      </c>
      <c r="I290" s="87" t="str">
        <f>'Etape 2'!G287</f>
        <v/>
      </c>
      <c r="J290" s="87" t="str">
        <f>'Etape 2'!H287</f>
        <v/>
      </c>
      <c r="K290" s="87" t="str">
        <f>'Etape 2'!I287</f>
        <v/>
      </c>
      <c r="L290" s="87">
        <f ca="1">'Etape 2'!J287</f>
        <v>999999</v>
      </c>
      <c r="M290" s="87">
        <f>'Etape 2'!K287</f>
        <v>999</v>
      </c>
      <c r="N290" s="87">
        <f ca="1">'Etape 2'!L287</f>
        <v>275</v>
      </c>
      <c r="O290" s="259">
        <f t="shared" si="245"/>
        <v>0.3</v>
      </c>
      <c r="P290" s="259">
        <f t="shared" si="246"/>
        <v>1.1000000000000001</v>
      </c>
      <c r="Q290" s="260">
        <f t="shared" si="247"/>
        <v>0</v>
      </c>
      <c r="R290" s="261">
        <f t="shared" si="274"/>
        <v>0</v>
      </c>
      <c r="S290" s="87">
        <f>IF(ISBLANK('Etape 2'!N287),0,VLOOKUP('Etape 2'!N287,Matrix_Uebersetzung,2,FALSE))</f>
        <v>0</v>
      </c>
      <c r="T290" s="87">
        <f>IF(ISBLANK('Etape 2'!O287),0,VLOOKUP('Etape 2'!O287,Matrix_Uebersetzung,2,FALSE))</f>
        <v>0</v>
      </c>
      <c r="U290" s="87">
        <f>IF(ISBLANK('Etape 2'!P287),0,VLOOKUP('Etape 2'!P287,Matrix_Uebersetzung,2,FALSE))</f>
        <v>0</v>
      </c>
      <c r="V290" s="87" t="str">
        <f>'Etape 2'!Q287</f>
        <v/>
      </c>
      <c r="W290" s="87">
        <f>'Etape 2'!R287</f>
        <v>0</v>
      </c>
      <c r="X290" s="87" t="str">
        <f>'Etape 2'!S287</f>
        <v/>
      </c>
      <c r="Y290" s="89" t="str">
        <f>'Etape 2'!T287</f>
        <v/>
      </c>
      <c r="Z290" s="87">
        <f>'Etape 2'!U287</f>
        <v>0</v>
      </c>
      <c r="AA290" s="87" t="str">
        <f>'Etape 2'!V287</f>
        <v/>
      </c>
      <c r="AB290" s="87">
        <f>IF(ISNUMBER('Etape 2'!W287),'Etape 2'!W287,0)</f>
        <v>0</v>
      </c>
      <c r="AC290" s="87">
        <f>IF(ISNUMBER('Etape 2'!X287),'Etape 2'!X287,0)</f>
        <v>0</v>
      </c>
      <c r="AD290" s="87">
        <f>IF(ISNUMBER('Etape 2'!Y287),'Etape 2'!Y287,0)</f>
        <v>0</v>
      </c>
      <c r="AE290" s="87">
        <f>IF(ISNUMBER('Etape 2'!Z287),'Etape 2'!Z287,0)</f>
        <v>0</v>
      </c>
      <c r="AF290" s="86">
        <f t="shared" si="263"/>
        <v>999</v>
      </c>
      <c r="AG290" s="288">
        <f t="shared" si="264"/>
        <v>0.25</v>
      </c>
      <c r="AH290" s="181" t="e">
        <f t="shared" si="248"/>
        <v>#VALUE!</v>
      </c>
      <c r="AI290" s="181" t="e">
        <f t="shared" si="233"/>
        <v>#VALUE!</v>
      </c>
      <c r="AJ290" s="86">
        <f t="shared" si="249"/>
        <v>200</v>
      </c>
      <c r="AK290" s="91" t="e">
        <f t="shared" si="250"/>
        <v>#N/A</v>
      </c>
      <c r="AL290" s="91" t="e">
        <f t="shared" si="234"/>
        <v>#N/A</v>
      </c>
      <c r="AM290" s="91">
        <f t="shared" si="109"/>
        <v>6</v>
      </c>
      <c r="AN290" s="91" t="e">
        <f t="shared" si="235"/>
        <v>#N/A</v>
      </c>
      <c r="AO290" s="91" t="e">
        <f t="shared" si="236"/>
        <v>#N/A</v>
      </c>
      <c r="AP290" s="21" t="e">
        <f t="shared" si="237"/>
        <v>#N/A</v>
      </c>
      <c r="AQ290" s="21" t="e">
        <f t="shared" si="238"/>
        <v>#N/A</v>
      </c>
      <c r="AR290" s="92" t="str">
        <f t="shared" si="265"/>
        <v/>
      </c>
      <c r="AS290" s="21" t="str">
        <f t="shared" si="266"/>
        <v/>
      </c>
      <c r="AT290" s="59" t="str">
        <f t="shared" si="251"/>
        <v/>
      </c>
      <c r="AU290" s="105">
        <f t="shared" si="113"/>
        <v>1</v>
      </c>
      <c r="AV290" s="105">
        <f t="shared" si="239"/>
        <v>1</v>
      </c>
      <c r="AW290" s="58">
        <f t="shared" si="240"/>
        <v>2</v>
      </c>
      <c r="AX290" s="58">
        <f t="shared" si="241"/>
        <v>3</v>
      </c>
      <c r="AY290" s="58" t="str">
        <f t="shared" si="242"/>
        <v>avec vannes</v>
      </c>
      <c r="AZ290" s="58" t="str">
        <f t="shared" si="243"/>
        <v>fermé</v>
      </c>
      <c r="BA290" s="60">
        <f t="shared" si="273"/>
        <v>0</v>
      </c>
      <c r="BB290" s="60">
        <f t="shared" si="273"/>
        <v>0</v>
      </c>
      <c r="BC290" s="60">
        <f t="shared" si="273"/>
        <v>0</v>
      </c>
      <c r="BD290" s="60">
        <f t="shared" si="273"/>
        <v>0</v>
      </c>
      <c r="BE290" s="286" t="str">
        <f t="shared" si="252"/>
        <v/>
      </c>
      <c r="BF290" s="58" t="str">
        <f t="shared" si="267"/>
        <v/>
      </c>
      <c r="BG290" s="59" t="str">
        <f t="shared" si="253"/>
        <v/>
      </c>
      <c r="BH290" s="158">
        <f t="shared" ca="1" si="254"/>
        <v>1</v>
      </c>
      <c r="BI290" s="60">
        <f t="shared" ca="1" si="255"/>
        <v>0.15</v>
      </c>
      <c r="BJ290" s="60">
        <f t="shared" si="256"/>
        <v>0.2</v>
      </c>
      <c r="BK290" s="60" t="str">
        <f t="shared" si="268"/>
        <v/>
      </c>
      <c r="BL290" s="21" t="str">
        <f t="shared" si="269"/>
        <v/>
      </c>
      <c r="BM290" s="264" t="str">
        <f t="shared" si="257"/>
        <v/>
      </c>
      <c r="BN290" s="60" t="str">
        <f t="shared" si="270"/>
        <v/>
      </c>
      <c r="BO290" s="136">
        <f t="shared" si="271"/>
        <v>0</v>
      </c>
      <c r="BP290" s="59">
        <f t="shared" si="272"/>
        <v>0</v>
      </c>
      <c r="BQ290" s="136">
        <f t="shared" ca="1" si="258"/>
        <v>1475</v>
      </c>
      <c r="BR290" s="136">
        <f t="shared" ca="1" si="259"/>
        <v>1000.9136212624585</v>
      </c>
      <c r="BS290" s="136">
        <f t="shared" ca="1" si="260"/>
        <v>1468800.9136212624</v>
      </c>
      <c r="BT290" s="136">
        <f t="shared" ca="1" si="261"/>
        <v>313875.83634702169</v>
      </c>
      <c r="BU290" s="136">
        <f t="shared" ca="1" si="262"/>
        <v>1000.9136212624585</v>
      </c>
    </row>
    <row r="291" spans="1:73" x14ac:dyDescent="0.2">
      <c r="A291" s="87" t="str">
        <f>'Etape 2'!A288</f>
        <v/>
      </c>
      <c r="B291" s="87">
        <f>'Etape 2'!B288</f>
        <v>276</v>
      </c>
      <c r="C291" s="87">
        <f ca="1">'Etape 2'!C288</f>
        <v>25</v>
      </c>
      <c r="D291" s="87"/>
      <c r="E291" s="61">
        <f ca="1">RANK(BU291,BU$16:BU$315,0)+COUNTIF(BU$16:BU291,BU291)-1</f>
        <v>25</v>
      </c>
      <c r="F291" s="87" t="str">
        <f>'Etape 2'!D288</f>
        <v/>
      </c>
      <c r="G291" s="87" t="str">
        <f>'Etape 2'!E288</f>
        <v/>
      </c>
      <c r="H291" s="87" t="str">
        <f>'Etape 2'!F288</f>
        <v/>
      </c>
      <c r="I291" s="87" t="str">
        <f>'Etape 2'!G288</f>
        <v/>
      </c>
      <c r="J291" s="87" t="str">
        <f>'Etape 2'!H288</f>
        <v/>
      </c>
      <c r="K291" s="87" t="str">
        <f>'Etape 2'!I288</f>
        <v/>
      </c>
      <c r="L291" s="87">
        <f ca="1">'Etape 2'!J288</f>
        <v>999999</v>
      </c>
      <c r="M291" s="87">
        <f>'Etape 2'!K288</f>
        <v>999</v>
      </c>
      <c r="N291" s="87">
        <f ca="1">'Etape 2'!L288</f>
        <v>276</v>
      </c>
      <c r="O291" s="259">
        <f t="shared" si="245"/>
        <v>0.3</v>
      </c>
      <c r="P291" s="259">
        <f t="shared" si="246"/>
        <v>1.1000000000000001</v>
      </c>
      <c r="Q291" s="260">
        <f t="shared" si="247"/>
        <v>0</v>
      </c>
      <c r="R291" s="261">
        <f t="shared" si="274"/>
        <v>0</v>
      </c>
      <c r="S291" s="87">
        <f>IF(ISBLANK('Etape 2'!N288),0,VLOOKUP('Etape 2'!N288,Matrix_Uebersetzung,2,FALSE))</f>
        <v>0</v>
      </c>
      <c r="T291" s="87">
        <f>IF(ISBLANK('Etape 2'!O288),0,VLOOKUP('Etape 2'!O288,Matrix_Uebersetzung,2,FALSE))</f>
        <v>0</v>
      </c>
      <c r="U291" s="87">
        <f>IF(ISBLANK('Etape 2'!P288),0,VLOOKUP('Etape 2'!P288,Matrix_Uebersetzung,2,FALSE))</f>
        <v>0</v>
      </c>
      <c r="V291" s="87" t="str">
        <f>'Etape 2'!Q288</f>
        <v/>
      </c>
      <c r="W291" s="87">
        <f>'Etape 2'!R288</f>
        <v>0</v>
      </c>
      <c r="X291" s="87" t="str">
        <f>'Etape 2'!S288</f>
        <v/>
      </c>
      <c r="Y291" s="89" t="str">
        <f>'Etape 2'!T288</f>
        <v/>
      </c>
      <c r="Z291" s="87">
        <f>'Etape 2'!U288</f>
        <v>0</v>
      </c>
      <c r="AA291" s="87" t="str">
        <f>'Etape 2'!V288</f>
        <v/>
      </c>
      <c r="AB291" s="87">
        <f>IF(ISNUMBER('Etape 2'!W288),'Etape 2'!W288,0)</f>
        <v>0</v>
      </c>
      <c r="AC291" s="87">
        <f>IF(ISNUMBER('Etape 2'!X288),'Etape 2'!X288,0)</f>
        <v>0</v>
      </c>
      <c r="AD291" s="87">
        <f>IF(ISNUMBER('Etape 2'!Y288),'Etape 2'!Y288,0)</f>
        <v>0</v>
      </c>
      <c r="AE291" s="87">
        <f>IF(ISNUMBER('Etape 2'!Z288),'Etape 2'!Z288,0)</f>
        <v>0</v>
      </c>
      <c r="AF291" s="86">
        <f t="shared" si="263"/>
        <v>999</v>
      </c>
      <c r="AG291" s="288">
        <f t="shared" si="264"/>
        <v>0.25</v>
      </c>
      <c r="AH291" s="181" t="e">
        <f t="shared" si="248"/>
        <v>#VALUE!</v>
      </c>
      <c r="AI291" s="181" t="e">
        <f t="shared" si="233"/>
        <v>#VALUE!</v>
      </c>
      <c r="AJ291" s="86">
        <f t="shared" si="249"/>
        <v>200</v>
      </c>
      <c r="AK291" s="91" t="e">
        <f t="shared" si="250"/>
        <v>#N/A</v>
      </c>
      <c r="AL291" s="91" t="e">
        <f t="shared" si="234"/>
        <v>#N/A</v>
      </c>
      <c r="AM291" s="91">
        <f t="shared" si="109"/>
        <v>6</v>
      </c>
      <c r="AN291" s="91" t="e">
        <f t="shared" si="235"/>
        <v>#N/A</v>
      </c>
      <c r="AO291" s="91" t="e">
        <f t="shared" si="236"/>
        <v>#N/A</v>
      </c>
      <c r="AP291" s="21" t="e">
        <f t="shared" si="237"/>
        <v>#N/A</v>
      </c>
      <c r="AQ291" s="21" t="e">
        <f t="shared" si="238"/>
        <v>#N/A</v>
      </c>
      <c r="AR291" s="92" t="str">
        <f t="shared" si="265"/>
        <v/>
      </c>
      <c r="AS291" s="21" t="str">
        <f t="shared" si="266"/>
        <v/>
      </c>
      <c r="AT291" s="59" t="str">
        <f t="shared" si="251"/>
        <v/>
      </c>
      <c r="AU291" s="105">
        <f t="shared" si="113"/>
        <v>1</v>
      </c>
      <c r="AV291" s="105">
        <f t="shared" si="239"/>
        <v>1</v>
      </c>
      <c r="AW291" s="58">
        <f t="shared" si="240"/>
        <v>2</v>
      </c>
      <c r="AX291" s="58">
        <f t="shared" si="241"/>
        <v>3</v>
      </c>
      <c r="AY291" s="58" t="str">
        <f t="shared" si="242"/>
        <v>avec vannes</v>
      </c>
      <c r="AZ291" s="58" t="str">
        <f t="shared" si="243"/>
        <v>fermé</v>
      </c>
      <c r="BA291" s="60">
        <f t="shared" si="273"/>
        <v>0</v>
      </c>
      <c r="BB291" s="60">
        <f t="shared" si="273"/>
        <v>0</v>
      </c>
      <c r="BC291" s="60">
        <f t="shared" si="273"/>
        <v>0</v>
      </c>
      <c r="BD291" s="60">
        <f t="shared" si="273"/>
        <v>0</v>
      </c>
      <c r="BE291" s="286" t="str">
        <f t="shared" si="252"/>
        <v/>
      </c>
      <c r="BF291" s="58" t="str">
        <f t="shared" si="267"/>
        <v/>
      </c>
      <c r="BG291" s="59" t="str">
        <f t="shared" si="253"/>
        <v/>
      </c>
      <c r="BH291" s="158">
        <f t="shared" ca="1" si="254"/>
        <v>1</v>
      </c>
      <c r="BI291" s="60">
        <f t="shared" ca="1" si="255"/>
        <v>0.15</v>
      </c>
      <c r="BJ291" s="60">
        <f t="shared" si="256"/>
        <v>0.2</v>
      </c>
      <c r="BK291" s="60" t="str">
        <f t="shared" si="268"/>
        <v/>
      </c>
      <c r="BL291" s="21" t="str">
        <f t="shared" si="269"/>
        <v/>
      </c>
      <c r="BM291" s="264" t="str">
        <f t="shared" si="257"/>
        <v/>
      </c>
      <c r="BN291" s="60" t="str">
        <f t="shared" si="270"/>
        <v/>
      </c>
      <c r="BO291" s="136">
        <f t="shared" si="271"/>
        <v>0</v>
      </c>
      <c r="BP291" s="59">
        <f t="shared" si="272"/>
        <v>0</v>
      </c>
      <c r="BQ291" s="136">
        <f t="shared" ca="1" si="258"/>
        <v>1476</v>
      </c>
      <c r="BR291" s="136">
        <f t="shared" ca="1" si="259"/>
        <v>1000.9169435215947</v>
      </c>
      <c r="BS291" s="136">
        <f t="shared" ca="1" si="260"/>
        <v>1468800.9169435217</v>
      </c>
      <c r="BT291" s="136">
        <f t="shared" ca="1" si="261"/>
        <v>313875.8396692808</v>
      </c>
      <c r="BU291" s="136">
        <f t="shared" ca="1" si="262"/>
        <v>1000.9169435215947</v>
      </c>
    </row>
    <row r="292" spans="1:73" x14ac:dyDescent="0.2">
      <c r="A292" s="87" t="str">
        <f>'Etape 2'!A289</f>
        <v/>
      </c>
      <c r="B292" s="87">
        <f>'Etape 2'!B289</f>
        <v>277</v>
      </c>
      <c r="C292" s="87">
        <f ca="1">'Etape 2'!C289</f>
        <v>24</v>
      </c>
      <c r="D292" s="87"/>
      <c r="E292" s="61">
        <f ca="1">RANK(BU292,BU$16:BU$315,0)+COUNTIF(BU$16:BU292,BU292)-1</f>
        <v>24</v>
      </c>
      <c r="F292" s="87" t="str">
        <f>'Etape 2'!D289</f>
        <v/>
      </c>
      <c r="G292" s="87" t="str">
        <f>'Etape 2'!E289</f>
        <v/>
      </c>
      <c r="H292" s="87" t="str">
        <f>'Etape 2'!F289</f>
        <v/>
      </c>
      <c r="I292" s="87" t="str">
        <f>'Etape 2'!G289</f>
        <v/>
      </c>
      <c r="J292" s="87" t="str">
        <f>'Etape 2'!H289</f>
        <v/>
      </c>
      <c r="K292" s="87" t="str">
        <f>'Etape 2'!I289</f>
        <v/>
      </c>
      <c r="L292" s="87">
        <f ca="1">'Etape 2'!J289</f>
        <v>999999</v>
      </c>
      <c r="M292" s="87">
        <f>'Etape 2'!K289</f>
        <v>999</v>
      </c>
      <c r="N292" s="87">
        <f ca="1">'Etape 2'!L289</f>
        <v>277</v>
      </c>
      <c r="O292" s="259">
        <f t="shared" si="245"/>
        <v>0.3</v>
      </c>
      <c r="P292" s="259">
        <f t="shared" si="246"/>
        <v>1.1000000000000001</v>
      </c>
      <c r="Q292" s="260">
        <f t="shared" si="247"/>
        <v>0</v>
      </c>
      <c r="R292" s="261">
        <f t="shared" si="274"/>
        <v>0</v>
      </c>
      <c r="S292" s="87">
        <f>IF(ISBLANK('Etape 2'!N289),0,VLOOKUP('Etape 2'!N289,Matrix_Uebersetzung,2,FALSE))</f>
        <v>0</v>
      </c>
      <c r="T292" s="87">
        <f>IF(ISBLANK('Etape 2'!O289),0,VLOOKUP('Etape 2'!O289,Matrix_Uebersetzung,2,FALSE))</f>
        <v>0</v>
      </c>
      <c r="U292" s="87">
        <f>IF(ISBLANK('Etape 2'!P289),0,VLOOKUP('Etape 2'!P289,Matrix_Uebersetzung,2,FALSE))</f>
        <v>0</v>
      </c>
      <c r="V292" s="87" t="str">
        <f>'Etape 2'!Q289</f>
        <v/>
      </c>
      <c r="W292" s="87">
        <f>'Etape 2'!R289</f>
        <v>0</v>
      </c>
      <c r="X292" s="87" t="str">
        <f>'Etape 2'!S289</f>
        <v/>
      </c>
      <c r="Y292" s="89" t="str">
        <f>'Etape 2'!T289</f>
        <v/>
      </c>
      <c r="Z292" s="87">
        <f>'Etape 2'!U289</f>
        <v>0</v>
      </c>
      <c r="AA292" s="87" t="str">
        <f>'Etape 2'!V289</f>
        <v/>
      </c>
      <c r="AB292" s="87">
        <f>IF(ISNUMBER('Etape 2'!W289),'Etape 2'!W289,0)</f>
        <v>0</v>
      </c>
      <c r="AC292" s="87">
        <f>IF(ISNUMBER('Etape 2'!X289),'Etape 2'!X289,0)</f>
        <v>0</v>
      </c>
      <c r="AD292" s="87">
        <f>IF(ISNUMBER('Etape 2'!Y289),'Etape 2'!Y289,0)</f>
        <v>0</v>
      </c>
      <c r="AE292" s="87">
        <f>IF(ISNUMBER('Etape 2'!Z289),'Etape 2'!Z289,0)</f>
        <v>0</v>
      </c>
      <c r="AF292" s="86">
        <f t="shared" si="263"/>
        <v>999</v>
      </c>
      <c r="AG292" s="288">
        <f t="shared" si="264"/>
        <v>0.25</v>
      </c>
      <c r="AH292" s="181" t="e">
        <f t="shared" si="248"/>
        <v>#VALUE!</v>
      </c>
      <c r="AI292" s="181" t="e">
        <f t="shared" si="233"/>
        <v>#VALUE!</v>
      </c>
      <c r="AJ292" s="86">
        <f t="shared" si="249"/>
        <v>200</v>
      </c>
      <c r="AK292" s="91" t="e">
        <f t="shared" si="250"/>
        <v>#N/A</v>
      </c>
      <c r="AL292" s="91" t="e">
        <f t="shared" si="234"/>
        <v>#N/A</v>
      </c>
      <c r="AM292" s="91">
        <f t="shared" si="109"/>
        <v>6</v>
      </c>
      <c r="AN292" s="91" t="e">
        <f t="shared" si="235"/>
        <v>#N/A</v>
      </c>
      <c r="AO292" s="91" t="e">
        <f t="shared" si="236"/>
        <v>#N/A</v>
      </c>
      <c r="AP292" s="21" t="e">
        <f t="shared" si="237"/>
        <v>#N/A</v>
      </c>
      <c r="AQ292" s="21" t="e">
        <f t="shared" si="238"/>
        <v>#N/A</v>
      </c>
      <c r="AR292" s="92" t="str">
        <f t="shared" si="265"/>
        <v/>
      </c>
      <c r="AS292" s="21" t="str">
        <f t="shared" si="266"/>
        <v/>
      </c>
      <c r="AT292" s="59" t="str">
        <f t="shared" si="251"/>
        <v/>
      </c>
      <c r="AU292" s="105">
        <f t="shared" si="113"/>
        <v>1</v>
      </c>
      <c r="AV292" s="105">
        <f t="shared" si="239"/>
        <v>1</v>
      </c>
      <c r="AW292" s="58">
        <f t="shared" si="240"/>
        <v>2</v>
      </c>
      <c r="AX292" s="58">
        <f t="shared" si="241"/>
        <v>3</v>
      </c>
      <c r="AY292" s="58" t="str">
        <f t="shared" si="242"/>
        <v>avec vannes</v>
      </c>
      <c r="AZ292" s="58" t="str">
        <f t="shared" si="243"/>
        <v>fermé</v>
      </c>
      <c r="BA292" s="60">
        <f t="shared" si="273"/>
        <v>0</v>
      </c>
      <c r="BB292" s="60">
        <f t="shared" si="273"/>
        <v>0</v>
      </c>
      <c r="BC292" s="60">
        <f t="shared" si="273"/>
        <v>0</v>
      </c>
      <c r="BD292" s="60">
        <f t="shared" si="273"/>
        <v>0</v>
      </c>
      <c r="BE292" s="286" t="str">
        <f t="shared" si="252"/>
        <v/>
      </c>
      <c r="BF292" s="58" t="str">
        <f t="shared" si="267"/>
        <v/>
      </c>
      <c r="BG292" s="59" t="str">
        <f t="shared" si="253"/>
        <v/>
      </c>
      <c r="BH292" s="158">
        <f t="shared" ca="1" si="254"/>
        <v>1</v>
      </c>
      <c r="BI292" s="60">
        <f t="shared" ca="1" si="255"/>
        <v>0.15</v>
      </c>
      <c r="BJ292" s="60">
        <f t="shared" si="256"/>
        <v>0.2</v>
      </c>
      <c r="BK292" s="60" t="str">
        <f t="shared" si="268"/>
        <v/>
      </c>
      <c r="BL292" s="21" t="str">
        <f t="shared" si="269"/>
        <v/>
      </c>
      <c r="BM292" s="264" t="str">
        <f t="shared" si="257"/>
        <v/>
      </c>
      <c r="BN292" s="60" t="str">
        <f t="shared" si="270"/>
        <v/>
      </c>
      <c r="BO292" s="136">
        <f t="shared" si="271"/>
        <v>0</v>
      </c>
      <c r="BP292" s="59">
        <f t="shared" si="272"/>
        <v>0</v>
      </c>
      <c r="BQ292" s="136">
        <f t="shared" ca="1" si="258"/>
        <v>1477</v>
      </c>
      <c r="BR292" s="136">
        <f t="shared" ca="1" si="259"/>
        <v>1000.9202657807309</v>
      </c>
      <c r="BS292" s="136">
        <f t="shared" ca="1" si="260"/>
        <v>1468800.9202657808</v>
      </c>
      <c r="BT292" s="136">
        <f t="shared" ca="1" si="261"/>
        <v>313875.84299153992</v>
      </c>
      <c r="BU292" s="136">
        <f t="shared" ca="1" si="262"/>
        <v>1000.9202657807309</v>
      </c>
    </row>
    <row r="293" spans="1:73" x14ac:dyDescent="0.2">
      <c r="A293" s="87" t="str">
        <f>'Etape 2'!A290</f>
        <v/>
      </c>
      <c r="B293" s="87">
        <f>'Etape 2'!B290</f>
        <v>278</v>
      </c>
      <c r="C293" s="87">
        <f ca="1">'Etape 2'!C290</f>
        <v>23</v>
      </c>
      <c r="D293" s="87"/>
      <c r="E293" s="61">
        <f ca="1">RANK(BU293,BU$16:BU$315,0)+COUNTIF(BU$16:BU293,BU293)-1</f>
        <v>23</v>
      </c>
      <c r="F293" s="87" t="str">
        <f>'Etape 2'!D290</f>
        <v/>
      </c>
      <c r="G293" s="87" t="str">
        <f>'Etape 2'!E290</f>
        <v/>
      </c>
      <c r="H293" s="87" t="str">
        <f>'Etape 2'!F290</f>
        <v/>
      </c>
      <c r="I293" s="87" t="str">
        <f>'Etape 2'!G290</f>
        <v/>
      </c>
      <c r="J293" s="87" t="str">
        <f>'Etape 2'!H290</f>
        <v/>
      </c>
      <c r="K293" s="87" t="str">
        <f>'Etape 2'!I290</f>
        <v/>
      </c>
      <c r="L293" s="87">
        <f ca="1">'Etape 2'!J290</f>
        <v>999999</v>
      </c>
      <c r="M293" s="87">
        <f>'Etape 2'!K290</f>
        <v>999</v>
      </c>
      <c r="N293" s="87">
        <f ca="1">'Etape 2'!L290</f>
        <v>278</v>
      </c>
      <c r="O293" s="259">
        <f t="shared" si="245"/>
        <v>0.3</v>
      </c>
      <c r="P293" s="259">
        <f t="shared" si="246"/>
        <v>1.1000000000000001</v>
      </c>
      <c r="Q293" s="260">
        <f t="shared" si="247"/>
        <v>0</v>
      </c>
      <c r="R293" s="261">
        <f t="shared" si="274"/>
        <v>0</v>
      </c>
      <c r="S293" s="87">
        <f>IF(ISBLANK('Etape 2'!N290),0,VLOOKUP('Etape 2'!N290,Matrix_Uebersetzung,2,FALSE))</f>
        <v>0</v>
      </c>
      <c r="T293" s="87">
        <f>IF(ISBLANK('Etape 2'!O290),0,VLOOKUP('Etape 2'!O290,Matrix_Uebersetzung,2,FALSE))</f>
        <v>0</v>
      </c>
      <c r="U293" s="87">
        <f>IF(ISBLANK('Etape 2'!P290),0,VLOOKUP('Etape 2'!P290,Matrix_Uebersetzung,2,FALSE))</f>
        <v>0</v>
      </c>
      <c r="V293" s="87" t="str">
        <f>'Etape 2'!Q290</f>
        <v/>
      </c>
      <c r="W293" s="87">
        <f>'Etape 2'!R290</f>
        <v>0</v>
      </c>
      <c r="X293" s="87" t="str">
        <f>'Etape 2'!S290</f>
        <v/>
      </c>
      <c r="Y293" s="89" t="str">
        <f>'Etape 2'!T290</f>
        <v/>
      </c>
      <c r="Z293" s="87">
        <f>'Etape 2'!U290</f>
        <v>0</v>
      </c>
      <c r="AA293" s="87" t="str">
        <f>'Etape 2'!V290</f>
        <v/>
      </c>
      <c r="AB293" s="87">
        <f>IF(ISNUMBER('Etape 2'!W290),'Etape 2'!W290,0)</f>
        <v>0</v>
      </c>
      <c r="AC293" s="87">
        <f>IF(ISNUMBER('Etape 2'!X290),'Etape 2'!X290,0)</f>
        <v>0</v>
      </c>
      <c r="AD293" s="87">
        <f>IF(ISNUMBER('Etape 2'!Y290),'Etape 2'!Y290,0)</f>
        <v>0</v>
      </c>
      <c r="AE293" s="87">
        <f>IF(ISNUMBER('Etape 2'!Z290),'Etape 2'!Z290,0)</f>
        <v>0</v>
      </c>
      <c r="AF293" s="86">
        <f t="shared" si="263"/>
        <v>999</v>
      </c>
      <c r="AG293" s="288">
        <f t="shared" si="264"/>
        <v>0.25</v>
      </c>
      <c r="AH293" s="181" t="e">
        <f t="shared" si="248"/>
        <v>#VALUE!</v>
      </c>
      <c r="AI293" s="181" t="e">
        <f t="shared" si="233"/>
        <v>#VALUE!</v>
      </c>
      <c r="AJ293" s="86">
        <f t="shared" si="249"/>
        <v>200</v>
      </c>
      <c r="AK293" s="91" t="e">
        <f t="shared" si="250"/>
        <v>#N/A</v>
      </c>
      <c r="AL293" s="91" t="e">
        <f t="shared" si="234"/>
        <v>#N/A</v>
      </c>
      <c r="AM293" s="91">
        <f t="shared" si="109"/>
        <v>6</v>
      </c>
      <c r="AN293" s="91" t="e">
        <f t="shared" si="235"/>
        <v>#N/A</v>
      </c>
      <c r="AO293" s="91" t="e">
        <f t="shared" si="236"/>
        <v>#N/A</v>
      </c>
      <c r="AP293" s="21" t="e">
        <f t="shared" si="237"/>
        <v>#N/A</v>
      </c>
      <c r="AQ293" s="21" t="e">
        <f t="shared" si="238"/>
        <v>#N/A</v>
      </c>
      <c r="AR293" s="92" t="str">
        <f t="shared" si="265"/>
        <v/>
      </c>
      <c r="AS293" s="21" t="str">
        <f t="shared" si="266"/>
        <v/>
      </c>
      <c r="AT293" s="59" t="str">
        <f t="shared" si="251"/>
        <v/>
      </c>
      <c r="AU293" s="105">
        <f t="shared" si="113"/>
        <v>1</v>
      </c>
      <c r="AV293" s="105">
        <f t="shared" si="239"/>
        <v>1</v>
      </c>
      <c r="AW293" s="58">
        <f t="shared" si="240"/>
        <v>2</v>
      </c>
      <c r="AX293" s="58">
        <f t="shared" si="241"/>
        <v>3</v>
      </c>
      <c r="AY293" s="58" t="str">
        <f t="shared" si="242"/>
        <v>avec vannes</v>
      </c>
      <c r="AZ293" s="58" t="str">
        <f t="shared" si="243"/>
        <v>fermé</v>
      </c>
      <c r="BA293" s="60">
        <f t="shared" si="273"/>
        <v>0</v>
      </c>
      <c r="BB293" s="60">
        <f t="shared" si="273"/>
        <v>0</v>
      </c>
      <c r="BC293" s="60">
        <f t="shared" si="273"/>
        <v>0</v>
      </c>
      <c r="BD293" s="60">
        <f t="shared" si="273"/>
        <v>0</v>
      </c>
      <c r="BE293" s="286" t="str">
        <f t="shared" si="252"/>
        <v/>
      </c>
      <c r="BF293" s="58" t="str">
        <f t="shared" si="267"/>
        <v/>
      </c>
      <c r="BG293" s="59" t="str">
        <f t="shared" si="253"/>
        <v/>
      </c>
      <c r="BH293" s="158">
        <f t="shared" ca="1" si="254"/>
        <v>1</v>
      </c>
      <c r="BI293" s="60">
        <f t="shared" ca="1" si="255"/>
        <v>0.15</v>
      </c>
      <c r="BJ293" s="60">
        <f t="shared" si="256"/>
        <v>0.2</v>
      </c>
      <c r="BK293" s="60" t="str">
        <f t="shared" si="268"/>
        <v/>
      </c>
      <c r="BL293" s="21" t="str">
        <f t="shared" si="269"/>
        <v/>
      </c>
      <c r="BM293" s="264" t="str">
        <f t="shared" si="257"/>
        <v/>
      </c>
      <c r="BN293" s="60" t="str">
        <f t="shared" si="270"/>
        <v/>
      </c>
      <c r="BO293" s="136">
        <f t="shared" si="271"/>
        <v>0</v>
      </c>
      <c r="BP293" s="59">
        <f t="shared" si="272"/>
        <v>0</v>
      </c>
      <c r="BQ293" s="136">
        <f t="shared" ca="1" si="258"/>
        <v>1478</v>
      </c>
      <c r="BR293" s="136">
        <f t="shared" ca="1" si="259"/>
        <v>1000.9235880398671</v>
      </c>
      <c r="BS293" s="136">
        <f t="shared" ca="1" si="260"/>
        <v>1468800.9235880398</v>
      </c>
      <c r="BT293" s="136">
        <f t="shared" ca="1" si="261"/>
        <v>313875.84631379909</v>
      </c>
      <c r="BU293" s="136">
        <f t="shared" ca="1" si="262"/>
        <v>1000.9235880398671</v>
      </c>
    </row>
    <row r="294" spans="1:73" x14ac:dyDescent="0.2">
      <c r="A294" s="87" t="str">
        <f>'Etape 2'!A291</f>
        <v/>
      </c>
      <c r="B294" s="87">
        <f>'Etape 2'!B291</f>
        <v>279</v>
      </c>
      <c r="C294" s="87">
        <f ca="1">'Etape 2'!C291</f>
        <v>22</v>
      </c>
      <c r="D294" s="87"/>
      <c r="E294" s="61">
        <f ca="1">RANK(BU294,BU$16:BU$315,0)+COUNTIF(BU$16:BU294,BU294)-1</f>
        <v>22</v>
      </c>
      <c r="F294" s="87" t="str">
        <f>'Etape 2'!D291</f>
        <v/>
      </c>
      <c r="G294" s="87" t="str">
        <f>'Etape 2'!E291</f>
        <v/>
      </c>
      <c r="H294" s="87" t="str">
        <f>'Etape 2'!F291</f>
        <v/>
      </c>
      <c r="I294" s="87" t="str">
        <f>'Etape 2'!G291</f>
        <v/>
      </c>
      <c r="J294" s="87" t="str">
        <f>'Etape 2'!H291</f>
        <v/>
      </c>
      <c r="K294" s="87" t="str">
        <f>'Etape 2'!I291</f>
        <v/>
      </c>
      <c r="L294" s="87">
        <f ca="1">'Etape 2'!J291</f>
        <v>999999</v>
      </c>
      <c r="M294" s="87">
        <f>'Etape 2'!K291</f>
        <v>999</v>
      </c>
      <c r="N294" s="87">
        <f ca="1">'Etape 2'!L291</f>
        <v>279</v>
      </c>
      <c r="O294" s="259">
        <f t="shared" si="245"/>
        <v>0.3</v>
      </c>
      <c r="P294" s="259">
        <f t="shared" si="246"/>
        <v>1.1000000000000001</v>
      </c>
      <c r="Q294" s="260">
        <f t="shared" si="247"/>
        <v>0</v>
      </c>
      <c r="R294" s="261">
        <f t="shared" si="274"/>
        <v>0</v>
      </c>
      <c r="S294" s="87">
        <f>IF(ISBLANK('Etape 2'!N291),0,VLOOKUP('Etape 2'!N291,Matrix_Uebersetzung,2,FALSE))</f>
        <v>0</v>
      </c>
      <c r="T294" s="87">
        <f>IF(ISBLANK('Etape 2'!O291),0,VLOOKUP('Etape 2'!O291,Matrix_Uebersetzung,2,FALSE))</f>
        <v>0</v>
      </c>
      <c r="U294" s="87">
        <f>IF(ISBLANK('Etape 2'!P291),0,VLOOKUP('Etape 2'!P291,Matrix_Uebersetzung,2,FALSE))</f>
        <v>0</v>
      </c>
      <c r="V294" s="87" t="str">
        <f>'Etape 2'!Q291</f>
        <v/>
      </c>
      <c r="W294" s="87">
        <f>'Etape 2'!R291</f>
        <v>0</v>
      </c>
      <c r="X294" s="87" t="str">
        <f>'Etape 2'!S291</f>
        <v/>
      </c>
      <c r="Y294" s="89" t="str">
        <f>'Etape 2'!T291</f>
        <v/>
      </c>
      <c r="Z294" s="87">
        <f>'Etape 2'!U291</f>
        <v>0</v>
      </c>
      <c r="AA294" s="87" t="str">
        <f>'Etape 2'!V291</f>
        <v/>
      </c>
      <c r="AB294" s="87">
        <f>IF(ISNUMBER('Etape 2'!W291),'Etape 2'!W291,0)</f>
        <v>0</v>
      </c>
      <c r="AC294" s="87">
        <f>IF(ISNUMBER('Etape 2'!X291),'Etape 2'!X291,0)</f>
        <v>0</v>
      </c>
      <c r="AD294" s="87">
        <f>IF(ISNUMBER('Etape 2'!Y291),'Etape 2'!Y291,0)</f>
        <v>0</v>
      </c>
      <c r="AE294" s="87">
        <f>IF(ISNUMBER('Etape 2'!Z291),'Etape 2'!Z291,0)</f>
        <v>0</v>
      </c>
      <c r="AF294" s="86">
        <f t="shared" si="263"/>
        <v>999</v>
      </c>
      <c r="AG294" s="288">
        <f t="shared" si="264"/>
        <v>0.25</v>
      </c>
      <c r="AH294" s="181" t="e">
        <f t="shared" si="248"/>
        <v>#VALUE!</v>
      </c>
      <c r="AI294" s="181" t="e">
        <f t="shared" si="233"/>
        <v>#VALUE!</v>
      </c>
      <c r="AJ294" s="86">
        <f t="shared" si="249"/>
        <v>200</v>
      </c>
      <c r="AK294" s="91" t="e">
        <f t="shared" si="250"/>
        <v>#N/A</v>
      </c>
      <c r="AL294" s="91" t="e">
        <f t="shared" si="234"/>
        <v>#N/A</v>
      </c>
      <c r="AM294" s="91">
        <f t="shared" si="109"/>
        <v>6</v>
      </c>
      <c r="AN294" s="91" t="e">
        <f t="shared" si="235"/>
        <v>#N/A</v>
      </c>
      <c r="AO294" s="91" t="e">
        <f t="shared" si="236"/>
        <v>#N/A</v>
      </c>
      <c r="AP294" s="21" t="e">
        <f t="shared" si="237"/>
        <v>#N/A</v>
      </c>
      <c r="AQ294" s="21" t="e">
        <f t="shared" si="238"/>
        <v>#N/A</v>
      </c>
      <c r="AR294" s="92" t="str">
        <f t="shared" si="265"/>
        <v/>
      </c>
      <c r="AS294" s="21" t="str">
        <f t="shared" si="266"/>
        <v/>
      </c>
      <c r="AT294" s="59" t="str">
        <f t="shared" si="251"/>
        <v/>
      </c>
      <c r="AU294" s="105">
        <f t="shared" si="113"/>
        <v>1</v>
      </c>
      <c r="AV294" s="105">
        <f t="shared" si="239"/>
        <v>1</v>
      </c>
      <c r="AW294" s="58">
        <f t="shared" si="240"/>
        <v>2</v>
      </c>
      <c r="AX294" s="58">
        <f t="shared" si="241"/>
        <v>3</v>
      </c>
      <c r="AY294" s="58" t="str">
        <f t="shared" si="242"/>
        <v>avec vannes</v>
      </c>
      <c r="AZ294" s="58" t="str">
        <f t="shared" si="243"/>
        <v>fermé</v>
      </c>
      <c r="BA294" s="60">
        <f t="shared" si="273"/>
        <v>0</v>
      </c>
      <c r="BB294" s="60">
        <f t="shared" si="273"/>
        <v>0</v>
      </c>
      <c r="BC294" s="60">
        <f t="shared" si="273"/>
        <v>0</v>
      </c>
      <c r="BD294" s="60">
        <f t="shared" si="273"/>
        <v>0</v>
      </c>
      <c r="BE294" s="286" t="str">
        <f t="shared" si="252"/>
        <v/>
      </c>
      <c r="BF294" s="58" t="str">
        <f t="shared" si="267"/>
        <v/>
      </c>
      <c r="BG294" s="59" t="str">
        <f t="shared" si="253"/>
        <v/>
      </c>
      <c r="BH294" s="158">
        <f t="shared" ca="1" si="254"/>
        <v>1</v>
      </c>
      <c r="BI294" s="60">
        <f t="shared" ca="1" si="255"/>
        <v>0.15</v>
      </c>
      <c r="BJ294" s="60">
        <f t="shared" si="256"/>
        <v>0.2</v>
      </c>
      <c r="BK294" s="60" t="str">
        <f t="shared" si="268"/>
        <v/>
      </c>
      <c r="BL294" s="21" t="str">
        <f t="shared" si="269"/>
        <v/>
      </c>
      <c r="BM294" s="264" t="str">
        <f t="shared" si="257"/>
        <v/>
      </c>
      <c r="BN294" s="60" t="str">
        <f t="shared" si="270"/>
        <v/>
      </c>
      <c r="BO294" s="136">
        <f t="shared" si="271"/>
        <v>0</v>
      </c>
      <c r="BP294" s="59">
        <f t="shared" si="272"/>
        <v>0</v>
      </c>
      <c r="BQ294" s="136">
        <f t="shared" ca="1" si="258"/>
        <v>1479</v>
      </c>
      <c r="BR294" s="136">
        <f t="shared" ca="1" si="259"/>
        <v>1000.9269102990033</v>
      </c>
      <c r="BS294" s="136">
        <f t="shared" ca="1" si="260"/>
        <v>1468800.9269102991</v>
      </c>
      <c r="BT294" s="136">
        <f t="shared" ca="1" si="261"/>
        <v>313875.84963605821</v>
      </c>
      <c r="BU294" s="136">
        <f t="shared" ca="1" si="262"/>
        <v>1000.9269102990033</v>
      </c>
    </row>
    <row r="295" spans="1:73" x14ac:dyDescent="0.2">
      <c r="A295" s="87" t="str">
        <f>'Etape 2'!A292</f>
        <v/>
      </c>
      <c r="B295" s="87">
        <f>'Etape 2'!B292</f>
        <v>280</v>
      </c>
      <c r="C295" s="87">
        <f ca="1">'Etape 2'!C292</f>
        <v>21</v>
      </c>
      <c r="D295" s="87"/>
      <c r="E295" s="61">
        <f ca="1">RANK(BU295,BU$16:BU$315,0)+COUNTIF(BU$16:BU295,BU295)-1</f>
        <v>21</v>
      </c>
      <c r="F295" s="87" t="str">
        <f>'Etape 2'!D292</f>
        <v/>
      </c>
      <c r="G295" s="87" t="str">
        <f>'Etape 2'!E292</f>
        <v/>
      </c>
      <c r="H295" s="87" t="str">
        <f>'Etape 2'!F292</f>
        <v/>
      </c>
      <c r="I295" s="87" t="str">
        <f>'Etape 2'!G292</f>
        <v/>
      </c>
      <c r="J295" s="87" t="str">
        <f>'Etape 2'!H292</f>
        <v/>
      </c>
      <c r="K295" s="87" t="str">
        <f>'Etape 2'!I292</f>
        <v/>
      </c>
      <c r="L295" s="87">
        <f ca="1">'Etape 2'!J292</f>
        <v>999999</v>
      </c>
      <c r="M295" s="87">
        <f>'Etape 2'!K292</f>
        <v>999</v>
      </c>
      <c r="N295" s="87">
        <f ca="1">'Etape 2'!L292</f>
        <v>280</v>
      </c>
      <c r="O295" s="259">
        <f t="shared" si="245"/>
        <v>0.3</v>
      </c>
      <c r="P295" s="259">
        <f t="shared" si="246"/>
        <v>1.1000000000000001</v>
      </c>
      <c r="Q295" s="260">
        <f t="shared" si="247"/>
        <v>0</v>
      </c>
      <c r="R295" s="261">
        <f t="shared" si="274"/>
        <v>0</v>
      </c>
      <c r="S295" s="87">
        <f>IF(ISBLANK('Etape 2'!N292),0,VLOOKUP('Etape 2'!N292,Matrix_Uebersetzung,2,FALSE))</f>
        <v>0</v>
      </c>
      <c r="T295" s="87">
        <f>IF(ISBLANK('Etape 2'!O292),0,VLOOKUP('Etape 2'!O292,Matrix_Uebersetzung,2,FALSE))</f>
        <v>0</v>
      </c>
      <c r="U295" s="87">
        <f>IF(ISBLANK('Etape 2'!P292),0,VLOOKUP('Etape 2'!P292,Matrix_Uebersetzung,2,FALSE))</f>
        <v>0</v>
      </c>
      <c r="V295" s="87" t="str">
        <f>'Etape 2'!Q292</f>
        <v/>
      </c>
      <c r="W295" s="87">
        <f>'Etape 2'!R292</f>
        <v>0</v>
      </c>
      <c r="X295" s="87" t="str">
        <f>'Etape 2'!S292</f>
        <v/>
      </c>
      <c r="Y295" s="89" t="str">
        <f>'Etape 2'!T292</f>
        <v/>
      </c>
      <c r="Z295" s="87">
        <f>'Etape 2'!U292</f>
        <v>0</v>
      </c>
      <c r="AA295" s="87" t="str">
        <f>'Etape 2'!V292</f>
        <v/>
      </c>
      <c r="AB295" s="87">
        <f>IF(ISNUMBER('Etape 2'!W292),'Etape 2'!W292,0)</f>
        <v>0</v>
      </c>
      <c r="AC295" s="87">
        <f>IF(ISNUMBER('Etape 2'!X292),'Etape 2'!X292,0)</f>
        <v>0</v>
      </c>
      <c r="AD295" s="87">
        <f>IF(ISNUMBER('Etape 2'!Y292),'Etape 2'!Y292,0)</f>
        <v>0</v>
      </c>
      <c r="AE295" s="87">
        <f>IF(ISNUMBER('Etape 2'!Z292),'Etape 2'!Z292,0)</f>
        <v>0</v>
      </c>
      <c r="AF295" s="86">
        <f t="shared" si="263"/>
        <v>999</v>
      </c>
      <c r="AG295" s="288">
        <f t="shared" si="264"/>
        <v>0.25</v>
      </c>
      <c r="AH295" s="181" t="e">
        <f t="shared" si="248"/>
        <v>#VALUE!</v>
      </c>
      <c r="AI295" s="181" t="e">
        <f t="shared" si="233"/>
        <v>#VALUE!</v>
      </c>
      <c r="AJ295" s="86">
        <f t="shared" si="249"/>
        <v>200</v>
      </c>
      <c r="AK295" s="91" t="e">
        <f t="shared" si="250"/>
        <v>#N/A</v>
      </c>
      <c r="AL295" s="91" t="e">
        <f t="shared" si="234"/>
        <v>#N/A</v>
      </c>
      <c r="AM295" s="91">
        <f t="shared" si="109"/>
        <v>6</v>
      </c>
      <c r="AN295" s="91" t="e">
        <f t="shared" si="235"/>
        <v>#N/A</v>
      </c>
      <c r="AO295" s="91" t="e">
        <f t="shared" si="236"/>
        <v>#N/A</v>
      </c>
      <c r="AP295" s="21" t="e">
        <f t="shared" si="237"/>
        <v>#N/A</v>
      </c>
      <c r="AQ295" s="21" t="e">
        <f t="shared" si="238"/>
        <v>#N/A</v>
      </c>
      <c r="AR295" s="92" t="str">
        <f t="shared" si="265"/>
        <v/>
      </c>
      <c r="AS295" s="21" t="str">
        <f t="shared" si="266"/>
        <v/>
      </c>
      <c r="AT295" s="59" t="str">
        <f t="shared" si="251"/>
        <v/>
      </c>
      <c r="AU295" s="105">
        <f t="shared" si="113"/>
        <v>1</v>
      </c>
      <c r="AV295" s="105">
        <f t="shared" si="239"/>
        <v>1</v>
      </c>
      <c r="AW295" s="58">
        <f t="shared" si="240"/>
        <v>2</v>
      </c>
      <c r="AX295" s="58">
        <f t="shared" si="241"/>
        <v>3</v>
      </c>
      <c r="AY295" s="58" t="str">
        <f t="shared" si="242"/>
        <v>avec vannes</v>
      </c>
      <c r="AZ295" s="58" t="str">
        <f t="shared" si="243"/>
        <v>fermé</v>
      </c>
      <c r="BA295" s="60">
        <f t="shared" si="273"/>
        <v>0</v>
      </c>
      <c r="BB295" s="60">
        <f t="shared" si="273"/>
        <v>0</v>
      </c>
      <c r="BC295" s="60">
        <f t="shared" si="273"/>
        <v>0</v>
      </c>
      <c r="BD295" s="60">
        <f t="shared" si="273"/>
        <v>0</v>
      </c>
      <c r="BE295" s="286" t="str">
        <f t="shared" si="252"/>
        <v/>
      </c>
      <c r="BF295" s="58" t="str">
        <f t="shared" si="267"/>
        <v/>
      </c>
      <c r="BG295" s="59" t="str">
        <f t="shared" si="253"/>
        <v/>
      </c>
      <c r="BH295" s="158">
        <f t="shared" ca="1" si="254"/>
        <v>1</v>
      </c>
      <c r="BI295" s="60">
        <f t="shared" ca="1" si="255"/>
        <v>0.15</v>
      </c>
      <c r="BJ295" s="60">
        <f t="shared" si="256"/>
        <v>0.2</v>
      </c>
      <c r="BK295" s="60" t="str">
        <f t="shared" si="268"/>
        <v/>
      </c>
      <c r="BL295" s="21" t="str">
        <f t="shared" si="269"/>
        <v/>
      </c>
      <c r="BM295" s="264" t="str">
        <f t="shared" si="257"/>
        <v/>
      </c>
      <c r="BN295" s="60" t="str">
        <f t="shared" si="270"/>
        <v/>
      </c>
      <c r="BO295" s="136">
        <f t="shared" si="271"/>
        <v>0</v>
      </c>
      <c r="BP295" s="59">
        <f t="shared" si="272"/>
        <v>0</v>
      </c>
      <c r="BQ295" s="136">
        <f t="shared" ca="1" si="258"/>
        <v>1480</v>
      </c>
      <c r="BR295" s="136">
        <f t="shared" ca="1" si="259"/>
        <v>1000.9302325581396</v>
      </c>
      <c r="BS295" s="136">
        <f t="shared" ca="1" si="260"/>
        <v>1468800.9302325582</v>
      </c>
      <c r="BT295" s="136">
        <f t="shared" ca="1" si="261"/>
        <v>313875.85295831738</v>
      </c>
      <c r="BU295" s="136">
        <f t="shared" ca="1" si="262"/>
        <v>1000.9302325581396</v>
      </c>
    </row>
    <row r="296" spans="1:73" x14ac:dyDescent="0.2">
      <c r="A296" s="87" t="str">
        <f>'Etape 2'!A293</f>
        <v/>
      </c>
      <c r="B296" s="87">
        <f>'Etape 2'!B293</f>
        <v>281</v>
      </c>
      <c r="C296" s="87">
        <f ca="1">'Etape 2'!C293</f>
        <v>20</v>
      </c>
      <c r="D296" s="87"/>
      <c r="E296" s="61">
        <f ca="1">RANK(BU296,BU$16:BU$315,0)+COUNTIF(BU$16:BU296,BU296)-1</f>
        <v>20</v>
      </c>
      <c r="F296" s="87" t="str">
        <f>'Etape 2'!D293</f>
        <v/>
      </c>
      <c r="G296" s="87" t="str">
        <f>'Etape 2'!E293</f>
        <v/>
      </c>
      <c r="H296" s="87" t="str">
        <f>'Etape 2'!F293</f>
        <v/>
      </c>
      <c r="I296" s="87" t="str">
        <f>'Etape 2'!G293</f>
        <v/>
      </c>
      <c r="J296" s="87" t="str">
        <f>'Etape 2'!H293</f>
        <v/>
      </c>
      <c r="K296" s="87" t="str">
        <f>'Etape 2'!I293</f>
        <v/>
      </c>
      <c r="L296" s="87">
        <f ca="1">'Etape 2'!J293</f>
        <v>999999</v>
      </c>
      <c r="M296" s="87">
        <f>'Etape 2'!K293</f>
        <v>999</v>
      </c>
      <c r="N296" s="87">
        <f ca="1">'Etape 2'!L293</f>
        <v>281</v>
      </c>
      <c r="O296" s="259">
        <f t="shared" si="245"/>
        <v>0.3</v>
      </c>
      <c r="P296" s="259">
        <f t="shared" si="246"/>
        <v>1.1000000000000001</v>
      </c>
      <c r="Q296" s="260">
        <f t="shared" si="247"/>
        <v>0</v>
      </c>
      <c r="R296" s="261">
        <f t="shared" si="274"/>
        <v>0</v>
      </c>
      <c r="S296" s="87">
        <f>IF(ISBLANK('Etape 2'!N293),0,VLOOKUP('Etape 2'!N293,Matrix_Uebersetzung,2,FALSE))</f>
        <v>0</v>
      </c>
      <c r="T296" s="87">
        <f>IF(ISBLANK('Etape 2'!O293),0,VLOOKUP('Etape 2'!O293,Matrix_Uebersetzung,2,FALSE))</f>
        <v>0</v>
      </c>
      <c r="U296" s="87">
        <f>IF(ISBLANK('Etape 2'!P293),0,VLOOKUP('Etape 2'!P293,Matrix_Uebersetzung,2,FALSE))</f>
        <v>0</v>
      </c>
      <c r="V296" s="87" t="str">
        <f>'Etape 2'!Q293</f>
        <v/>
      </c>
      <c r="W296" s="87">
        <f>'Etape 2'!R293</f>
        <v>0</v>
      </c>
      <c r="X296" s="87" t="str">
        <f>'Etape 2'!S293</f>
        <v/>
      </c>
      <c r="Y296" s="89" t="str">
        <f>'Etape 2'!T293</f>
        <v/>
      </c>
      <c r="Z296" s="87">
        <f>'Etape 2'!U293</f>
        <v>0</v>
      </c>
      <c r="AA296" s="87" t="str">
        <f>'Etape 2'!V293</f>
        <v/>
      </c>
      <c r="AB296" s="87">
        <f>IF(ISNUMBER('Etape 2'!W293),'Etape 2'!W293,0)</f>
        <v>0</v>
      </c>
      <c r="AC296" s="87">
        <f>IF(ISNUMBER('Etape 2'!X293),'Etape 2'!X293,0)</f>
        <v>0</v>
      </c>
      <c r="AD296" s="87">
        <f>IF(ISNUMBER('Etape 2'!Y293),'Etape 2'!Y293,0)</f>
        <v>0</v>
      </c>
      <c r="AE296" s="87">
        <f>IF(ISNUMBER('Etape 2'!Z293),'Etape 2'!Z293,0)</f>
        <v>0</v>
      </c>
      <c r="AF296" s="86">
        <f t="shared" si="263"/>
        <v>999</v>
      </c>
      <c r="AG296" s="288">
        <f t="shared" si="264"/>
        <v>0.25</v>
      </c>
      <c r="AH296" s="181" t="e">
        <f t="shared" si="248"/>
        <v>#VALUE!</v>
      </c>
      <c r="AI296" s="181" t="e">
        <f t="shared" si="233"/>
        <v>#VALUE!</v>
      </c>
      <c r="AJ296" s="86">
        <f t="shared" si="249"/>
        <v>200</v>
      </c>
      <c r="AK296" s="91" t="e">
        <f t="shared" si="250"/>
        <v>#N/A</v>
      </c>
      <c r="AL296" s="91" t="e">
        <f t="shared" si="234"/>
        <v>#N/A</v>
      </c>
      <c r="AM296" s="91">
        <f t="shared" si="109"/>
        <v>6</v>
      </c>
      <c r="AN296" s="91" t="e">
        <f t="shared" si="235"/>
        <v>#N/A</v>
      </c>
      <c r="AO296" s="91" t="e">
        <f t="shared" si="236"/>
        <v>#N/A</v>
      </c>
      <c r="AP296" s="21" t="e">
        <f t="shared" si="237"/>
        <v>#N/A</v>
      </c>
      <c r="AQ296" s="21" t="e">
        <f t="shared" si="238"/>
        <v>#N/A</v>
      </c>
      <c r="AR296" s="92" t="str">
        <f t="shared" si="265"/>
        <v/>
      </c>
      <c r="AS296" s="21" t="str">
        <f t="shared" si="266"/>
        <v/>
      </c>
      <c r="AT296" s="59" t="str">
        <f t="shared" si="251"/>
        <v/>
      </c>
      <c r="AU296" s="105">
        <f t="shared" si="113"/>
        <v>1</v>
      </c>
      <c r="AV296" s="105">
        <f t="shared" si="239"/>
        <v>1</v>
      </c>
      <c r="AW296" s="58">
        <f t="shared" si="240"/>
        <v>2</v>
      </c>
      <c r="AX296" s="58">
        <f t="shared" si="241"/>
        <v>3</v>
      </c>
      <c r="AY296" s="58" t="str">
        <f t="shared" si="242"/>
        <v>avec vannes</v>
      </c>
      <c r="AZ296" s="58" t="str">
        <f t="shared" si="243"/>
        <v>fermé</v>
      </c>
      <c r="BA296" s="60">
        <f t="shared" ref="BA296:BD315" si="275">IF(BA$15/$AG296&gt;1,0,VLOOKUP(BA$15/$AG296,Matrix_Regelung.Teilvolumenstrom.Einsparpotential.ID,$AX296,0))</f>
        <v>0</v>
      </c>
      <c r="BB296" s="60">
        <f t="shared" si="275"/>
        <v>0</v>
      </c>
      <c r="BC296" s="60">
        <f t="shared" si="275"/>
        <v>0</v>
      </c>
      <c r="BD296" s="60">
        <f t="shared" si="275"/>
        <v>0</v>
      </c>
      <c r="BE296" s="286" t="str">
        <f t="shared" si="252"/>
        <v/>
      </c>
      <c r="BF296" s="58" t="str">
        <f t="shared" si="267"/>
        <v/>
      </c>
      <c r="BG296" s="59" t="str">
        <f t="shared" si="253"/>
        <v/>
      </c>
      <c r="BH296" s="158">
        <f t="shared" ca="1" si="254"/>
        <v>1</v>
      </c>
      <c r="BI296" s="60">
        <f t="shared" ca="1" si="255"/>
        <v>0.15</v>
      </c>
      <c r="BJ296" s="60">
        <f t="shared" si="256"/>
        <v>0.2</v>
      </c>
      <c r="BK296" s="60" t="str">
        <f t="shared" si="268"/>
        <v/>
      </c>
      <c r="BL296" s="21" t="str">
        <f t="shared" si="269"/>
        <v/>
      </c>
      <c r="BM296" s="264" t="str">
        <f t="shared" si="257"/>
        <v/>
      </c>
      <c r="BN296" s="60" t="str">
        <f t="shared" si="270"/>
        <v/>
      </c>
      <c r="BO296" s="136">
        <f t="shared" si="271"/>
        <v>0</v>
      </c>
      <c r="BP296" s="59">
        <f t="shared" si="272"/>
        <v>0</v>
      </c>
      <c r="BQ296" s="136">
        <f t="shared" ca="1" si="258"/>
        <v>1481</v>
      </c>
      <c r="BR296" s="136">
        <f t="shared" ca="1" si="259"/>
        <v>1000.9335548172758</v>
      </c>
      <c r="BS296" s="136">
        <f t="shared" ca="1" si="260"/>
        <v>1468800.9335548172</v>
      </c>
      <c r="BT296" s="136">
        <f t="shared" ca="1" si="261"/>
        <v>313875.8562805765</v>
      </c>
      <c r="BU296" s="136">
        <f t="shared" ca="1" si="262"/>
        <v>1000.9335548172758</v>
      </c>
    </row>
    <row r="297" spans="1:73" x14ac:dyDescent="0.2">
      <c r="A297" s="87" t="str">
        <f>'Etape 2'!A294</f>
        <v/>
      </c>
      <c r="B297" s="87">
        <f>'Etape 2'!B294</f>
        <v>282</v>
      </c>
      <c r="C297" s="87">
        <f ca="1">'Etape 2'!C294</f>
        <v>19</v>
      </c>
      <c r="D297" s="87"/>
      <c r="E297" s="61">
        <f ca="1">RANK(BU297,BU$16:BU$315,0)+COUNTIF(BU$16:BU297,BU297)-1</f>
        <v>19</v>
      </c>
      <c r="F297" s="87" t="str">
        <f>'Etape 2'!D294</f>
        <v/>
      </c>
      <c r="G297" s="87" t="str">
        <f>'Etape 2'!E294</f>
        <v/>
      </c>
      <c r="H297" s="87" t="str">
        <f>'Etape 2'!F294</f>
        <v/>
      </c>
      <c r="I297" s="87" t="str">
        <f>'Etape 2'!G294</f>
        <v/>
      </c>
      <c r="J297" s="87" t="str">
        <f>'Etape 2'!H294</f>
        <v/>
      </c>
      <c r="K297" s="87" t="str">
        <f>'Etape 2'!I294</f>
        <v/>
      </c>
      <c r="L297" s="87">
        <f ca="1">'Etape 2'!J294</f>
        <v>999999</v>
      </c>
      <c r="M297" s="87">
        <f>'Etape 2'!K294</f>
        <v>999</v>
      </c>
      <c r="N297" s="87">
        <f ca="1">'Etape 2'!L294</f>
        <v>282</v>
      </c>
      <c r="O297" s="259">
        <f t="shared" si="245"/>
        <v>0.3</v>
      </c>
      <c r="P297" s="259">
        <f t="shared" si="246"/>
        <v>1.1000000000000001</v>
      </c>
      <c r="Q297" s="260">
        <f t="shared" si="247"/>
        <v>0</v>
      </c>
      <c r="R297" s="261">
        <f t="shared" si="274"/>
        <v>0</v>
      </c>
      <c r="S297" s="87">
        <f>IF(ISBLANK('Etape 2'!N294),0,VLOOKUP('Etape 2'!N294,Matrix_Uebersetzung,2,FALSE))</f>
        <v>0</v>
      </c>
      <c r="T297" s="87">
        <f>IF(ISBLANK('Etape 2'!O294),0,VLOOKUP('Etape 2'!O294,Matrix_Uebersetzung,2,FALSE))</f>
        <v>0</v>
      </c>
      <c r="U297" s="87">
        <f>IF(ISBLANK('Etape 2'!P294),0,VLOOKUP('Etape 2'!P294,Matrix_Uebersetzung,2,FALSE))</f>
        <v>0</v>
      </c>
      <c r="V297" s="87" t="str">
        <f>'Etape 2'!Q294</f>
        <v/>
      </c>
      <c r="W297" s="87">
        <f>'Etape 2'!R294</f>
        <v>0</v>
      </c>
      <c r="X297" s="87" t="str">
        <f>'Etape 2'!S294</f>
        <v/>
      </c>
      <c r="Y297" s="89" t="str">
        <f>'Etape 2'!T294</f>
        <v/>
      </c>
      <c r="Z297" s="87">
        <f>'Etape 2'!U294</f>
        <v>0</v>
      </c>
      <c r="AA297" s="87" t="str">
        <f>'Etape 2'!V294</f>
        <v/>
      </c>
      <c r="AB297" s="87">
        <f>IF(ISNUMBER('Etape 2'!W294),'Etape 2'!W294,0)</f>
        <v>0</v>
      </c>
      <c r="AC297" s="87">
        <f>IF(ISNUMBER('Etape 2'!X294),'Etape 2'!X294,0)</f>
        <v>0</v>
      </c>
      <c r="AD297" s="87">
        <f>IF(ISNUMBER('Etape 2'!Y294),'Etape 2'!Y294,0)</f>
        <v>0</v>
      </c>
      <c r="AE297" s="87">
        <f>IF(ISNUMBER('Etape 2'!Z294),'Etape 2'!Z294,0)</f>
        <v>0</v>
      </c>
      <c r="AF297" s="86">
        <f t="shared" si="263"/>
        <v>999</v>
      </c>
      <c r="AG297" s="288">
        <f t="shared" si="264"/>
        <v>0.25</v>
      </c>
      <c r="AH297" s="181" t="e">
        <f t="shared" si="248"/>
        <v>#VALUE!</v>
      </c>
      <c r="AI297" s="181" t="e">
        <f t="shared" si="233"/>
        <v>#VALUE!</v>
      </c>
      <c r="AJ297" s="86">
        <f t="shared" si="249"/>
        <v>200</v>
      </c>
      <c r="AK297" s="91" t="e">
        <f t="shared" si="250"/>
        <v>#N/A</v>
      </c>
      <c r="AL297" s="91" t="e">
        <f t="shared" si="234"/>
        <v>#N/A</v>
      </c>
      <c r="AM297" s="91">
        <f t="shared" si="109"/>
        <v>6</v>
      </c>
      <c r="AN297" s="91" t="e">
        <f t="shared" si="235"/>
        <v>#N/A</v>
      </c>
      <c r="AO297" s="91" t="e">
        <f t="shared" si="236"/>
        <v>#N/A</v>
      </c>
      <c r="AP297" s="21" t="e">
        <f t="shared" si="237"/>
        <v>#N/A</v>
      </c>
      <c r="AQ297" s="21" t="e">
        <f t="shared" si="238"/>
        <v>#N/A</v>
      </c>
      <c r="AR297" s="92" t="str">
        <f t="shared" si="265"/>
        <v/>
      </c>
      <c r="AS297" s="21" t="str">
        <f t="shared" si="266"/>
        <v/>
      </c>
      <c r="AT297" s="59" t="str">
        <f t="shared" si="251"/>
        <v/>
      </c>
      <c r="AU297" s="105">
        <f t="shared" si="113"/>
        <v>1</v>
      </c>
      <c r="AV297" s="105">
        <f t="shared" si="239"/>
        <v>1</v>
      </c>
      <c r="AW297" s="58">
        <f t="shared" si="240"/>
        <v>2</v>
      </c>
      <c r="AX297" s="58">
        <f t="shared" si="241"/>
        <v>3</v>
      </c>
      <c r="AY297" s="58" t="str">
        <f t="shared" si="242"/>
        <v>avec vannes</v>
      </c>
      <c r="AZ297" s="58" t="str">
        <f t="shared" si="243"/>
        <v>fermé</v>
      </c>
      <c r="BA297" s="60">
        <f t="shared" si="275"/>
        <v>0</v>
      </c>
      <c r="BB297" s="60">
        <f t="shared" si="275"/>
        <v>0</v>
      </c>
      <c r="BC297" s="60">
        <f t="shared" si="275"/>
        <v>0</v>
      </c>
      <c r="BD297" s="60">
        <f t="shared" si="275"/>
        <v>0</v>
      </c>
      <c r="BE297" s="286" t="str">
        <f t="shared" si="252"/>
        <v/>
      </c>
      <c r="BF297" s="58" t="str">
        <f t="shared" si="267"/>
        <v/>
      </c>
      <c r="BG297" s="59" t="str">
        <f t="shared" si="253"/>
        <v/>
      </c>
      <c r="BH297" s="158">
        <f t="shared" ca="1" si="254"/>
        <v>1</v>
      </c>
      <c r="BI297" s="60">
        <f t="shared" ca="1" si="255"/>
        <v>0.15</v>
      </c>
      <c r="BJ297" s="60">
        <f t="shared" si="256"/>
        <v>0.2</v>
      </c>
      <c r="BK297" s="60" t="str">
        <f t="shared" si="268"/>
        <v/>
      </c>
      <c r="BL297" s="21" t="str">
        <f t="shared" si="269"/>
        <v/>
      </c>
      <c r="BM297" s="264" t="str">
        <f t="shared" si="257"/>
        <v/>
      </c>
      <c r="BN297" s="60" t="str">
        <f t="shared" si="270"/>
        <v/>
      </c>
      <c r="BO297" s="136">
        <f t="shared" si="271"/>
        <v>0</v>
      </c>
      <c r="BP297" s="59">
        <f t="shared" si="272"/>
        <v>0</v>
      </c>
      <c r="BQ297" s="136">
        <f t="shared" ca="1" si="258"/>
        <v>1482</v>
      </c>
      <c r="BR297" s="136">
        <f t="shared" ca="1" si="259"/>
        <v>1000.936877076412</v>
      </c>
      <c r="BS297" s="136">
        <f t="shared" ca="1" si="260"/>
        <v>1468800.9368770765</v>
      </c>
      <c r="BT297" s="136">
        <f t="shared" ca="1" si="261"/>
        <v>313875.85960283561</v>
      </c>
      <c r="BU297" s="136">
        <f t="shared" ca="1" si="262"/>
        <v>1000.936877076412</v>
      </c>
    </row>
    <row r="298" spans="1:73" x14ac:dyDescent="0.2">
      <c r="A298" s="87" t="str">
        <f>'Etape 2'!A295</f>
        <v/>
      </c>
      <c r="B298" s="87">
        <f>'Etape 2'!B295</f>
        <v>283</v>
      </c>
      <c r="C298" s="87">
        <f ca="1">'Etape 2'!C295</f>
        <v>18</v>
      </c>
      <c r="D298" s="87"/>
      <c r="E298" s="61">
        <f ca="1">RANK(BU298,BU$16:BU$315,0)+COUNTIF(BU$16:BU298,BU298)-1</f>
        <v>18</v>
      </c>
      <c r="F298" s="87" t="str">
        <f>'Etape 2'!D295</f>
        <v/>
      </c>
      <c r="G298" s="87" t="str">
        <f>'Etape 2'!E295</f>
        <v/>
      </c>
      <c r="H298" s="87" t="str">
        <f>'Etape 2'!F295</f>
        <v/>
      </c>
      <c r="I298" s="87" t="str">
        <f>'Etape 2'!G295</f>
        <v/>
      </c>
      <c r="J298" s="87" t="str">
        <f>'Etape 2'!H295</f>
        <v/>
      </c>
      <c r="K298" s="87" t="str">
        <f>'Etape 2'!I295</f>
        <v/>
      </c>
      <c r="L298" s="87">
        <f ca="1">'Etape 2'!J295</f>
        <v>999999</v>
      </c>
      <c r="M298" s="87">
        <f>'Etape 2'!K295</f>
        <v>999</v>
      </c>
      <c r="N298" s="87">
        <f ca="1">'Etape 2'!L295</f>
        <v>283</v>
      </c>
      <c r="O298" s="259">
        <f t="shared" si="245"/>
        <v>0.3</v>
      </c>
      <c r="P298" s="259">
        <f t="shared" si="246"/>
        <v>1.1000000000000001</v>
      </c>
      <c r="Q298" s="260">
        <f t="shared" si="247"/>
        <v>0</v>
      </c>
      <c r="R298" s="261">
        <f t="shared" si="274"/>
        <v>0</v>
      </c>
      <c r="S298" s="87">
        <f>IF(ISBLANK('Etape 2'!N295),0,VLOOKUP('Etape 2'!N295,Matrix_Uebersetzung,2,FALSE))</f>
        <v>0</v>
      </c>
      <c r="T298" s="87">
        <f>IF(ISBLANK('Etape 2'!O295),0,VLOOKUP('Etape 2'!O295,Matrix_Uebersetzung,2,FALSE))</f>
        <v>0</v>
      </c>
      <c r="U298" s="87">
        <f>IF(ISBLANK('Etape 2'!P295),0,VLOOKUP('Etape 2'!P295,Matrix_Uebersetzung,2,FALSE))</f>
        <v>0</v>
      </c>
      <c r="V298" s="87" t="str">
        <f>'Etape 2'!Q295</f>
        <v/>
      </c>
      <c r="W298" s="87">
        <f>'Etape 2'!R295</f>
        <v>0</v>
      </c>
      <c r="X298" s="87" t="str">
        <f>'Etape 2'!S295</f>
        <v/>
      </c>
      <c r="Y298" s="89" t="str">
        <f>'Etape 2'!T295</f>
        <v/>
      </c>
      <c r="Z298" s="87">
        <f>'Etape 2'!U295</f>
        <v>0</v>
      </c>
      <c r="AA298" s="87" t="str">
        <f>'Etape 2'!V295</f>
        <v/>
      </c>
      <c r="AB298" s="87">
        <f>IF(ISNUMBER('Etape 2'!W295),'Etape 2'!W295,0)</f>
        <v>0</v>
      </c>
      <c r="AC298" s="87">
        <f>IF(ISNUMBER('Etape 2'!X295),'Etape 2'!X295,0)</f>
        <v>0</v>
      </c>
      <c r="AD298" s="87">
        <f>IF(ISNUMBER('Etape 2'!Y295),'Etape 2'!Y295,0)</f>
        <v>0</v>
      </c>
      <c r="AE298" s="87">
        <f>IF(ISNUMBER('Etape 2'!Z295),'Etape 2'!Z295,0)</f>
        <v>0</v>
      </c>
      <c r="AF298" s="86">
        <f t="shared" si="263"/>
        <v>999</v>
      </c>
      <c r="AG298" s="288">
        <f t="shared" si="264"/>
        <v>0.25</v>
      </c>
      <c r="AH298" s="181" t="e">
        <f t="shared" si="248"/>
        <v>#VALUE!</v>
      </c>
      <c r="AI298" s="181" t="e">
        <f t="shared" si="233"/>
        <v>#VALUE!</v>
      </c>
      <c r="AJ298" s="86">
        <f t="shared" si="249"/>
        <v>200</v>
      </c>
      <c r="AK298" s="91" t="e">
        <f t="shared" si="250"/>
        <v>#N/A</v>
      </c>
      <c r="AL298" s="91" t="e">
        <f t="shared" si="234"/>
        <v>#N/A</v>
      </c>
      <c r="AM298" s="91">
        <f t="shared" si="109"/>
        <v>6</v>
      </c>
      <c r="AN298" s="91" t="e">
        <f t="shared" si="235"/>
        <v>#N/A</v>
      </c>
      <c r="AO298" s="91" t="e">
        <f t="shared" si="236"/>
        <v>#N/A</v>
      </c>
      <c r="AP298" s="21" t="e">
        <f t="shared" si="237"/>
        <v>#N/A</v>
      </c>
      <c r="AQ298" s="21" t="e">
        <f t="shared" si="238"/>
        <v>#N/A</v>
      </c>
      <c r="AR298" s="92" t="str">
        <f t="shared" si="265"/>
        <v/>
      </c>
      <c r="AS298" s="21" t="str">
        <f t="shared" si="266"/>
        <v/>
      </c>
      <c r="AT298" s="59" t="str">
        <f t="shared" si="251"/>
        <v/>
      </c>
      <c r="AU298" s="105">
        <f t="shared" si="113"/>
        <v>1</v>
      </c>
      <c r="AV298" s="105">
        <f t="shared" si="239"/>
        <v>1</v>
      </c>
      <c r="AW298" s="58">
        <f t="shared" si="240"/>
        <v>2</v>
      </c>
      <c r="AX298" s="58">
        <f t="shared" si="241"/>
        <v>3</v>
      </c>
      <c r="AY298" s="58" t="str">
        <f t="shared" si="242"/>
        <v>avec vannes</v>
      </c>
      <c r="AZ298" s="58" t="str">
        <f t="shared" si="243"/>
        <v>fermé</v>
      </c>
      <c r="BA298" s="60">
        <f t="shared" si="275"/>
        <v>0</v>
      </c>
      <c r="BB298" s="60">
        <f t="shared" si="275"/>
        <v>0</v>
      </c>
      <c r="BC298" s="60">
        <f t="shared" si="275"/>
        <v>0</v>
      </c>
      <c r="BD298" s="60">
        <f t="shared" si="275"/>
        <v>0</v>
      </c>
      <c r="BE298" s="286" t="str">
        <f t="shared" si="252"/>
        <v/>
      </c>
      <c r="BF298" s="58" t="str">
        <f t="shared" si="267"/>
        <v/>
      </c>
      <c r="BG298" s="59" t="str">
        <f t="shared" si="253"/>
        <v/>
      </c>
      <c r="BH298" s="158">
        <f t="shared" ca="1" si="254"/>
        <v>1</v>
      </c>
      <c r="BI298" s="60">
        <f t="shared" ca="1" si="255"/>
        <v>0.15</v>
      </c>
      <c r="BJ298" s="60">
        <f t="shared" si="256"/>
        <v>0.2</v>
      </c>
      <c r="BK298" s="60" t="str">
        <f t="shared" si="268"/>
        <v/>
      </c>
      <c r="BL298" s="21" t="str">
        <f t="shared" si="269"/>
        <v/>
      </c>
      <c r="BM298" s="264" t="str">
        <f t="shared" si="257"/>
        <v/>
      </c>
      <c r="BN298" s="60" t="str">
        <f t="shared" si="270"/>
        <v/>
      </c>
      <c r="BO298" s="136">
        <f t="shared" si="271"/>
        <v>0</v>
      </c>
      <c r="BP298" s="59">
        <f t="shared" si="272"/>
        <v>0</v>
      </c>
      <c r="BQ298" s="136">
        <f t="shared" ca="1" si="258"/>
        <v>1483</v>
      </c>
      <c r="BR298" s="136">
        <f t="shared" ca="1" si="259"/>
        <v>1000.9401993355482</v>
      </c>
      <c r="BS298" s="136">
        <f t="shared" ca="1" si="260"/>
        <v>1468800.9401993356</v>
      </c>
      <c r="BT298" s="136">
        <f t="shared" ca="1" si="261"/>
        <v>313875.86292509479</v>
      </c>
      <c r="BU298" s="136">
        <f t="shared" ca="1" si="262"/>
        <v>1000.9401993355482</v>
      </c>
    </row>
    <row r="299" spans="1:73" x14ac:dyDescent="0.2">
      <c r="A299" s="87" t="str">
        <f>'Etape 2'!A296</f>
        <v/>
      </c>
      <c r="B299" s="87">
        <f>'Etape 2'!B296</f>
        <v>284</v>
      </c>
      <c r="C299" s="87">
        <f ca="1">'Etape 2'!C296</f>
        <v>17</v>
      </c>
      <c r="D299" s="87"/>
      <c r="E299" s="61">
        <f ca="1">RANK(BU299,BU$16:BU$315,0)+COUNTIF(BU$16:BU299,BU299)-1</f>
        <v>17</v>
      </c>
      <c r="F299" s="87" t="str">
        <f>'Etape 2'!D296</f>
        <v/>
      </c>
      <c r="G299" s="87" t="str">
        <f>'Etape 2'!E296</f>
        <v/>
      </c>
      <c r="H299" s="87" t="str">
        <f>'Etape 2'!F296</f>
        <v/>
      </c>
      <c r="I299" s="87" t="str">
        <f>'Etape 2'!G296</f>
        <v/>
      </c>
      <c r="J299" s="87" t="str">
        <f>'Etape 2'!H296</f>
        <v/>
      </c>
      <c r="K299" s="87" t="str">
        <f>'Etape 2'!I296</f>
        <v/>
      </c>
      <c r="L299" s="87">
        <f ca="1">'Etape 2'!J296</f>
        <v>999999</v>
      </c>
      <c r="M299" s="87">
        <f>'Etape 2'!K296</f>
        <v>999</v>
      </c>
      <c r="N299" s="87">
        <f ca="1">'Etape 2'!L296</f>
        <v>284</v>
      </c>
      <c r="O299" s="259">
        <f t="shared" si="245"/>
        <v>0.3</v>
      </c>
      <c r="P299" s="259">
        <f t="shared" si="246"/>
        <v>1.1000000000000001</v>
      </c>
      <c r="Q299" s="260">
        <f t="shared" si="247"/>
        <v>0</v>
      </c>
      <c r="R299" s="261">
        <f t="shared" si="274"/>
        <v>0</v>
      </c>
      <c r="S299" s="87">
        <f>IF(ISBLANK('Etape 2'!N296),0,VLOOKUP('Etape 2'!N296,Matrix_Uebersetzung,2,FALSE))</f>
        <v>0</v>
      </c>
      <c r="T299" s="87">
        <f>IF(ISBLANK('Etape 2'!O296),0,VLOOKUP('Etape 2'!O296,Matrix_Uebersetzung,2,FALSE))</f>
        <v>0</v>
      </c>
      <c r="U299" s="87">
        <f>IF(ISBLANK('Etape 2'!P296),0,VLOOKUP('Etape 2'!P296,Matrix_Uebersetzung,2,FALSE))</f>
        <v>0</v>
      </c>
      <c r="V299" s="87" t="str">
        <f>'Etape 2'!Q296</f>
        <v/>
      </c>
      <c r="W299" s="87">
        <f>'Etape 2'!R296</f>
        <v>0</v>
      </c>
      <c r="X299" s="87" t="str">
        <f>'Etape 2'!S296</f>
        <v/>
      </c>
      <c r="Y299" s="89" t="str">
        <f>'Etape 2'!T296</f>
        <v/>
      </c>
      <c r="Z299" s="87">
        <f>'Etape 2'!U296</f>
        <v>0</v>
      </c>
      <c r="AA299" s="87" t="str">
        <f>'Etape 2'!V296</f>
        <v/>
      </c>
      <c r="AB299" s="87">
        <f>IF(ISNUMBER('Etape 2'!W296),'Etape 2'!W296,0)</f>
        <v>0</v>
      </c>
      <c r="AC299" s="87">
        <f>IF(ISNUMBER('Etape 2'!X296),'Etape 2'!X296,0)</f>
        <v>0</v>
      </c>
      <c r="AD299" s="87">
        <f>IF(ISNUMBER('Etape 2'!Y296),'Etape 2'!Y296,0)</f>
        <v>0</v>
      </c>
      <c r="AE299" s="87">
        <f>IF(ISNUMBER('Etape 2'!Z296),'Etape 2'!Z296,0)</f>
        <v>0</v>
      </c>
      <c r="AF299" s="86">
        <f t="shared" si="263"/>
        <v>999</v>
      </c>
      <c r="AG299" s="288">
        <f t="shared" si="264"/>
        <v>0.25</v>
      </c>
      <c r="AH299" s="181" t="e">
        <f t="shared" si="248"/>
        <v>#VALUE!</v>
      </c>
      <c r="AI299" s="181" t="e">
        <f t="shared" si="233"/>
        <v>#VALUE!</v>
      </c>
      <c r="AJ299" s="86">
        <f t="shared" si="249"/>
        <v>200</v>
      </c>
      <c r="AK299" s="91" t="e">
        <f t="shared" si="250"/>
        <v>#N/A</v>
      </c>
      <c r="AL299" s="91" t="e">
        <f t="shared" si="234"/>
        <v>#N/A</v>
      </c>
      <c r="AM299" s="91">
        <f t="shared" si="109"/>
        <v>6</v>
      </c>
      <c r="AN299" s="91" t="e">
        <f t="shared" si="235"/>
        <v>#N/A</v>
      </c>
      <c r="AO299" s="91" t="e">
        <f t="shared" si="236"/>
        <v>#N/A</v>
      </c>
      <c r="AP299" s="21" t="e">
        <f t="shared" si="237"/>
        <v>#N/A</v>
      </c>
      <c r="AQ299" s="21" t="e">
        <f t="shared" si="238"/>
        <v>#N/A</v>
      </c>
      <c r="AR299" s="92" t="str">
        <f t="shared" si="265"/>
        <v/>
      </c>
      <c r="AS299" s="21" t="str">
        <f t="shared" si="266"/>
        <v/>
      </c>
      <c r="AT299" s="59" t="str">
        <f t="shared" si="251"/>
        <v/>
      </c>
      <c r="AU299" s="105">
        <f t="shared" si="113"/>
        <v>1</v>
      </c>
      <c r="AV299" s="105">
        <f t="shared" si="239"/>
        <v>1</v>
      </c>
      <c r="AW299" s="58">
        <f t="shared" si="240"/>
        <v>2</v>
      </c>
      <c r="AX299" s="58">
        <f t="shared" si="241"/>
        <v>3</v>
      </c>
      <c r="AY299" s="58" t="str">
        <f t="shared" si="242"/>
        <v>avec vannes</v>
      </c>
      <c r="AZ299" s="58" t="str">
        <f t="shared" si="243"/>
        <v>fermé</v>
      </c>
      <c r="BA299" s="60">
        <f t="shared" si="275"/>
        <v>0</v>
      </c>
      <c r="BB299" s="60">
        <f t="shared" si="275"/>
        <v>0</v>
      </c>
      <c r="BC299" s="60">
        <f t="shared" si="275"/>
        <v>0</v>
      </c>
      <c r="BD299" s="60">
        <f t="shared" si="275"/>
        <v>0</v>
      </c>
      <c r="BE299" s="286" t="str">
        <f t="shared" si="252"/>
        <v/>
      </c>
      <c r="BF299" s="58" t="str">
        <f t="shared" si="267"/>
        <v/>
      </c>
      <c r="BG299" s="59" t="str">
        <f t="shared" si="253"/>
        <v/>
      </c>
      <c r="BH299" s="158">
        <f t="shared" ca="1" si="254"/>
        <v>1</v>
      </c>
      <c r="BI299" s="60">
        <f t="shared" ca="1" si="255"/>
        <v>0.15</v>
      </c>
      <c r="BJ299" s="60">
        <f t="shared" si="256"/>
        <v>0.2</v>
      </c>
      <c r="BK299" s="60" t="str">
        <f t="shared" si="268"/>
        <v/>
      </c>
      <c r="BL299" s="21" t="str">
        <f t="shared" si="269"/>
        <v/>
      </c>
      <c r="BM299" s="264" t="str">
        <f t="shared" si="257"/>
        <v/>
      </c>
      <c r="BN299" s="60" t="str">
        <f t="shared" si="270"/>
        <v/>
      </c>
      <c r="BO299" s="136">
        <f t="shared" si="271"/>
        <v>0</v>
      </c>
      <c r="BP299" s="59">
        <f t="shared" si="272"/>
        <v>0</v>
      </c>
      <c r="BQ299" s="136">
        <f t="shared" ca="1" si="258"/>
        <v>1484</v>
      </c>
      <c r="BR299" s="136">
        <f t="shared" ca="1" si="259"/>
        <v>1000.9435215946844</v>
      </c>
      <c r="BS299" s="136">
        <f t="shared" ca="1" si="260"/>
        <v>1468800.9435215946</v>
      </c>
      <c r="BT299" s="136">
        <f t="shared" ca="1" si="261"/>
        <v>313875.8662473539</v>
      </c>
      <c r="BU299" s="136">
        <f t="shared" ca="1" si="262"/>
        <v>1000.9435215946844</v>
      </c>
    </row>
    <row r="300" spans="1:73" x14ac:dyDescent="0.2">
      <c r="A300" s="87" t="str">
        <f>'Etape 2'!A297</f>
        <v/>
      </c>
      <c r="B300" s="87">
        <f>'Etape 2'!B297</f>
        <v>285</v>
      </c>
      <c r="C300" s="87">
        <f ca="1">'Etape 2'!C297</f>
        <v>16</v>
      </c>
      <c r="D300" s="87"/>
      <c r="E300" s="61">
        <f ca="1">RANK(BU300,BU$16:BU$315,0)+COUNTIF(BU$16:BU300,BU300)-1</f>
        <v>16</v>
      </c>
      <c r="F300" s="87" t="str">
        <f>'Etape 2'!D297</f>
        <v/>
      </c>
      <c r="G300" s="87" t="str">
        <f>'Etape 2'!E297</f>
        <v/>
      </c>
      <c r="H300" s="87" t="str">
        <f>'Etape 2'!F297</f>
        <v/>
      </c>
      <c r="I300" s="87" t="str">
        <f>'Etape 2'!G297</f>
        <v/>
      </c>
      <c r="J300" s="87" t="str">
        <f>'Etape 2'!H297</f>
        <v/>
      </c>
      <c r="K300" s="87" t="str">
        <f>'Etape 2'!I297</f>
        <v/>
      </c>
      <c r="L300" s="87">
        <f ca="1">'Etape 2'!J297</f>
        <v>999999</v>
      </c>
      <c r="M300" s="87">
        <f>'Etape 2'!K297</f>
        <v>999</v>
      </c>
      <c r="N300" s="87">
        <f ca="1">'Etape 2'!L297</f>
        <v>285</v>
      </c>
      <c r="O300" s="259">
        <f t="shared" si="245"/>
        <v>0.3</v>
      </c>
      <c r="P300" s="259">
        <f t="shared" si="246"/>
        <v>1.1000000000000001</v>
      </c>
      <c r="Q300" s="260">
        <f t="shared" si="247"/>
        <v>0</v>
      </c>
      <c r="R300" s="261">
        <f t="shared" si="274"/>
        <v>0</v>
      </c>
      <c r="S300" s="87">
        <f>IF(ISBLANK('Etape 2'!N297),0,VLOOKUP('Etape 2'!N297,Matrix_Uebersetzung,2,FALSE))</f>
        <v>0</v>
      </c>
      <c r="T300" s="87">
        <f>IF(ISBLANK('Etape 2'!O297),0,VLOOKUP('Etape 2'!O297,Matrix_Uebersetzung,2,FALSE))</f>
        <v>0</v>
      </c>
      <c r="U300" s="87">
        <f>IF(ISBLANK('Etape 2'!P297),0,VLOOKUP('Etape 2'!P297,Matrix_Uebersetzung,2,FALSE))</f>
        <v>0</v>
      </c>
      <c r="V300" s="87" t="str">
        <f>'Etape 2'!Q297</f>
        <v/>
      </c>
      <c r="W300" s="87">
        <f>'Etape 2'!R297</f>
        <v>0</v>
      </c>
      <c r="X300" s="87" t="str">
        <f>'Etape 2'!S297</f>
        <v/>
      </c>
      <c r="Y300" s="89" t="str">
        <f>'Etape 2'!T297</f>
        <v/>
      </c>
      <c r="Z300" s="87">
        <f>'Etape 2'!U297</f>
        <v>0</v>
      </c>
      <c r="AA300" s="87" t="str">
        <f>'Etape 2'!V297</f>
        <v/>
      </c>
      <c r="AB300" s="87">
        <f>IF(ISNUMBER('Etape 2'!W297),'Etape 2'!W297,0)</f>
        <v>0</v>
      </c>
      <c r="AC300" s="87">
        <f>IF(ISNUMBER('Etape 2'!X297),'Etape 2'!X297,0)</f>
        <v>0</v>
      </c>
      <c r="AD300" s="87">
        <f>IF(ISNUMBER('Etape 2'!Y297),'Etape 2'!Y297,0)</f>
        <v>0</v>
      </c>
      <c r="AE300" s="87">
        <f>IF(ISNUMBER('Etape 2'!Z297),'Etape 2'!Z297,0)</f>
        <v>0</v>
      </c>
      <c r="AF300" s="86">
        <f t="shared" si="263"/>
        <v>999</v>
      </c>
      <c r="AG300" s="288">
        <f t="shared" si="264"/>
        <v>0.25</v>
      </c>
      <c r="AH300" s="181" t="e">
        <f t="shared" si="248"/>
        <v>#VALUE!</v>
      </c>
      <c r="AI300" s="181" t="e">
        <f t="shared" si="233"/>
        <v>#VALUE!</v>
      </c>
      <c r="AJ300" s="86">
        <f t="shared" si="249"/>
        <v>200</v>
      </c>
      <c r="AK300" s="91" t="e">
        <f t="shared" si="250"/>
        <v>#N/A</v>
      </c>
      <c r="AL300" s="91" t="e">
        <f t="shared" si="234"/>
        <v>#N/A</v>
      </c>
      <c r="AM300" s="91">
        <f t="shared" si="109"/>
        <v>6</v>
      </c>
      <c r="AN300" s="91" t="e">
        <f t="shared" si="235"/>
        <v>#N/A</v>
      </c>
      <c r="AO300" s="91" t="e">
        <f t="shared" si="236"/>
        <v>#N/A</v>
      </c>
      <c r="AP300" s="21" t="e">
        <f t="shared" si="237"/>
        <v>#N/A</v>
      </c>
      <c r="AQ300" s="21" t="e">
        <f t="shared" si="238"/>
        <v>#N/A</v>
      </c>
      <c r="AR300" s="92" t="str">
        <f t="shared" si="265"/>
        <v/>
      </c>
      <c r="AS300" s="21" t="str">
        <f t="shared" si="266"/>
        <v/>
      </c>
      <c r="AT300" s="59" t="str">
        <f t="shared" si="251"/>
        <v/>
      </c>
      <c r="AU300" s="105">
        <f t="shared" si="113"/>
        <v>1</v>
      </c>
      <c r="AV300" s="105">
        <f t="shared" si="239"/>
        <v>1</v>
      </c>
      <c r="AW300" s="58">
        <f t="shared" si="240"/>
        <v>2</v>
      </c>
      <c r="AX300" s="58">
        <f t="shared" si="241"/>
        <v>3</v>
      </c>
      <c r="AY300" s="58" t="str">
        <f t="shared" si="242"/>
        <v>avec vannes</v>
      </c>
      <c r="AZ300" s="58" t="str">
        <f t="shared" si="243"/>
        <v>fermé</v>
      </c>
      <c r="BA300" s="60">
        <f t="shared" si="275"/>
        <v>0</v>
      </c>
      <c r="BB300" s="60">
        <f t="shared" si="275"/>
        <v>0</v>
      </c>
      <c r="BC300" s="60">
        <f t="shared" si="275"/>
        <v>0</v>
      </c>
      <c r="BD300" s="60">
        <f t="shared" si="275"/>
        <v>0</v>
      </c>
      <c r="BE300" s="286" t="str">
        <f t="shared" si="252"/>
        <v/>
      </c>
      <c r="BF300" s="58" t="str">
        <f t="shared" si="267"/>
        <v/>
      </c>
      <c r="BG300" s="59" t="str">
        <f t="shared" si="253"/>
        <v/>
      </c>
      <c r="BH300" s="158">
        <f t="shared" ca="1" si="254"/>
        <v>1</v>
      </c>
      <c r="BI300" s="60">
        <f t="shared" ca="1" si="255"/>
        <v>0.15</v>
      </c>
      <c r="BJ300" s="60">
        <f t="shared" si="256"/>
        <v>0.2</v>
      </c>
      <c r="BK300" s="60" t="str">
        <f t="shared" si="268"/>
        <v/>
      </c>
      <c r="BL300" s="21" t="str">
        <f t="shared" si="269"/>
        <v/>
      </c>
      <c r="BM300" s="264" t="str">
        <f t="shared" si="257"/>
        <v/>
      </c>
      <c r="BN300" s="60" t="str">
        <f t="shared" si="270"/>
        <v/>
      </c>
      <c r="BO300" s="136">
        <f t="shared" si="271"/>
        <v>0</v>
      </c>
      <c r="BP300" s="59">
        <f t="shared" si="272"/>
        <v>0</v>
      </c>
      <c r="BQ300" s="136">
        <f t="shared" ca="1" si="258"/>
        <v>1485</v>
      </c>
      <c r="BR300" s="136">
        <f t="shared" ca="1" si="259"/>
        <v>1000.9468438538206</v>
      </c>
      <c r="BS300" s="136">
        <f t="shared" ca="1" si="260"/>
        <v>1468800.9468438539</v>
      </c>
      <c r="BT300" s="136">
        <f t="shared" ca="1" si="261"/>
        <v>313875.86956961302</v>
      </c>
      <c r="BU300" s="136">
        <f t="shared" ca="1" si="262"/>
        <v>1000.9468438538206</v>
      </c>
    </row>
    <row r="301" spans="1:73" x14ac:dyDescent="0.2">
      <c r="A301" s="87" t="str">
        <f>'Etape 2'!A298</f>
        <v/>
      </c>
      <c r="B301" s="87">
        <f>'Etape 2'!B298</f>
        <v>286</v>
      </c>
      <c r="C301" s="87">
        <f ca="1">'Etape 2'!C298</f>
        <v>15</v>
      </c>
      <c r="D301" s="87"/>
      <c r="E301" s="61">
        <f ca="1">RANK(BU301,BU$16:BU$315,0)+COUNTIF(BU$16:BU301,BU301)-1</f>
        <v>15</v>
      </c>
      <c r="F301" s="87" t="str">
        <f>'Etape 2'!D298</f>
        <v/>
      </c>
      <c r="G301" s="87" t="str">
        <f>'Etape 2'!E298</f>
        <v/>
      </c>
      <c r="H301" s="87" t="str">
        <f>'Etape 2'!F298</f>
        <v/>
      </c>
      <c r="I301" s="87" t="str">
        <f>'Etape 2'!G298</f>
        <v/>
      </c>
      <c r="J301" s="87" t="str">
        <f>'Etape 2'!H298</f>
        <v/>
      </c>
      <c r="K301" s="87" t="str">
        <f>'Etape 2'!I298</f>
        <v/>
      </c>
      <c r="L301" s="87">
        <f ca="1">'Etape 2'!J298</f>
        <v>999999</v>
      </c>
      <c r="M301" s="87">
        <f>'Etape 2'!K298</f>
        <v>999</v>
      </c>
      <c r="N301" s="87">
        <f ca="1">'Etape 2'!L298</f>
        <v>286</v>
      </c>
      <c r="O301" s="259">
        <f t="shared" si="245"/>
        <v>0.3</v>
      </c>
      <c r="P301" s="259">
        <f t="shared" si="246"/>
        <v>1.1000000000000001</v>
      </c>
      <c r="Q301" s="260">
        <f t="shared" si="247"/>
        <v>0</v>
      </c>
      <c r="R301" s="261">
        <f t="shared" si="274"/>
        <v>0</v>
      </c>
      <c r="S301" s="87">
        <f>IF(ISBLANK('Etape 2'!N298),0,VLOOKUP('Etape 2'!N298,Matrix_Uebersetzung,2,FALSE))</f>
        <v>0</v>
      </c>
      <c r="T301" s="87">
        <f>IF(ISBLANK('Etape 2'!O298),0,VLOOKUP('Etape 2'!O298,Matrix_Uebersetzung,2,FALSE))</f>
        <v>0</v>
      </c>
      <c r="U301" s="87">
        <f>IF(ISBLANK('Etape 2'!P298),0,VLOOKUP('Etape 2'!P298,Matrix_Uebersetzung,2,FALSE))</f>
        <v>0</v>
      </c>
      <c r="V301" s="87" t="str">
        <f>'Etape 2'!Q298</f>
        <v/>
      </c>
      <c r="W301" s="87">
        <f>'Etape 2'!R298</f>
        <v>0</v>
      </c>
      <c r="X301" s="87" t="str">
        <f>'Etape 2'!S298</f>
        <v/>
      </c>
      <c r="Y301" s="89" t="str">
        <f>'Etape 2'!T298</f>
        <v/>
      </c>
      <c r="Z301" s="87">
        <f>'Etape 2'!U298</f>
        <v>0</v>
      </c>
      <c r="AA301" s="87" t="str">
        <f>'Etape 2'!V298</f>
        <v/>
      </c>
      <c r="AB301" s="87">
        <f>IF(ISNUMBER('Etape 2'!W298),'Etape 2'!W298,0)</f>
        <v>0</v>
      </c>
      <c r="AC301" s="87">
        <f>IF(ISNUMBER('Etape 2'!X298),'Etape 2'!X298,0)</f>
        <v>0</v>
      </c>
      <c r="AD301" s="87">
        <f>IF(ISNUMBER('Etape 2'!Y298),'Etape 2'!Y298,0)</f>
        <v>0</v>
      </c>
      <c r="AE301" s="87">
        <f>IF(ISNUMBER('Etape 2'!Z298),'Etape 2'!Z298,0)</f>
        <v>0</v>
      </c>
      <c r="AF301" s="86">
        <f t="shared" si="263"/>
        <v>999</v>
      </c>
      <c r="AG301" s="288">
        <f t="shared" si="264"/>
        <v>0.25</v>
      </c>
      <c r="AH301" s="181" t="e">
        <f t="shared" si="248"/>
        <v>#VALUE!</v>
      </c>
      <c r="AI301" s="181" t="e">
        <f t="shared" si="233"/>
        <v>#VALUE!</v>
      </c>
      <c r="AJ301" s="86">
        <f t="shared" si="249"/>
        <v>200</v>
      </c>
      <c r="AK301" s="91" t="e">
        <f t="shared" si="250"/>
        <v>#N/A</v>
      </c>
      <c r="AL301" s="91" t="e">
        <f t="shared" si="234"/>
        <v>#N/A</v>
      </c>
      <c r="AM301" s="91">
        <f t="shared" si="109"/>
        <v>6</v>
      </c>
      <c r="AN301" s="91" t="e">
        <f t="shared" si="235"/>
        <v>#N/A</v>
      </c>
      <c r="AO301" s="91" t="e">
        <f t="shared" si="236"/>
        <v>#N/A</v>
      </c>
      <c r="AP301" s="21" t="e">
        <f t="shared" si="237"/>
        <v>#N/A</v>
      </c>
      <c r="AQ301" s="21" t="e">
        <f t="shared" si="238"/>
        <v>#N/A</v>
      </c>
      <c r="AR301" s="92" t="str">
        <f t="shared" si="265"/>
        <v/>
      </c>
      <c r="AS301" s="21" t="str">
        <f t="shared" si="266"/>
        <v/>
      </c>
      <c r="AT301" s="59" t="str">
        <f t="shared" si="251"/>
        <v/>
      </c>
      <c r="AU301" s="105">
        <f t="shared" si="113"/>
        <v>1</v>
      </c>
      <c r="AV301" s="105">
        <f t="shared" si="239"/>
        <v>1</v>
      </c>
      <c r="AW301" s="58">
        <f t="shared" si="240"/>
        <v>2</v>
      </c>
      <c r="AX301" s="58">
        <f t="shared" si="241"/>
        <v>3</v>
      </c>
      <c r="AY301" s="58" t="str">
        <f t="shared" si="242"/>
        <v>avec vannes</v>
      </c>
      <c r="AZ301" s="58" t="str">
        <f t="shared" si="243"/>
        <v>fermé</v>
      </c>
      <c r="BA301" s="60">
        <f t="shared" si="275"/>
        <v>0</v>
      </c>
      <c r="BB301" s="60">
        <f t="shared" si="275"/>
        <v>0</v>
      </c>
      <c r="BC301" s="60">
        <f t="shared" si="275"/>
        <v>0</v>
      </c>
      <c r="BD301" s="60">
        <f t="shared" si="275"/>
        <v>0</v>
      </c>
      <c r="BE301" s="286" t="str">
        <f t="shared" si="252"/>
        <v/>
      </c>
      <c r="BF301" s="58" t="str">
        <f t="shared" si="267"/>
        <v/>
      </c>
      <c r="BG301" s="59" t="str">
        <f t="shared" si="253"/>
        <v/>
      </c>
      <c r="BH301" s="158">
        <f t="shared" ca="1" si="254"/>
        <v>1</v>
      </c>
      <c r="BI301" s="60">
        <f t="shared" ca="1" si="255"/>
        <v>0.15</v>
      </c>
      <c r="BJ301" s="60">
        <f t="shared" si="256"/>
        <v>0.2</v>
      </c>
      <c r="BK301" s="60" t="str">
        <f t="shared" si="268"/>
        <v/>
      </c>
      <c r="BL301" s="21" t="str">
        <f t="shared" si="269"/>
        <v/>
      </c>
      <c r="BM301" s="264" t="str">
        <f t="shared" si="257"/>
        <v/>
      </c>
      <c r="BN301" s="60" t="str">
        <f t="shared" si="270"/>
        <v/>
      </c>
      <c r="BO301" s="136">
        <f t="shared" si="271"/>
        <v>0</v>
      </c>
      <c r="BP301" s="59">
        <f t="shared" si="272"/>
        <v>0</v>
      </c>
      <c r="BQ301" s="136">
        <f t="shared" ca="1" si="258"/>
        <v>1486</v>
      </c>
      <c r="BR301" s="136">
        <f t="shared" ca="1" si="259"/>
        <v>1000.9501661129568</v>
      </c>
      <c r="BS301" s="136">
        <f t="shared" ca="1" si="260"/>
        <v>1468800.950166113</v>
      </c>
      <c r="BT301" s="136">
        <f t="shared" ca="1" si="261"/>
        <v>313875.87289187219</v>
      </c>
      <c r="BU301" s="136">
        <f t="shared" ca="1" si="262"/>
        <v>1000.9501661129568</v>
      </c>
    </row>
    <row r="302" spans="1:73" x14ac:dyDescent="0.2">
      <c r="A302" s="87" t="str">
        <f>'Etape 2'!A299</f>
        <v/>
      </c>
      <c r="B302" s="87">
        <f>'Etape 2'!B299</f>
        <v>287</v>
      </c>
      <c r="C302" s="87">
        <f ca="1">'Etape 2'!C299</f>
        <v>14</v>
      </c>
      <c r="D302" s="87"/>
      <c r="E302" s="61">
        <f ca="1">RANK(BU302,BU$16:BU$315,0)+COUNTIF(BU$16:BU302,BU302)-1</f>
        <v>14</v>
      </c>
      <c r="F302" s="87" t="str">
        <f>'Etape 2'!D299</f>
        <v/>
      </c>
      <c r="G302" s="87" t="str">
        <f>'Etape 2'!E299</f>
        <v/>
      </c>
      <c r="H302" s="87" t="str">
        <f>'Etape 2'!F299</f>
        <v/>
      </c>
      <c r="I302" s="87" t="str">
        <f>'Etape 2'!G299</f>
        <v/>
      </c>
      <c r="J302" s="87" t="str">
        <f>'Etape 2'!H299</f>
        <v/>
      </c>
      <c r="K302" s="87" t="str">
        <f>'Etape 2'!I299</f>
        <v/>
      </c>
      <c r="L302" s="87">
        <f ca="1">'Etape 2'!J299</f>
        <v>999999</v>
      </c>
      <c r="M302" s="87">
        <f>'Etape 2'!K299</f>
        <v>999</v>
      </c>
      <c r="N302" s="87">
        <f ca="1">'Etape 2'!L299</f>
        <v>287</v>
      </c>
      <c r="O302" s="259">
        <f t="shared" si="245"/>
        <v>0.3</v>
      </c>
      <c r="P302" s="259">
        <f t="shared" si="246"/>
        <v>1.1000000000000001</v>
      </c>
      <c r="Q302" s="260">
        <f t="shared" si="247"/>
        <v>0</v>
      </c>
      <c r="R302" s="261">
        <f t="shared" si="274"/>
        <v>0</v>
      </c>
      <c r="S302" s="87">
        <f>IF(ISBLANK('Etape 2'!N299),0,VLOOKUP('Etape 2'!N299,Matrix_Uebersetzung,2,FALSE))</f>
        <v>0</v>
      </c>
      <c r="T302" s="87">
        <f>IF(ISBLANK('Etape 2'!O299),0,VLOOKUP('Etape 2'!O299,Matrix_Uebersetzung,2,FALSE))</f>
        <v>0</v>
      </c>
      <c r="U302" s="87">
        <f>IF(ISBLANK('Etape 2'!P299),0,VLOOKUP('Etape 2'!P299,Matrix_Uebersetzung,2,FALSE))</f>
        <v>0</v>
      </c>
      <c r="V302" s="87" t="str">
        <f>'Etape 2'!Q299</f>
        <v/>
      </c>
      <c r="W302" s="87">
        <f>'Etape 2'!R299</f>
        <v>0</v>
      </c>
      <c r="X302" s="87" t="str">
        <f>'Etape 2'!S299</f>
        <v/>
      </c>
      <c r="Y302" s="89" t="str">
        <f>'Etape 2'!T299</f>
        <v/>
      </c>
      <c r="Z302" s="87">
        <f>'Etape 2'!U299</f>
        <v>0</v>
      </c>
      <c r="AA302" s="87" t="str">
        <f>'Etape 2'!V299</f>
        <v/>
      </c>
      <c r="AB302" s="87">
        <f>IF(ISNUMBER('Etape 2'!W299),'Etape 2'!W299,0)</f>
        <v>0</v>
      </c>
      <c r="AC302" s="87">
        <f>IF(ISNUMBER('Etape 2'!X299),'Etape 2'!X299,0)</f>
        <v>0</v>
      </c>
      <c r="AD302" s="87">
        <f>IF(ISNUMBER('Etape 2'!Y299),'Etape 2'!Y299,0)</f>
        <v>0</v>
      </c>
      <c r="AE302" s="87">
        <f>IF(ISNUMBER('Etape 2'!Z299),'Etape 2'!Z299,0)</f>
        <v>0</v>
      </c>
      <c r="AF302" s="86">
        <f t="shared" si="263"/>
        <v>999</v>
      </c>
      <c r="AG302" s="288">
        <f t="shared" si="264"/>
        <v>0.25</v>
      </c>
      <c r="AH302" s="181" t="e">
        <f t="shared" si="248"/>
        <v>#VALUE!</v>
      </c>
      <c r="AI302" s="181" t="e">
        <f t="shared" si="233"/>
        <v>#VALUE!</v>
      </c>
      <c r="AJ302" s="86">
        <f t="shared" si="249"/>
        <v>200</v>
      </c>
      <c r="AK302" s="91" t="e">
        <f t="shared" si="250"/>
        <v>#N/A</v>
      </c>
      <c r="AL302" s="91" t="e">
        <f t="shared" si="234"/>
        <v>#N/A</v>
      </c>
      <c r="AM302" s="91">
        <f t="shared" si="109"/>
        <v>6</v>
      </c>
      <c r="AN302" s="91" t="e">
        <f t="shared" si="235"/>
        <v>#N/A</v>
      </c>
      <c r="AO302" s="91" t="e">
        <f t="shared" si="236"/>
        <v>#N/A</v>
      </c>
      <c r="AP302" s="21" t="e">
        <f t="shared" si="237"/>
        <v>#N/A</v>
      </c>
      <c r="AQ302" s="21" t="e">
        <f t="shared" si="238"/>
        <v>#N/A</v>
      </c>
      <c r="AR302" s="92" t="str">
        <f t="shared" si="265"/>
        <v/>
      </c>
      <c r="AS302" s="21" t="str">
        <f t="shared" si="266"/>
        <v/>
      </c>
      <c r="AT302" s="59" t="str">
        <f t="shared" si="251"/>
        <v/>
      </c>
      <c r="AU302" s="105">
        <f t="shared" si="113"/>
        <v>1</v>
      </c>
      <c r="AV302" s="105">
        <f t="shared" si="239"/>
        <v>1</v>
      </c>
      <c r="AW302" s="58">
        <f t="shared" si="240"/>
        <v>2</v>
      </c>
      <c r="AX302" s="58">
        <f t="shared" si="241"/>
        <v>3</v>
      </c>
      <c r="AY302" s="58" t="str">
        <f t="shared" si="242"/>
        <v>avec vannes</v>
      </c>
      <c r="AZ302" s="58" t="str">
        <f t="shared" si="243"/>
        <v>fermé</v>
      </c>
      <c r="BA302" s="60">
        <f t="shared" si="275"/>
        <v>0</v>
      </c>
      <c r="BB302" s="60">
        <f t="shared" si="275"/>
        <v>0</v>
      </c>
      <c r="BC302" s="60">
        <f t="shared" si="275"/>
        <v>0</v>
      </c>
      <c r="BD302" s="60">
        <f t="shared" si="275"/>
        <v>0</v>
      </c>
      <c r="BE302" s="286" t="str">
        <f t="shared" si="252"/>
        <v/>
      </c>
      <c r="BF302" s="58" t="str">
        <f t="shared" si="267"/>
        <v/>
      </c>
      <c r="BG302" s="59" t="str">
        <f t="shared" si="253"/>
        <v/>
      </c>
      <c r="BH302" s="158">
        <f t="shared" ca="1" si="254"/>
        <v>1</v>
      </c>
      <c r="BI302" s="60">
        <f t="shared" ca="1" si="255"/>
        <v>0.15</v>
      </c>
      <c r="BJ302" s="60">
        <f t="shared" si="256"/>
        <v>0.2</v>
      </c>
      <c r="BK302" s="60" t="str">
        <f t="shared" si="268"/>
        <v/>
      </c>
      <c r="BL302" s="21" t="str">
        <f t="shared" si="269"/>
        <v/>
      </c>
      <c r="BM302" s="264" t="str">
        <f t="shared" si="257"/>
        <v/>
      </c>
      <c r="BN302" s="60" t="str">
        <f t="shared" si="270"/>
        <v/>
      </c>
      <c r="BO302" s="136">
        <f t="shared" si="271"/>
        <v>0</v>
      </c>
      <c r="BP302" s="59">
        <f t="shared" si="272"/>
        <v>0</v>
      </c>
      <c r="BQ302" s="136">
        <f t="shared" ca="1" si="258"/>
        <v>1487</v>
      </c>
      <c r="BR302" s="136">
        <f t="shared" ca="1" si="259"/>
        <v>1000.953488372093</v>
      </c>
      <c r="BS302" s="136">
        <f t="shared" ca="1" si="260"/>
        <v>1468800.953488372</v>
      </c>
      <c r="BT302" s="136">
        <f t="shared" ca="1" si="261"/>
        <v>313875.87621413131</v>
      </c>
      <c r="BU302" s="136">
        <f t="shared" ca="1" si="262"/>
        <v>1000.953488372093</v>
      </c>
    </row>
    <row r="303" spans="1:73" x14ac:dyDescent="0.2">
      <c r="A303" s="87" t="str">
        <f>'Etape 2'!A300</f>
        <v/>
      </c>
      <c r="B303" s="87">
        <f>'Etape 2'!B300</f>
        <v>288</v>
      </c>
      <c r="C303" s="87">
        <f ca="1">'Etape 2'!C300</f>
        <v>13</v>
      </c>
      <c r="D303" s="87"/>
      <c r="E303" s="61">
        <f ca="1">RANK(BU303,BU$16:BU$315,0)+COUNTIF(BU$16:BU303,BU303)-1</f>
        <v>13</v>
      </c>
      <c r="F303" s="87" t="str">
        <f>'Etape 2'!D300</f>
        <v/>
      </c>
      <c r="G303" s="87" t="str">
        <f>'Etape 2'!E300</f>
        <v/>
      </c>
      <c r="H303" s="87" t="str">
        <f>'Etape 2'!F300</f>
        <v/>
      </c>
      <c r="I303" s="87" t="str">
        <f>'Etape 2'!G300</f>
        <v/>
      </c>
      <c r="J303" s="87" t="str">
        <f>'Etape 2'!H300</f>
        <v/>
      </c>
      <c r="K303" s="87" t="str">
        <f>'Etape 2'!I300</f>
        <v/>
      </c>
      <c r="L303" s="87">
        <f ca="1">'Etape 2'!J300</f>
        <v>999999</v>
      </c>
      <c r="M303" s="87">
        <f>'Etape 2'!K300</f>
        <v>999</v>
      </c>
      <c r="N303" s="87">
        <f ca="1">'Etape 2'!L300</f>
        <v>288</v>
      </c>
      <c r="O303" s="259">
        <f t="shared" si="245"/>
        <v>0.3</v>
      </c>
      <c r="P303" s="259">
        <f t="shared" si="246"/>
        <v>1.1000000000000001</v>
      </c>
      <c r="Q303" s="260">
        <f t="shared" si="247"/>
        <v>0</v>
      </c>
      <c r="R303" s="261">
        <f t="shared" si="274"/>
        <v>0</v>
      </c>
      <c r="S303" s="87">
        <f>IF(ISBLANK('Etape 2'!N300),0,VLOOKUP('Etape 2'!N300,Matrix_Uebersetzung,2,FALSE))</f>
        <v>0</v>
      </c>
      <c r="T303" s="87">
        <f>IF(ISBLANK('Etape 2'!O300),0,VLOOKUP('Etape 2'!O300,Matrix_Uebersetzung,2,FALSE))</f>
        <v>0</v>
      </c>
      <c r="U303" s="87">
        <f>IF(ISBLANK('Etape 2'!P300),0,VLOOKUP('Etape 2'!P300,Matrix_Uebersetzung,2,FALSE))</f>
        <v>0</v>
      </c>
      <c r="V303" s="87" t="str">
        <f>'Etape 2'!Q300</f>
        <v/>
      </c>
      <c r="W303" s="87">
        <f>'Etape 2'!R300</f>
        <v>0</v>
      </c>
      <c r="X303" s="87" t="str">
        <f>'Etape 2'!S300</f>
        <v/>
      </c>
      <c r="Y303" s="89" t="str">
        <f>'Etape 2'!T300</f>
        <v/>
      </c>
      <c r="Z303" s="87">
        <f>'Etape 2'!U300</f>
        <v>0</v>
      </c>
      <c r="AA303" s="87" t="str">
        <f>'Etape 2'!V300</f>
        <v/>
      </c>
      <c r="AB303" s="87">
        <f>IF(ISNUMBER('Etape 2'!W300),'Etape 2'!W300,0)</f>
        <v>0</v>
      </c>
      <c r="AC303" s="87">
        <f>IF(ISNUMBER('Etape 2'!X300),'Etape 2'!X300,0)</f>
        <v>0</v>
      </c>
      <c r="AD303" s="87">
        <f>IF(ISNUMBER('Etape 2'!Y300),'Etape 2'!Y300,0)</f>
        <v>0</v>
      </c>
      <c r="AE303" s="87">
        <f>IF(ISNUMBER('Etape 2'!Z300),'Etape 2'!Z300,0)</f>
        <v>0</v>
      </c>
      <c r="AF303" s="86">
        <f t="shared" si="263"/>
        <v>999</v>
      </c>
      <c r="AG303" s="288">
        <f t="shared" si="264"/>
        <v>0.25</v>
      </c>
      <c r="AH303" s="181" t="e">
        <f t="shared" si="248"/>
        <v>#VALUE!</v>
      </c>
      <c r="AI303" s="181" t="e">
        <f t="shared" si="233"/>
        <v>#VALUE!</v>
      </c>
      <c r="AJ303" s="86">
        <f t="shared" si="249"/>
        <v>200</v>
      </c>
      <c r="AK303" s="91" t="e">
        <f t="shared" si="250"/>
        <v>#N/A</v>
      </c>
      <c r="AL303" s="91" t="e">
        <f t="shared" si="234"/>
        <v>#N/A</v>
      </c>
      <c r="AM303" s="91">
        <f t="shared" si="109"/>
        <v>6</v>
      </c>
      <c r="AN303" s="91" t="e">
        <f t="shared" si="235"/>
        <v>#N/A</v>
      </c>
      <c r="AO303" s="91" t="e">
        <f t="shared" si="236"/>
        <v>#N/A</v>
      </c>
      <c r="AP303" s="21" t="e">
        <f t="shared" si="237"/>
        <v>#N/A</v>
      </c>
      <c r="AQ303" s="21" t="e">
        <f t="shared" si="238"/>
        <v>#N/A</v>
      </c>
      <c r="AR303" s="92" t="str">
        <f t="shared" si="265"/>
        <v/>
      </c>
      <c r="AS303" s="21" t="str">
        <f t="shared" si="266"/>
        <v/>
      </c>
      <c r="AT303" s="59" t="str">
        <f t="shared" si="251"/>
        <v/>
      </c>
      <c r="AU303" s="105">
        <f t="shared" si="113"/>
        <v>1</v>
      </c>
      <c r="AV303" s="105">
        <f t="shared" si="239"/>
        <v>1</v>
      </c>
      <c r="AW303" s="58">
        <f t="shared" si="240"/>
        <v>2</v>
      </c>
      <c r="AX303" s="58">
        <f t="shared" si="241"/>
        <v>3</v>
      </c>
      <c r="AY303" s="58" t="str">
        <f t="shared" si="242"/>
        <v>avec vannes</v>
      </c>
      <c r="AZ303" s="58" t="str">
        <f t="shared" si="243"/>
        <v>fermé</v>
      </c>
      <c r="BA303" s="60">
        <f t="shared" si="275"/>
        <v>0</v>
      </c>
      <c r="BB303" s="60">
        <f t="shared" si="275"/>
        <v>0</v>
      </c>
      <c r="BC303" s="60">
        <f t="shared" si="275"/>
        <v>0</v>
      </c>
      <c r="BD303" s="60">
        <f t="shared" si="275"/>
        <v>0</v>
      </c>
      <c r="BE303" s="286" t="str">
        <f t="shared" si="252"/>
        <v/>
      </c>
      <c r="BF303" s="58" t="str">
        <f t="shared" si="267"/>
        <v/>
      </c>
      <c r="BG303" s="59" t="str">
        <f t="shared" si="253"/>
        <v/>
      </c>
      <c r="BH303" s="158">
        <f t="shared" ca="1" si="254"/>
        <v>1</v>
      </c>
      <c r="BI303" s="60">
        <f t="shared" ca="1" si="255"/>
        <v>0.15</v>
      </c>
      <c r="BJ303" s="60">
        <f t="shared" si="256"/>
        <v>0.2</v>
      </c>
      <c r="BK303" s="60" t="str">
        <f t="shared" si="268"/>
        <v/>
      </c>
      <c r="BL303" s="21" t="str">
        <f t="shared" si="269"/>
        <v/>
      </c>
      <c r="BM303" s="264" t="str">
        <f t="shared" si="257"/>
        <v/>
      </c>
      <c r="BN303" s="60" t="str">
        <f t="shared" si="270"/>
        <v/>
      </c>
      <c r="BO303" s="136">
        <f t="shared" si="271"/>
        <v>0</v>
      </c>
      <c r="BP303" s="59">
        <f t="shared" si="272"/>
        <v>0</v>
      </c>
      <c r="BQ303" s="136">
        <f t="shared" ca="1" si="258"/>
        <v>1488</v>
      </c>
      <c r="BR303" s="136">
        <f t="shared" ca="1" si="259"/>
        <v>1000.9568106312292</v>
      </c>
      <c r="BS303" s="136">
        <f t="shared" ca="1" si="260"/>
        <v>1468800.9568106313</v>
      </c>
      <c r="BT303" s="136">
        <f t="shared" ca="1" si="261"/>
        <v>313875.87953639042</v>
      </c>
      <c r="BU303" s="136">
        <f t="shared" ca="1" si="262"/>
        <v>1000.9568106312292</v>
      </c>
    </row>
    <row r="304" spans="1:73" x14ac:dyDescent="0.2">
      <c r="A304" s="87" t="str">
        <f>'Etape 2'!A301</f>
        <v/>
      </c>
      <c r="B304" s="87">
        <f>'Etape 2'!B301</f>
        <v>289</v>
      </c>
      <c r="C304" s="87">
        <f ca="1">'Etape 2'!C301</f>
        <v>12</v>
      </c>
      <c r="D304" s="87"/>
      <c r="E304" s="61">
        <f ca="1">RANK(BU304,BU$16:BU$315,0)+COUNTIF(BU$16:BU304,BU304)-1</f>
        <v>12</v>
      </c>
      <c r="F304" s="87" t="str">
        <f>'Etape 2'!D301</f>
        <v/>
      </c>
      <c r="G304" s="87" t="str">
        <f>'Etape 2'!E301</f>
        <v/>
      </c>
      <c r="H304" s="87" t="str">
        <f>'Etape 2'!F301</f>
        <v/>
      </c>
      <c r="I304" s="87" t="str">
        <f>'Etape 2'!G301</f>
        <v/>
      </c>
      <c r="J304" s="87" t="str">
        <f>'Etape 2'!H301</f>
        <v/>
      </c>
      <c r="K304" s="87" t="str">
        <f>'Etape 2'!I301</f>
        <v/>
      </c>
      <c r="L304" s="87">
        <f ca="1">'Etape 2'!J301</f>
        <v>999999</v>
      </c>
      <c r="M304" s="87">
        <f>'Etape 2'!K301</f>
        <v>999</v>
      </c>
      <c r="N304" s="87">
        <f ca="1">'Etape 2'!L301</f>
        <v>289</v>
      </c>
      <c r="O304" s="259">
        <f t="shared" si="245"/>
        <v>0.3</v>
      </c>
      <c r="P304" s="259">
        <f t="shared" si="246"/>
        <v>1.1000000000000001</v>
      </c>
      <c r="Q304" s="260">
        <f t="shared" si="247"/>
        <v>0</v>
      </c>
      <c r="R304" s="261">
        <f t="shared" si="274"/>
        <v>0</v>
      </c>
      <c r="S304" s="87">
        <f>IF(ISBLANK('Etape 2'!N301),0,VLOOKUP('Etape 2'!N301,Matrix_Uebersetzung,2,FALSE))</f>
        <v>0</v>
      </c>
      <c r="T304" s="87">
        <f>IF(ISBLANK('Etape 2'!O301),0,VLOOKUP('Etape 2'!O301,Matrix_Uebersetzung,2,FALSE))</f>
        <v>0</v>
      </c>
      <c r="U304" s="87">
        <f>IF(ISBLANK('Etape 2'!P301),0,VLOOKUP('Etape 2'!P301,Matrix_Uebersetzung,2,FALSE))</f>
        <v>0</v>
      </c>
      <c r="V304" s="87" t="str">
        <f>'Etape 2'!Q301</f>
        <v/>
      </c>
      <c r="W304" s="87">
        <f>'Etape 2'!R301</f>
        <v>0</v>
      </c>
      <c r="X304" s="87" t="str">
        <f>'Etape 2'!S301</f>
        <v/>
      </c>
      <c r="Y304" s="89" t="str">
        <f>'Etape 2'!T301</f>
        <v/>
      </c>
      <c r="Z304" s="87">
        <f>'Etape 2'!U301</f>
        <v>0</v>
      </c>
      <c r="AA304" s="87" t="str">
        <f>'Etape 2'!V301</f>
        <v/>
      </c>
      <c r="AB304" s="87">
        <f>IF(ISNUMBER('Etape 2'!W301),'Etape 2'!W301,0)</f>
        <v>0</v>
      </c>
      <c r="AC304" s="87">
        <f>IF(ISNUMBER('Etape 2'!X301),'Etape 2'!X301,0)</f>
        <v>0</v>
      </c>
      <c r="AD304" s="87">
        <f>IF(ISNUMBER('Etape 2'!Y301),'Etape 2'!Y301,0)</f>
        <v>0</v>
      </c>
      <c r="AE304" s="87">
        <f>IF(ISNUMBER('Etape 2'!Z301),'Etape 2'!Z301,0)</f>
        <v>0</v>
      </c>
      <c r="AF304" s="86">
        <f t="shared" si="263"/>
        <v>999</v>
      </c>
      <c r="AG304" s="288">
        <f t="shared" si="264"/>
        <v>0.25</v>
      </c>
      <c r="AH304" s="181" t="e">
        <f t="shared" si="248"/>
        <v>#VALUE!</v>
      </c>
      <c r="AI304" s="181" t="e">
        <f t="shared" si="233"/>
        <v>#VALUE!</v>
      </c>
      <c r="AJ304" s="86">
        <f t="shared" si="249"/>
        <v>200</v>
      </c>
      <c r="AK304" s="91" t="e">
        <f t="shared" si="250"/>
        <v>#N/A</v>
      </c>
      <c r="AL304" s="91" t="e">
        <f t="shared" si="234"/>
        <v>#N/A</v>
      </c>
      <c r="AM304" s="91">
        <f t="shared" si="109"/>
        <v>6</v>
      </c>
      <c r="AN304" s="91" t="e">
        <f t="shared" si="235"/>
        <v>#N/A</v>
      </c>
      <c r="AO304" s="91" t="e">
        <f t="shared" si="236"/>
        <v>#N/A</v>
      </c>
      <c r="AP304" s="21" t="e">
        <f t="shared" si="237"/>
        <v>#N/A</v>
      </c>
      <c r="AQ304" s="21" t="e">
        <f t="shared" si="238"/>
        <v>#N/A</v>
      </c>
      <c r="AR304" s="92" t="str">
        <f t="shared" si="265"/>
        <v/>
      </c>
      <c r="AS304" s="21" t="str">
        <f t="shared" si="266"/>
        <v/>
      </c>
      <c r="AT304" s="59" t="str">
        <f t="shared" si="251"/>
        <v/>
      </c>
      <c r="AU304" s="105">
        <f t="shared" si="113"/>
        <v>1</v>
      </c>
      <c r="AV304" s="105">
        <f t="shared" si="239"/>
        <v>1</v>
      </c>
      <c r="AW304" s="58">
        <f t="shared" si="240"/>
        <v>2</v>
      </c>
      <c r="AX304" s="58">
        <f t="shared" si="241"/>
        <v>3</v>
      </c>
      <c r="AY304" s="58" t="str">
        <f t="shared" si="242"/>
        <v>avec vannes</v>
      </c>
      <c r="AZ304" s="58" t="str">
        <f t="shared" si="243"/>
        <v>fermé</v>
      </c>
      <c r="BA304" s="60">
        <f t="shared" si="275"/>
        <v>0</v>
      </c>
      <c r="BB304" s="60">
        <f t="shared" si="275"/>
        <v>0</v>
      </c>
      <c r="BC304" s="60">
        <f t="shared" si="275"/>
        <v>0</v>
      </c>
      <c r="BD304" s="60">
        <f t="shared" si="275"/>
        <v>0</v>
      </c>
      <c r="BE304" s="286" t="str">
        <f t="shared" si="252"/>
        <v/>
      </c>
      <c r="BF304" s="58" t="str">
        <f t="shared" si="267"/>
        <v/>
      </c>
      <c r="BG304" s="59" t="str">
        <f t="shared" si="253"/>
        <v/>
      </c>
      <c r="BH304" s="158">
        <f t="shared" ca="1" si="254"/>
        <v>1</v>
      </c>
      <c r="BI304" s="60">
        <f t="shared" ca="1" si="255"/>
        <v>0.15</v>
      </c>
      <c r="BJ304" s="60">
        <f t="shared" si="256"/>
        <v>0.2</v>
      </c>
      <c r="BK304" s="60" t="str">
        <f t="shared" si="268"/>
        <v/>
      </c>
      <c r="BL304" s="21" t="str">
        <f t="shared" si="269"/>
        <v/>
      </c>
      <c r="BM304" s="264" t="str">
        <f t="shared" si="257"/>
        <v/>
      </c>
      <c r="BN304" s="60" t="str">
        <f t="shared" si="270"/>
        <v/>
      </c>
      <c r="BO304" s="136">
        <f t="shared" si="271"/>
        <v>0</v>
      </c>
      <c r="BP304" s="59">
        <f t="shared" si="272"/>
        <v>0</v>
      </c>
      <c r="BQ304" s="136">
        <f t="shared" ca="1" si="258"/>
        <v>1489</v>
      </c>
      <c r="BR304" s="136">
        <f t="shared" ca="1" si="259"/>
        <v>1000.9601328903655</v>
      </c>
      <c r="BS304" s="136">
        <f t="shared" ca="1" si="260"/>
        <v>1468800.9601328904</v>
      </c>
      <c r="BT304" s="136">
        <f t="shared" ca="1" si="261"/>
        <v>313875.88285864959</v>
      </c>
      <c r="BU304" s="136">
        <f t="shared" ca="1" si="262"/>
        <v>1000.9601328903655</v>
      </c>
    </row>
    <row r="305" spans="1:73" x14ac:dyDescent="0.2">
      <c r="A305" s="87" t="str">
        <f>'Etape 2'!A302</f>
        <v/>
      </c>
      <c r="B305" s="87">
        <f>'Etape 2'!B302</f>
        <v>290</v>
      </c>
      <c r="C305" s="87">
        <f ca="1">'Etape 2'!C302</f>
        <v>11</v>
      </c>
      <c r="D305" s="87"/>
      <c r="E305" s="61">
        <f ca="1">RANK(BU305,BU$16:BU$315,0)+COUNTIF(BU$16:BU305,BU305)-1</f>
        <v>11</v>
      </c>
      <c r="F305" s="87" t="str">
        <f>'Etape 2'!D302</f>
        <v/>
      </c>
      <c r="G305" s="87" t="str">
        <f>'Etape 2'!E302</f>
        <v/>
      </c>
      <c r="H305" s="87" t="str">
        <f>'Etape 2'!F302</f>
        <v/>
      </c>
      <c r="I305" s="87" t="str">
        <f>'Etape 2'!G302</f>
        <v/>
      </c>
      <c r="J305" s="87" t="str">
        <f>'Etape 2'!H302</f>
        <v/>
      </c>
      <c r="K305" s="87" t="str">
        <f>'Etape 2'!I302</f>
        <v/>
      </c>
      <c r="L305" s="87">
        <f ca="1">'Etape 2'!J302</f>
        <v>999999</v>
      </c>
      <c r="M305" s="87">
        <f>'Etape 2'!K302</f>
        <v>999</v>
      </c>
      <c r="N305" s="87">
        <f ca="1">'Etape 2'!L302</f>
        <v>290</v>
      </c>
      <c r="O305" s="259">
        <f t="shared" si="245"/>
        <v>0.3</v>
      </c>
      <c r="P305" s="259">
        <f t="shared" si="246"/>
        <v>1.1000000000000001</v>
      </c>
      <c r="Q305" s="260">
        <f t="shared" si="247"/>
        <v>0</v>
      </c>
      <c r="R305" s="261">
        <f t="shared" si="274"/>
        <v>0</v>
      </c>
      <c r="S305" s="87">
        <f>IF(ISBLANK('Etape 2'!N302),0,VLOOKUP('Etape 2'!N302,Matrix_Uebersetzung,2,FALSE))</f>
        <v>0</v>
      </c>
      <c r="T305" s="87">
        <f>IF(ISBLANK('Etape 2'!O302),0,VLOOKUP('Etape 2'!O302,Matrix_Uebersetzung,2,FALSE))</f>
        <v>0</v>
      </c>
      <c r="U305" s="87">
        <f>IF(ISBLANK('Etape 2'!P302),0,VLOOKUP('Etape 2'!P302,Matrix_Uebersetzung,2,FALSE))</f>
        <v>0</v>
      </c>
      <c r="V305" s="87" t="str">
        <f>'Etape 2'!Q302</f>
        <v/>
      </c>
      <c r="W305" s="87">
        <f>'Etape 2'!R302</f>
        <v>0</v>
      </c>
      <c r="X305" s="87" t="str">
        <f>'Etape 2'!S302</f>
        <v/>
      </c>
      <c r="Y305" s="89" t="str">
        <f>'Etape 2'!T302</f>
        <v/>
      </c>
      <c r="Z305" s="87">
        <f>'Etape 2'!U302</f>
        <v>0</v>
      </c>
      <c r="AA305" s="87" t="str">
        <f>'Etape 2'!V302</f>
        <v/>
      </c>
      <c r="AB305" s="87">
        <f>IF(ISNUMBER('Etape 2'!W302),'Etape 2'!W302,0)</f>
        <v>0</v>
      </c>
      <c r="AC305" s="87">
        <f>IF(ISNUMBER('Etape 2'!X302),'Etape 2'!X302,0)</f>
        <v>0</v>
      </c>
      <c r="AD305" s="87">
        <f>IF(ISNUMBER('Etape 2'!Y302),'Etape 2'!Y302,0)</f>
        <v>0</v>
      </c>
      <c r="AE305" s="87">
        <f>IF(ISNUMBER('Etape 2'!Z302),'Etape 2'!Z302,0)</f>
        <v>0</v>
      </c>
      <c r="AF305" s="86">
        <f t="shared" si="263"/>
        <v>999</v>
      </c>
      <c r="AG305" s="288">
        <f t="shared" si="264"/>
        <v>0.25</v>
      </c>
      <c r="AH305" s="181" t="e">
        <f t="shared" si="248"/>
        <v>#VALUE!</v>
      </c>
      <c r="AI305" s="181" t="e">
        <f t="shared" si="233"/>
        <v>#VALUE!</v>
      </c>
      <c r="AJ305" s="86">
        <f t="shared" si="249"/>
        <v>200</v>
      </c>
      <c r="AK305" s="91" t="e">
        <f t="shared" si="250"/>
        <v>#N/A</v>
      </c>
      <c r="AL305" s="91" t="e">
        <f t="shared" si="234"/>
        <v>#N/A</v>
      </c>
      <c r="AM305" s="91">
        <f t="shared" si="109"/>
        <v>6</v>
      </c>
      <c r="AN305" s="91" t="e">
        <f t="shared" si="235"/>
        <v>#N/A</v>
      </c>
      <c r="AO305" s="91" t="e">
        <f t="shared" si="236"/>
        <v>#N/A</v>
      </c>
      <c r="AP305" s="21" t="e">
        <f t="shared" si="237"/>
        <v>#N/A</v>
      </c>
      <c r="AQ305" s="21" t="e">
        <f t="shared" si="238"/>
        <v>#N/A</v>
      </c>
      <c r="AR305" s="92" t="str">
        <f t="shared" si="265"/>
        <v/>
      </c>
      <c r="AS305" s="21" t="str">
        <f t="shared" si="266"/>
        <v/>
      </c>
      <c r="AT305" s="59" t="str">
        <f t="shared" si="251"/>
        <v/>
      </c>
      <c r="AU305" s="105">
        <f t="shared" si="113"/>
        <v>1</v>
      </c>
      <c r="AV305" s="105">
        <f t="shared" si="239"/>
        <v>1</v>
      </c>
      <c r="AW305" s="58">
        <f t="shared" si="240"/>
        <v>2</v>
      </c>
      <c r="AX305" s="58">
        <f t="shared" si="241"/>
        <v>3</v>
      </c>
      <c r="AY305" s="58" t="str">
        <f t="shared" si="242"/>
        <v>avec vannes</v>
      </c>
      <c r="AZ305" s="58" t="str">
        <f t="shared" si="243"/>
        <v>fermé</v>
      </c>
      <c r="BA305" s="60">
        <f t="shared" si="275"/>
        <v>0</v>
      </c>
      <c r="BB305" s="60">
        <f t="shared" si="275"/>
        <v>0</v>
      </c>
      <c r="BC305" s="60">
        <f t="shared" si="275"/>
        <v>0</v>
      </c>
      <c r="BD305" s="60">
        <f t="shared" si="275"/>
        <v>0</v>
      </c>
      <c r="BE305" s="286" t="str">
        <f t="shared" si="252"/>
        <v/>
      </c>
      <c r="BF305" s="58" t="str">
        <f t="shared" si="267"/>
        <v/>
      </c>
      <c r="BG305" s="59" t="str">
        <f t="shared" si="253"/>
        <v/>
      </c>
      <c r="BH305" s="158">
        <f t="shared" ca="1" si="254"/>
        <v>1</v>
      </c>
      <c r="BI305" s="60">
        <f t="shared" ca="1" si="255"/>
        <v>0.15</v>
      </c>
      <c r="BJ305" s="60">
        <f t="shared" si="256"/>
        <v>0.2</v>
      </c>
      <c r="BK305" s="60" t="str">
        <f t="shared" si="268"/>
        <v/>
      </c>
      <c r="BL305" s="21" t="str">
        <f t="shared" si="269"/>
        <v/>
      </c>
      <c r="BM305" s="264" t="str">
        <f t="shared" si="257"/>
        <v/>
      </c>
      <c r="BN305" s="60" t="str">
        <f t="shared" si="270"/>
        <v/>
      </c>
      <c r="BO305" s="136">
        <f t="shared" si="271"/>
        <v>0</v>
      </c>
      <c r="BP305" s="59">
        <f t="shared" si="272"/>
        <v>0</v>
      </c>
      <c r="BQ305" s="136">
        <f t="shared" ca="1" si="258"/>
        <v>1490</v>
      </c>
      <c r="BR305" s="136">
        <f t="shared" ca="1" si="259"/>
        <v>1000.9634551495017</v>
      </c>
      <c r="BS305" s="136">
        <f t="shared" ca="1" si="260"/>
        <v>1468800.9634551494</v>
      </c>
      <c r="BT305" s="136">
        <f t="shared" ca="1" si="261"/>
        <v>313875.88618090871</v>
      </c>
      <c r="BU305" s="136">
        <f t="shared" ca="1" si="262"/>
        <v>1000.9634551495017</v>
      </c>
    </row>
    <row r="306" spans="1:73" x14ac:dyDescent="0.2">
      <c r="A306" s="87" t="str">
        <f>'Etape 2'!A303</f>
        <v/>
      </c>
      <c r="B306" s="87">
        <f>'Etape 2'!B303</f>
        <v>291</v>
      </c>
      <c r="C306" s="87">
        <f ca="1">'Etape 2'!C303</f>
        <v>10</v>
      </c>
      <c r="D306" s="87"/>
      <c r="E306" s="61">
        <f ca="1">RANK(BU306,BU$16:BU$315,0)+COUNTIF(BU$16:BU306,BU306)-1</f>
        <v>10</v>
      </c>
      <c r="F306" s="87" t="str">
        <f>'Etape 2'!D303</f>
        <v/>
      </c>
      <c r="G306" s="87" t="str">
        <f>'Etape 2'!E303</f>
        <v/>
      </c>
      <c r="H306" s="87" t="str">
        <f>'Etape 2'!F303</f>
        <v/>
      </c>
      <c r="I306" s="87" t="str">
        <f>'Etape 2'!G303</f>
        <v/>
      </c>
      <c r="J306" s="87" t="str">
        <f>'Etape 2'!H303</f>
        <v/>
      </c>
      <c r="K306" s="87" t="str">
        <f>'Etape 2'!I303</f>
        <v/>
      </c>
      <c r="L306" s="87">
        <f ca="1">'Etape 2'!J303</f>
        <v>999999</v>
      </c>
      <c r="M306" s="87">
        <f>'Etape 2'!K303</f>
        <v>999</v>
      </c>
      <c r="N306" s="87">
        <f ca="1">'Etape 2'!L303</f>
        <v>291</v>
      </c>
      <c r="O306" s="259">
        <f t="shared" si="245"/>
        <v>0.3</v>
      </c>
      <c r="P306" s="259">
        <f t="shared" si="246"/>
        <v>1.1000000000000001</v>
      </c>
      <c r="Q306" s="260">
        <f t="shared" si="247"/>
        <v>0</v>
      </c>
      <c r="R306" s="261">
        <f t="shared" si="274"/>
        <v>0</v>
      </c>
      <c r="S306" s="87">
        <f>IF(ISBLANK('Etape 2'!N303),0,VLOOKUP('Etape 2'!N303,Matrix_Uebersetzung,2,FALSE))</f>
        <v>0</v>
      </c>
      <c r="T306" s="87">
        <f>IF(ISBLANK('Etape 2'!O303),0,VLOOKUP('Etape 2'!O303,Matrix_Uebersetzung,2,FALSE))</f>
        <v>0</v>
      </c>
      <c r="U306" s="87">
        <f>IF(ISBLANK('Etape 2'!P303),0,VLOOKUP('Etape 2'!P303,Matrix_Uebersetzung,2,FALSE))</f>
        <v>0</v>
      </c>
      <c r="V306" s="87" t="str">
        <f>'Etape 2'!Q303</f>
        <v/>
      </c>
      <c r="W306" s="87">
        <f>'Etape 2'!R303</f>
        <v>0</v>
      </c>
      <c r="X306" s="87" t="str">
        <f>'Etape 2'!S303</f>
        <v/>
      </c>
      <c r="Y306" s="89" t="str">
        <f>'Etape 2'!T303</f>
        <v/>
      </c>
      <c r="Z306" s="87">
        <f>'Etape 2'!U303</f>
        <v>0</v>
      </c>
      <c r="AA306" s="87" t="str">
        <f>'Etape 2'!V303</f>
        <v/>
      </c>
      <c r="AB306" s="87">
        <f>IF(ISNUMBER('Etape 2'!W303),'Etape 2'!W303,0)</f>
        <v>0</v>
      </c>
      <c r="AC306" s="87">
        <f>IF(ISNUMBER('Etape 2'!X303),'Etape 2'!X303,0)</f>
        <v>0</v>
      </c>
      <c r="AD306" s="87">
        <f>IF(ISNUMBER('Etape 2'!Y303),'Etape 2'!Y303,0)</f>
        <v>0</v>
      </c>
      <c r="AE306" s="87">
        <f>IF(ISNUMBER('Etape 2'!Z303),'Etape 2'!Z303,0)</f>
        <v>0</v>
      </c>
      <c r="AF306" s="86">
        <f t="shared" si="263"/>
        <v>999</v>
      </c>
      <c r="AG306" s="288">
        <f t="shared" si="264"/>
        <v>0.25</v>
      </c>
      <c r="AH306" s="181" t="e">
        <f t="shared" si="248"/>
        <v>#VALUE!</v>
      </c>
      <c r="AI306" s="181" t="e">
        <f t="shared" ref="AI306:AI315" si="276">AH306*Preis_Strom.Schritt2/100</f>
        <v>#VALUE!</v>
      </c>
      <c r="AJ306" s="86">
        <f t="shared" si="249"/>
        <v>200</v>
      </c>
      <c r="AK306" s="91" t="e">
        <f t="shared" si="250"/>
        <v>#N/A</v>
      </c>
      <c r="AL306" s="91" t="e">
        <f t="shared" ref="AL306:AL315" si="277">VLOOKUP(AA306,Matrix_Motor.EffKl.IEID,2,1)</f>
        <v>#N/A</v>
      </c>
      <c r="AM306" s="91">
        <f t="shared" si="109"/>
        <v>6</v>
      </c>
      <c r="AN306" s="91" t="e">
        <f t="shared" ref="AN306:AN315" si="278">CONCATENATE(AK306,AL306,X306)</f>
        <v>#N/A</v>
      </c>
      <c r="AO306" s="91" t="e">
        <f t="shared" ref="AO306:AO315" si="279">CONCATENATE(AK306,AM306,X306)</f>
        <v>#N/A</v>
      </c>
      <c r="AP306" s="21" t="e">
        <f t="shared" ref="AP306:AP315" si="280">(VLOOKUP(AN306,Matrix_Motor.KombiKl.EffParameter,3,0)*(LOG(AJ306))^3+VLOOKUP(AN306,Matrix_Motor.KombiKl.EffParameter,4,0)*(LOG(AJ306))^2+VLOOKUP(AN306,Matrix_Motor.KombiKl.EffParameter,5,0)*(LOG(AJ306))+VLOOKUP(AN306,Matrix_Motor.KombiKl.EffParameter,6,0))/100</f>
        <v>#N/A</v>
      </c>
      <c r="AQ306" s="21" t="e">
        <f t="shared" ref="AQ306:AQ315" si="281">(VLOOKUP(AO306,Matrix_Motor.KombiKl.EffParameter,3,0)*(LOG(AJ306))^3+VLOOKUP(AO306,Matrix_Motor.KombiKl.EffParameter,4,0)*(LOG(AJ306))^2+VLOOKUP(AO306,Matrix_Motor.KombiKl.EffParameter,5,0)*(LOG(AJ306))+VLOOKUP(AO306,Matrix_Motor.KombiKl.EffParameter,6,0))/100</f>
        <v>#N/A</v>
      </c>
      <c r="AR306" s="92" t="str">
        <f t="shared" si="265"/>
        <v/>
      </c>
      <c r="AS306" s="21" t="str">
        <f t="shared" si="266"/>
        <v/>
      </c>
      <c r="AT306" s="59" t="str">
        <f t="shared" si="251"/>
        <v/>
      </c>
      <c r="AU306" s="105">
        <f t="shared" si="113"/>
        <v>1</v>
      </c>
      <c r="AV306" s="105">
        <f t="shared" ref="AV306:AV315" si="282">IF(ISERROR(VLOOKUP(S306,Matrix_Kreislauf.Zahl,2,0)),Wert_Kreislauf.Zahl.Schritt2,VLOOKUP(S306,Matrix_Kreislauf.Zahl,2,0))</f>
        <v>1</v>
      </c>
      <c r="AW306" s="58">
        <f t="shared" ref="AW306:AW315" si="283">AU306+AV306</f>
        <v>2</v>
      </c>
      <c r="AX306" s="58">
        <f t="shared" ref="AX306:AX315" si="284">VLOOKUP(AW306,Matrix_Netztyp.Kreislauf.Spalte,6,0)</f>
        <v>3</v>
      </c>
      <c r="AY306" s="58" t="str">
        <f t="shared" ref="AY306:AY315" si="285">VLOOKUP(AW306,Matrix_Netztyp.Kreislauf.Spalte,2,0)</f>
        <v>avec vannes</v>
      </c>
      <c r="AZ306" s="58" t="str">
        <f t="shared" ref="AZ306:AZ315" si="286">VLOOKUP(AW306,Matrix_Netztyp.Kreislauf.Spalte,4,0)</f>
        <v>fermé</v>
      </c>
      <c r="BA306" s="60">
        <f t="shared" si="275"/>
        <v>0</v>
      </c>
      <c r="BB306" s="60">
        <f t="shared" si="275"/>
        <v>0</v>
      </c>
      <c r="BC306" s="60">
        <f t="shared" si="275"/>
        <v>0</v>
      </c>
      <c r="BD306" s="60">
        <f t="shared" si="275"/>
        <v>0</v>
      </c>
      <c r="BE306" s="286" t="str">
        <f t="shared" si="252"/>
        <v/>
      </c>
      <c r="BF306" s="58" t="str">
        <f t="shared" si="267"/>
        <v/>
      </c>
      <c r="BG306" s="59" t="str">
        <f t="shared" si="253"/>
        <v/>
      </c>
      <c r="BH306" s="158">
        <f t="shared" ca="1" si="254"/>
        <v>1</v>
      </c>
      <c r="BI306" s="60">
        <f t="shared" ca="1" si="255"/>
        <v>0.15</v>
      </c>
      <c r="BJ306" s="60">
        <f t="shared" si="256"/>
        <v>0.2</v>
      </c>
      <c r="BK306" s="60" t="str">
        <f t="shared" si="268"/>
        <v/>
      </c>
      <c r="BL306" s="21" t="str">
        <f t="shared" si="269"/>
        <v/>
      </c>
      <c r="BM306" s="264" t="str">
        <f t="shared" si="257"/>
        <v/>
      </c>
      <c r="BN306" s="60" t="str">
        <f t="shared" si="270"/>
        <v/>
      </c>
      <c r="BO306" s="136">
        <f t="shared" si="271"/>
        <v>0</v>
      </c>
      <c r="BP306" s="59">
        <f t="shared" si="272"/>
        <v>0</v>
      </c>
      <c r="BQ306" s="136">
        <f t="shared" ca="1" si="258"/>
        <v>1491</v>
      </c>
      <c r="BR306" s="136">
        <f t="shared" ca="1" si="259"/>
        <v>1000.9667774086379</v>
      </c>
      <c r="BS306" s="136">
        <f t="shared" ca="1" si="260"/>
        <v>1468800.9667774087</v>
      </c>
      <c r="BT306" s="136">
        <f t="shared" ca="1" si="261"/>
        <v>313875.88950316783</v>
      </c>
      <c r="BU306" s="136">
        <f t="shared" ca="1" si="262"/>
        <v>1000.9667774086379</v>
      </c>
    </row>
    <row r="307" spans="1:73" x14ac:dyDescent="0.2">
      <c r="A307" s="87" t="str">
        <f>'Etape 2'!A304</f>
        <v/>
      </c>
      <c r="B307" s="87">
        <f>'Etape 2'!B304</f>
        <v>292</v>
      </c>
      <c r="C307" s="87">
        <f ca="1">'Etape 2'!C304</f>
        <v>9</v>
      </c>
      <c r="D307" s="87"/>
      <c r="E307" s="61">
        <f ca="1">RANK(BU307,BU$16:BU$315,0)+COUNTIF(BU$16:BU307,BU307)-1</f>
        <v>9</v>
      </c>
      <c r="F307" s="87" t="str">
        <f>'Etape 2'!D304</f>
        <v/>
      </c>
      <c r="G307" s="87" t="str">
        <f>'Etape 2'!E304</f>
        <v/>
      </c>
      <c r="H307" s="87" t="str">
        <f>'Etape 2'!F304</f>
        <v/>
      </c>
      <c r="I307" s="87" t="str">
        <f>'Etape 2'!G304</f>
        <v/>
      </c>
      <c r="J307" s="87" t="str">
        <f>'Etape 2'!H304</f>
        <v/>
      </c>
      <c r="K307" s="87" t="str">
        <f>'Etape 2'!I304</f>
        <v/>
      </c>
      <c r="L307" s="87">
        <f ca="1">'Etape 2'!J304</f>
        <v>999999</v>
      </c>
      <c r="M307" s="87">
        <f>'Etape 2'!K304</f>
        <v>999</v>
      </c>
      <c r="N307" s="87">
        <f ca="1">'Etape 2'!L304</f>
        <v>292</v>
      </c>
      <c r="O307" s="259">
        <f t="shared" si="245"/>
        <v>0.3</v>
      </c>
      <c r="P307" s="259">
        <f t="shared" si="246"/>
        <v>1.1000000000000001</v>
      </c>
      <c r="Q307" s="260">
        <f t="shared" si="247"/>
        <v>0</v>
      </c>
      <c r="R307" s="261">
        <f t="shared" si="274"/>
        <v>0</v>
      </c>
      <c r="S307" s="87">
        <f>IF(ISBLANK('Etape 2'!N304),0,VLOOKUP('Etape 2'!N304,Matrix_Uebersetzung,2,FALSE))</f>
        <v>0</v>
      </c>
      <c r="T307" s="87">
        <f>IF(ISBLANK('Etape 2'!O304),0,VLOOKUP('Etape 2'!O304,Matrix_Uebersetzung,2,FALSE))</f>
        <v>0</v>
      </c>
      <c r="U307" s="87">
        <f>IF(ISBLANK('Etape 2'!P304),0,VLOOKUP('Etape 2'!P304,Matrix_Uebersetzung,2,FALSE))</f>
        <v>0</v>
      </c>
      <c r="V307" s="87" t="str">
        <f>'Etape 2'!Q304</f>
        <v/>
      </c>
      <c r="W307" s="87">
        <f>'Etape 2'!R304</f>
        <v>0</v>
      </c>
      <c r="X307" s="87" t="str">
        <f>'Etape 2'!S304</f>
        <v/>
      </c>
      <c r="Y307" s="89" t="str">
        <f>'Etape 2'!T304</f>
        <v/>
      </c>
      <c r="Z307" s="87">
        <f>'Etape 2'!U304</f>
        <v>0</v>
      </c>
      <c r="AA307" s="87" t="str">
        <f>'Etape 2'!V304</f>
        <v/>
      </c>
      <c r="AB307" s="87">
        <f>IF(ISNUMBER('Etape 2'!W304),'Etape 2'!W304,0)</f>
        <v>0</v>
      </c>
      <c r="AC307" s="87">
        <f>IF(ISNUMBER('Etape 2'!X304),'Etape 2'!X304,0)</f>
        <v>0</v>
      </c>
      <c r="AD307" s="87">
        <f>IF(ISNUMBER('Etape 2'!Y304),'Etape 2'!Y304,0)</f>
        <v>0</v>
      </c>
      <c r="AE307" s="87">
        <f>IF(ISNUMBER('Etape 2'!Z304),'Etape 2'!Z304,0)</f>
        <v>0</v>
      </c>
      <c r="AF307" s="86">
        <f t="shared" si="263"/>
        <v>999</v>
      </c>
      <c r="AG307" s="288">
        <f t="shared" si="264"/>
        <v>0.25</v>
      </c>
      <c r="AH307" s="181" t="e">
        <f t="shared" si="248"/>
        <v>#VALUE!</v>
      </c>
      <c r="AI307" s="181" t="e">
        <f t="shared" si="276"/>
        <v>#VALUE!</v>
      </c>
      <c r="AJ307" s="86">
        <f t="shared" si="249"/>
        <v>200</v>
      </c>
      <c r="AK307" s="91" t="e">
        <f t="shared" si="250"/>
        <v>#N/A</v>
      </c>
      <c r="AL307" s="91" t="e">
        <f t="shared" si="277"/>
        <v>#N/A</v>
      </c>
      <c r="AM307" s="91">
        <f t="shared" si="109"/>
        <v>6</v>
      </c>
      <c r="AN307" s="91" t="e">
        <f t="shared" si="278"/>
        <v>#N/A</v>
      </c>
      <c r="AO307" s="91" t="e">
        <f t="shared" si="279"/>
        <v>#N/A</v>
      </c>
      <c r="AP307" s="21" t="e">
        <f t="shared" si="280"/>
        <v>#N/A</v>
      </c>
      <c r="AQ307" s="21" t="e">
        <f t="shared" si="281"/>
        <v>#N/A</v>
      </c>
      <c r="AR307" s="92" t="str">
        <f t="shared" si="265"/>
        <v/>
      </c>
      <c r="AS307" s="21" t="str">
        <f t="shared" si="266"/>
        <v/>
      </c>
      <c r="AT307" s="59" t="str">
        <f t="shared" si="251"/>
        <v/>
      </c>
      <c r="AU307" s="105">
        <f t="shared" si="113"/>
        <v>1</v>
      </c>
      <c r="AV307" s="105">
        <f t="shared" si="282"/>
        <v>1</v>
      </c>
      <c r="AW307" s="58">
        <f t="shared" si="283"/>
        <v>2</v>
      </c>
      <c r="AX307" s="58">
        <f t="shared" si="284"/>
        <v>3</v>
      </c>
      <c r="AY307" s="58" t="str">
        <f t="shared" si="285"/>
        <v>avec vannes</v>
      </c>
      <c r="AZ307" s="58" t="str">
        <f t="shared" si="286"/>
        <v>fermé</v>
      </c>
      <c r="BA307" s="60">
        <f t="shared" si="275"/>
        <v>0</v>
      </c>
      <c r="BB307" s="60">
        <f t="shared" si="275"/>
        <v>0</v>
      </c>
      <c r="BC307" s="60">
        <f t="shared" si="275"/>
        <v>0</v>
      </c>
      <c r="BD307" s="60">
        <f t="shared" si="275"/>
        <v>0</v>
      </c>
      <c r="BE307" s="286" t="str">
        <f t="shared" si="252"/>
        <v/>
      </c>
      <c r="BF307" s="58" t="str">
        <f t="shared" si="267"/>
        <v/>
      </c>
      <c r="BG307" s="59" t="str">
        <f t="shared" si="253"/>
        <v/>
      </c>
      <c r="BH307" s="158">
        <f t="shared" ca="1" si="254"/>
        <v>1</v>
      </c>
      <c r="BI307" s="60">
        <f t="shared" ca="1" si="255"/>
        <v>0.15</v>
      </c>
      <c r="BJ307" s="60">
        <f t="shared" si="256"/>
        <v>0.2</v>
      </c>
      <c r="BK307" s="60" t="str">
        <f t="shared" si="268"/>
        <v/>
      </c>
      <c r="BL307" s="21" t="str">
        <f t="shared" si="269"/>
        <v/>
      </c>
      <c r="BM307" s="264" t="str">
        <f t="shared" si="257"/>
        <v/>
      </c>
      <c r="BN307" s="60" t="str">
        <f t="shared" si="270"/>
        <v/>
      </c>
      <c r="BO307" s="136">
        <f t="shared" si="271"/>
        <v>0</v>
      </c>
      <c r="BP307" s="59">
        <f t="shared" si="272"/>
        <v>0</v>
      </c>
      <c r="BQ307" s="136">
        <f t="shared" ca="1" si="258"/>
        <v>1492</v>
      </c>
      <c r="BR307" s="136">
        <f t="shared" ca="1" si="259"/>
        <v>1000.9700996677741</v>
      </c>
      <c r="BS307" s="136">
        <f t="shared" ca="1" si="260"/>
        <v>1468800.9700996678</v>
      </c>
      <c r="BT307" s="136">
        <f t="shared" ca="1" si="261"/>
        <v>313875.892825427</v>
      </c>
      <c r="BU307" s="136">
        <f t="shared" ca="1" si="262"/>
        <v>1000.9700996677741</v>
      </c>
    </row>
    <row r="308" spans="1:73" x14ac:dyDescent="0.2">
      <c r="A308" s="87" t="str">
        <f>'Etape 2'!A305</f>
        <v/>
      </c>
      <c r="B308" s="87">
        <f>'Etape 2'!B305</f>
        <v>293</v>
      </c>
      <c r="C308" s="87">
        <f ca="1">'Etape 2'!C305</f>
        <v>8</v>
      </c>
      <c r="D308" s="87"/>
      <c r="E308" s="61">
        <f ca="1">RANK(BU308,BU$16:BU$315,0)+COUNTIF(BU$16:BU308,BU308)-1</f>
        <v>8</v>
      </c>
      <c r="F308" s="87" t="str">
        <f>'Etape 2'!D305</f>
        <v/>
      </c>
      <c r="G308" s="87" t="str">
        <f>'Etape 2'!E305</f>
        <v/>
      </c>
      <c r="H308" s="87" t="str">
        <f>'Etape 2'!F305</f>
        <v/>
      </c>
      <c r="I308" s="87" t="str">
        <f>'Etape 2'!G305</f>
        <v/>
      </c>
      <c r="J308" s="87" t="str">
        <f>'Etape 2'!H305</f>
        <v/>
      </c>
      <c r="K308" s="87" t="str">
        <f>'Etape 2'!I305</f>
        <v/>
      </c>
      <c r="L308" s="87">
        <f ca="1">'Etape 2'!J305</f>
        <v>999999</v>
      </c>
      <c r="M308" s="87">
        <f>'Etape 2'!K305</f>
        <v>999</v>
      </c>
      <c r="N308" s="87">
        <f ca="1">'Etape 2'!L305</f>
        <v>293</v>
      </c>
      <c r="O308" s="259">
        <f t="shared" si="245"/>
        <v>0.3</v>
      </c>
      <c r="P308" s="259">
        <f t="shared" si="246"/>
        <v>1.1000000000000001</v>
      </c>
      <c r="Q308" s="260">
        <f t="shared" si="247"/>
        <v>0</v>
      </c>
      <c r="R308" s="261">
        <f t="shared" si="274"/>
        <v>0</v>
      </c>
      <c r="S308" s="87">
        <f>IF(ISBLANK('Etape 2'!N305),0,VLOOKUP('Etape 2'!N305,Matrix_Uebersetzung,2,FALSE))</f>
        <v>0</v>
      </c>
      <c r="T308" s="87">
        <f>IF(ISBLANK('Etape 2'!O305),0,VLOOKUP('Etape 2'!O305,Matrix_Uebersetzung,2,FALSE))</f>
        <v>0</v>
      </c>
      <c r="U308" s="87">
        <f>IF(ISBLANK('Etape 2'!P305),0,VLOOKUP('Etape 2'!P305,Matrix_Uebersetzung,2,FALSE))</f>
        <v>0</v>
      </c>
      <c r="V308" s="87" t="str">
        <f>'Etape 2'!Q305</f>
        <v/>
      </c>
      <c r="W308" s="87">
        <f>'Etape 2'!R305</f>
        <v>0</v>
      </c>
      <c r="X308" s="87" t="str">
        <f>'Etape 2'!S305</f>
        <v/>
      </c>
      <c r="Y308" s="89" t="str">
        <f>'Etape 2'!T305</f>
        <v/>
      </c>
      <c r="Z308" s="87">
        <f>'Etape 2'!U305</f>
        <v>0</v>
      </c>
      <c r="AA308" s="87" t="str">
        <f>'Etape 2'!V305</f>
        <v/>
      </c>
      <c r="AB308" s="87">
        <f>IF(ISNUMBER('Etape 2'!W305),'Etape 2'!W305,0)</f>
        <v>0</v>
      </c>
      <c r="AC308" s="87">
        <f>IF(ISNUMBER('Etape 2'!X305),'Etape 2'!X305,0)</f>
        <v>0</v>
      </c>
      <c r="AD308" s="87">
        <f>IF(ISNUMBER('Etape 2'!Y305),'Etape 2'!Y305,0)</f>
        <v>0</v>
      </c>
      <c r="AE308" s="87">
        <f>IF(ISNUMBER('Etape 2'!Z305),'Etape 2'!Z305,0)</f>
        <v>0</v>
      </c>
      <c r="AF308" s="86">
        <f t="shared" si="263"/>
        <v>999</v>
      </c>
      <c r="AG308" s="288">
        <f t="shared" si="264"/>
        <v>0.25</v>
      </c>
      <c r="AH308" s="181" t="e">
        <f t="shared" si="248"/>
        <v>#VALUE!</v>
      </c>
      <c r="AI308" s="181" t="e">
        <f t="shared" si="276"/>
        <v>#VALUE!</v>
      </c>
      <c r="AJ308" s="86">
        <f t="shared" si="249"/>
        <v>200</v>
      </c>
      <c r="AK308" s="91" t="e">
        <f t="shared" si="250"/>
        <v>#N/A</v>
      </c>
      <c r="AL308" s="91" t="e">
        <f t="shared" si="277"/>
        <v>#N/A</v>
      </c>
      <c r="AM308" s="91">
        <f t="shared" si="109"/>
        <v>6</v>
      </c>
      <c r="AN308" s="91" t="e">
        <f t="shared" si="278"/>
        <v>#N/A</v>
      </c>
      <c r="AO308" s="91" t="e">
        <f t="shared" si="279"/>
        <v>#N/A</v>
      </c>
      <c r="AP308" s="21" t="e">
        <f t="shared" si="280"/>
        <v>#N/A</v>
      </c>
      <c r="AQ308" s="21" t="e">
        <f t="shared" si="281"/>
        <v>#N/A</v>
      </c>
      <c r="AR308" s="92" t="str">
        <f t="shared" si="265"/>
        <v/>
      </c>
      <c r="AS308" s="21" t="str">
        <f t="shared" si="266"/>
        <v/>
      </c>
      <c r="AT308" s="59" t="str">
        <f t="shared" si="251"/>
        <v/>
      </c>
      <c r="AU308" s="105">
        <f t="shared" si="113"/>
        <v>1</v>
      </c>
      <c r="AV308" s="105">
        <f t="shared" si="282"/>
        <v>1</v>
      </c>
      <c r="AW308" s="58">
        <f t="shared" si="283"/>
        <v>2</v>
      </c>
      <c r="AX308" s="58">
        <f t="shared" si="284"/>
        <v>3</v>
      </c>
      <c r="AY308" s="58" t="str">
        <f t="shared" si="285"/>
        <v>avec vannes</v>
      </c>
      <c r="AZ308" s="58" t="str">
        <f t="shared" si="286"/>
        <v>fermé</v>
      </c>
      <c r="BA308" s="60">
        <f t="shared" si="275"/>
        <v>0</v>
      </c>
      <c r="BB308" s="60">
        <f t="shared" si="275"/>
        <v>0</v>
      </c>
      <c r="BC308" s="60">
        <f t="shared" si="275"/>
        <v>0</v>
      </c>
      <c r="BD308" s="60">
        <f t="shared" si="275"/>
        <v>0</v>
      </c>
      <c r="BE308" s="286" t="str">
        <f t="shared" si="252"/>
        <v/>
      </c>
      <c r="BF308" s="58" t="str">
        <f t="shared" si="267"/>
        <v/>
      </c>
      <c r="BG308" s="59" t="str">
        <f t="shared" si="253"/>
        <v/>
      </c>
      <c r="BH308" s="158">
        <f t="shared" ca="1" si="254"/>
        <v>1</v>
      </c>
      <c r="BI308" s="60">
        <f t="shared" ca="1" si="255"/>
        <v>0.15</v>
      </c>
      <c r="BJ308" s="60">
        <f t="shared" si="256"/>
        <v>0.2</v>
      </c>
      <c r="BK308" s="60" t="str">
        <f t="shared" si="268"/>
        <v/>
      </c>
      <c r="BL308" s="21" t="str">
        <f t="shared" si="269"/>
        <v/>
      </c>
      <c r="BM308" s="264" t="str">
        <f t="shared" si="257"/>
        <v/>
      </c>
      <c r="BN308" s="60" t="str">
        <f t="shared" si="270"/>
        <v/>
      </c>
      <c r="BO308" s="136">
        <f t="shared" si="271"/>
        <v>0</v>
      </c>
      <c r="BP308" s="59">
        <f t="shared" si="272"/>
        <v>0</v>
      </c>
      <c r="BQ308" s="136">
        <f t="shared" ca="1" si="258"/>
        <v>1493</v>
      </c>
      <c r="BR308" s="136">
        <f t="shared" ca="1" si="259"/>
        <v>1000.9734219269103</v>
      </c>
      <c r="BS308" s="136">
        <f t="shared" ca="1" si="260"/>
        <v>1468800.9734219268</v>
      </c>
      <c r="BT308" s="136">
        <f t="shared" ca="1" si="261"/>
        <v>313875.89614768612</v>
      </c>
      <c r="BU308" s="136">
        <f t="shared" ca="1" si="262"/>
        <v>1000.9734219269103</v>
      </c>
    </row>
    <row r="309" spans="1:73" x14ac:dyDescent="0.2">
      <c r="A309" s="87" t="str">
        <f>'Etape 2'!A306</f>
        <v/>
      </c>
      <c r="B309" s="87">
        <f>'Etape 2'!B306</f>
        <v>294</v>
      </c>
      <c r="C309" s="87">
        <f ca="1">'Etape 2'!C306</f>
        <v>7</v>
      </c>
      <c r="D309" s="87"/>
      <c r="E309" s="61">
        <f ca="1">RANK(BU309,BU$16:BU$315,0)+COUNTIF(BU$16:BU309,BU309)-1</f>
        <v>7</v>
      </c>
      <c r="F309" s="87" t="str">
        <f>'Etape 2'!D306</f>
        <v/>
      </c>
      <c r="G309" s="87" t="str">
        <f>'Etape 2'!E306</f>
        <v/>
      </c>
      <c r="H309" s="87" t="str">
        <f>'Etape 2'!F306</f>
        <v/>
      </c>
      <c r="I309" s="87" t="str">
        <f>'Etape 2'!G306</f>
        <v/>
      </c>
      <c r="J309" s="87" t="str">
        <f>'Etape 2'!H306</f>
        <v/>
      </c>
      <c r="K309" s="87" t="str">
        <f>'Etape 2'!I306</f>
        <v/>
      </c>
      <c r="L309" s="87">
        <f ca="1">'Etape 2'!J306</f>
        <v>999999</v>
      </c>
      <c r="M309" s="87">
        <f>'Etape 2'!K306</f>
        <v>999</v>
      </c>
      <c r="N309" s="87">
        <f ca="1">'Etape 2'!L306</f>
        <v>294</v>
      </c>
      <c r="O309" s="259">
        <f t="shared" si="245"/>
        <v>0.3</v>
      </c>
      <c r="P309" s="259">
        <f t="shared" si="246"/>
        <v>1.1000000000000001</v>
      </c>
      <c r="Q309" s="260">
        <f t="shared" si="247"/>
        <v>0</v>
      </c>
      <c r="R309" s="261">
        <f t="shared" si="274"/>
        <v>0</v>
      </c>
      <c r="S309" s="87">
        <f>IF(ISBLANK('Etape 2'!N306),0,VLOOKUP('Etape 2'!N306,Matrix_Uebersetzung,2,FALSE))</f>
        <v>0</v>
      </c>
      <c r="T309" s="87">
        <f>IF(ISBLANK('Etape 2'!O306),0,VLOOKUP('Etape 2'!O306,Matrix_Uebersetzung,2,FALSE))</f>
        <v>0</v>
      </c>
      <c r="U309" s="87">
        <f>IF(ISBLANK('Etape 2'!P306),0,VLOOKUP('Etape 2'!P306,Matrix_Uebersetzung,2,FALSE))</f>
        <v>0</v>
      </c>
      <c r="V309" s="87" t="str">
        <f>'Etape 2'!Q306</f>
        <v/>
      </c>
      <c r="W309" s="87">
        <f>'Etape 2'!R306</f>
        <v>0</v>
      </c>
      <c r="X309" s="87" t="str">
        <f>'Etape 2'!S306</f>
        <v/>
      </c>
      <c r="Y309" s="89" t="str">
        <f>'Etape 2'!T306</f>
        <v/>
      </c>
      <c r="Z309" s="87">
        <f>'Etape 2'!U306</f>
        <v>0</v>
      </c>
      <c r="AA309" s="87" t="str">
        <f>'Etape 2'!V306</f>
        <v/>
      </c>
      <c r="AB309" s="87">
        <f>IF(ISNUMBER('Etape 2'!W306),'Etape 2'!W306,0)</f>
        <v>0</v>
      </c>
      <c r="AC309" s="87">
        <f>IF(ISNUMBER('Etape 2'!X306),'Etape 2'!X306,0)</f>
        <v>0</v>
      </c>
      <c r="AD309" s="87">
        <f>IF(ISNUMBER('Etape 2'!Y306),'Etape 2'!Y306,0)</f>
        <v>0</v>
      </c>
      <c r="AE309" s="87">
        <f>IF(ISNUMBER('Etape 2'!Z306),'Etape 2'!Z306,0)</f>
        <v>0</v>
      </c>
      <c r="AF309" s="86">
        <f t="shared" si="263"/>
        <v>999</v>
      </c>
      <c r="AG309" s="288">
        <f t="shared" si="264"/>
        <v>0.25</v>
      </c>
      <c r="AH309" s="181" t="e">
        <f t="shared" si="248"/>
        <v>#VALUE!</v>
      </c>
      <c r="AI309" s="181" t="e">
        <f t="shared" si="276"/>
        <v>#VALUE!</v>
      </c>
      <c r="AJ309" s="86">
        <f t="shared" si="249"/>
        <v>200</v>
      </c>
      <c r="AK309" s="91" t="e">
        <f t="shared" si="250"/>
        <v>#N/A</v>
      </c>
      <c r="AL309" s="91" t="e">
        <f t="shared" si="277"/>
        <v>#N/A</v>
      </c>
      <c r="AM309" s="91">
        <f t="shared" si="109"/>
        <v>6</v>
      </c>
      <c r="AN309" s="91" t="e">
        <f t="shared" si="278"/>
        <v>#N/A</v>
      </c>
      <c r="AO309" s="91" t="e">
        <f t="shared" si="279"/>
        <v>#N/A</v>
      </c>
      <c r="AP309" s="21" t="e">
        <f t="shared" si="280"/>
        <v>#N/A</v>
      </c>
      <c r="AQ309" s="21" t="e">
        <f t="shared" si="281"/>
        <v>#N/A</v>
      </c>
      <c r="AR309" s="92" t="str">
        <f t="shared" si="265"/>
        <v/>
      </c>
      <c r="AS309" s="21" t="str">
        <f t="shared" si="266"/>
        <v/>
      </c>
      <c r="AT309" s="59" t="str">
        <f t="shared" si="251"/>
        <v/>
      </c>
      <c r="AU309" s="105">
        <f t="shared" si="113"/>
        <v>1</v>
      </c>
      <c r="AV309" s="105">
        <f t="shared" si="282"/>
        <v>1</v>
      </c>
      <c r="AW309" s="58">
        <f t="shared" si="283"/>
        <v>2</v>
      </c>
      <c r="AX309" s="58">
        <f t="shared" si="284"/>
        <v>3</v>
      </c>
      <c r="AY309" s="58" t="str">
        <f t="shared" si="285"/>
        <v>avec vannes</v>
      </c>
      <c r="AZ309" s="58" t="str">
        <f t="shared" si="286"/>
        <v>fermé</v>
      </c>
      <c r="BA309" s="60">
        <f t="shared" si="275"/>
        <v>0</v>
      </c>
      <c r="BB309" s="60">
        <f t="shared" si="275"/>
        <v>0</v>
      </c>
      <c r="BC309" s="60">
        <f t="shared" si="275"/>
        <v>0</v>
      </c>
      <c r="BD309" s="60">
        <f t="shared" si="275"/>
        <v>0</v>
      </c>
      <c r="BE309" s="286" t="str">
        <f t="shared" si="252"/>
        <v/>
      </c>
      <c r="BF309" s="58" t="str">
        <f t="shared" si="267"/>
        <v/>
      </c>
      <c r="BG309" s="59" t="str">
        <f t="shared" si="253"/>
        <v/>
      </c>
      <c r="BH309" s="158">
        <f t="shared" ca="1" si="254"/>
        <v>1</v>
      </c>
      <c r="BI309" s="60">
        <f t="shared" ca="1" si="255"/>
        <v>0.15</v>
      </c>
      <c r="BJ309" s="60">
        <f t="shared" si="256"/>
        <v>0.2</v>
      </c>
      <c r="BK309" s="60" t="str">
        <f t="shared" si="268"/>
        <v/>
      </c>
      <c r="BL309" s="21" t="str">
        <f t="shared" si="269"/>
        <v/>
      </c>
      <c r="BM309" s="264" t="str">
        <f t="shared" si="257"/>
        <v/>
      </c>
      <c r="BN309" s="60" t="str">
        <f t="shared" si="270"/>
        <v/>
      </c>
      <c r="BO309" s="136">
        <f t="shared" si="271"/>
        <v>0</v>
      </c>
      <c r="BP309" s="59">
        <f t="shared" si="272"/>
        <v>0</v>
      </c>
      <c r="BQ309" s="136">
        <f t="shared" ca="1" si="258"/>
        <v>1494</v>
      </c>
      <c r="BR309" s="136">
        <f t="shared" ca="1" si="259"/>
        <v>1000.9767441860465</v>
      </c>
      <c r="BS309" s="136">
        <f t="shared" ca="1" si="260"/>
        <v>1468800.9767441861</v>
      </c>
      <c r="BT309" s="136">
        <f t="shared" ca="1" si="261"/>
        <v>313875.89946994529</v>
      </c>
      <c r="BU309" s="136">
        <f t="shared" ca="1" si="262"/>
        <v>1000.9767441860465</v>
      </c>
    </row>
    <row r="310" spans="1:73" x14ac:dyDescent="0.2">
      <c r="A310" s="87" t="str">
        <f>'Etape 2'!A307</f>
        <v/>
      </c>
      <c r="B310" s="87">
        <f>'Etape 2'!B307</f>
        <v>295</v>
      </c>
      <c r="C310" s="87">
        <f ca="1">'Etape 2'!C307</f>
        <v>6</v>
      </c>
      <c r="D310" s="87"/>
      <c r="E310" s="61">
        <f ca="1">RANK(BU310,BU$16:BU$315,0)+COUNTIF(BU$16:BU310,BU310)-1</f>
        <v>6</v>
      </c>
      <c r="F310" s="87" t="str">
        <f>'Etape 2'!D307</f>
        <v/>
      </c>
      <c r="G310" s="87" t="str">
        <f>'Etape 2'!E307</f>
        <v/>
      </c>
      <c r="H310" s="87" t="str">
        <f>'Etape 2'!F307</f>
        <v/>
      </c>
      <c r="I310" s="87" t="str">
        <f>'Etape 2'!G307</f>
        <v/>
      </c>
      <c r="J310" s="87" t="str">
        <f>'Etape 2'!H307</f>
        <v/>
      </c>
      <c r="K310" s="87" t="str">
        <f>'Etape 2'!I307</f>
        <v/>
      </c>
      <c r="L310" s="87">
        <f ca="1">'Etape 2'!J307</f>
        <v>999999</v>
      </c>
      <c r="M310" s="87">
        <f>'Etape 2'!K307</f>
        <v>999</v>
      </c>
      <c r="N310" s="87">
        <f ca="1">'Etape 2'!L307</f>
        <v>295</v>
      </c>
      <c r="O310" s="259">
        <f t="shared" si="245"/>
        <v>0.3</v>
      </c>
      <c r="P310" s="259">
        <f t="shared" si="246"/>
        <v>1.1000000000000001</v>
      </c>
      <c r="Q310" s="260">
        <f t="shared" si="247"/>
        <v>0</v>
      </c>
      <c r="R310" s="261">
        <f t="shared" si="274"/>
        <v>0</v>
      </c>
      <c r="S310" s="87">
        <f>IF(ISBLANK('Etape 2'!N307),0,VLOOKUP('Etape 2'!N307,Matrix_Uebersetzung,2,FALSE))</f>
        <v>0</v>
      </c>
      <c r="T310" s="87">
        <f>IF(ISBLANK('Etape 2'!O307),0,VLOOKUP('Etape 2'!O307,Matrix_Uebersetzung,2,FALSE))</f>
        <v>0</v>
      </c>
      <c r="U310" s="87">
        <f>IF(ISBLANK('Etape 2'!P307),0,VLOOKUP('Etape 2'!P307,Matrix_Uebersetzung,2,FALSE))</f>
        <v>0</v>
      </c>
      <c r="V310" s="87" t="str">
        <f>'Etape 2'!Q307</f>
        <v/>
      </c>
      <c r="W310" s="87">
        <f>'Etape 2'!R307</f>
        <v>0</v>
      </c>
      <c r="X310" s="87" t="str">
        <f>'Etape 2'!S307</f>
        <v/>
      </c>
      <c r="Y310" s="89" t="str">
        <f>'Etape 2'!T307</f>
        <v/>
      </c>
      <c r="Z310" s="87">
        <f>'Etape 2'!U307</f>
        <v>0</v>
      </c>
      <c r="AA310" s="87" t="str">
        <f>'Etape 2'!V307</f>
        <v/>
      </c>
      <c r="AB310" s="87">
        <f>IF(ISNUMBER('Etape 2'!W307),'Etape 2'!W307,0)</f>
        <v>0</v>
      </c>
      <c r="AC310" s="87">
        <f>IF(ISNUMBER('Etape 2'!X307),'Etape 2'!X307,0)</f>
        <v>0</v>
      </c>
      <c r="AD310" s="87">
        <f>IF(ISNUMBER('Etape 2'!Y307),'Etape 2'!Y307,0)</f>
        <v>0</v>
      </c>
      <c r="AE310" s="87">
        <f>IF(ISNUMBER('Etape 2'!Z307),'Etape 2'!Z307,0)</f>
        <v>0</v>
      </c>
      <c r="AF310" s="86">
        <f t="shared" si="263"/>
        <v>999</v>
      </c>
      <c r="AG310" s="288">
        <f t="shared" si="264"/>
        <v>0.25</v>
      </c>
      <c r="AH310" s="181" t="e">
        <f t="shared" si="248"/>
        <v>#VALUE!</v>
      </c>
      <c r="AI310" s="181" t="e">
        <f t="shared" si="276"/>
        <v>#VALUE!</v>
      </c>
      <c r="AJ310" s="86">
        <f t="shared" si="249"/>
        <v>200</v>
      </c>
      <c r="AK310" s="91" t="e">
        <f t="shared" si="250"/>
        <v>#N/A</v>
      </c>
      <c r="AL310" s="91" t="e">
        <f t="shared" si="277"/>
        <v>#N/A</v>
      </c>
      <c r="AM310" s="91">
        <f t="shared" si="109"/>
        <v>6</v>
      </c>
      <c r="AN310" s="91" t="e">
        <f t="shared" si="278"/>
        <v>#N/A</v>
      </c>
      <c r="AO310" s="91" t="e">
        <f t="shared" si="279"/>
        <v>#N/A</v>
      </c>
      <c r="AP310" s="21" t="e">
        <f t="shared" si="280"/>
        <v>#N/A</v>
      </c>
      <c r="AQ310" s="21" t="e">
        <f t="shared" si="281"/>
        <v>#N/A</v>
      </c>
      <c r="AR310" s="92" t="str">
        <f t="shared" si="265"/>
        <v/>
      </c>
      <c r="AS310" s="21" t="str">
        <f t="shared" si="266"/>
        <v/>
      </c>
      <c r="AT310" s="59" t="str">
        <f t="shared" si="251"/>
        <v/>
      </c>
      <c r="AU310" s="105">
        <f t="shared" si="113"/>
        <v>1</v>
      </c>
      <c r="AV310" s="105">
        <f t="shared" si="282"/>
        <v>1</v>
      </c>
      <c r="AW310" s="58">
        <f t="shared" si="283"/>
        <v>2</v>
      </c>
      <c r="AX310" s="58">
        <f t="shared" si="284"/>
        <v>3</v>
      </c>
      <c r="AY310" s="58" t="str">
        <f t="shared" si="285"/>
        <v>avec vannes</v>
      </c>
      <c r="AZ310" s="58" t="str">
        <f t="shared" si="286"/>
        <v>fermé</v>
      </c>
      <c r="BA310" s="60">
        <f t="shared" si="275"/>
        <v>0</v>
      </c>
      <c r="BB310" s="60">
        <f t="shared" si="275"/>
        <v>0</v>
      </c>
      <c r="BC310" s="60">
        <f t="shared" si="275"/>
        <v>0</v>
      </c>
      <c r="BD310" s="60">
        <f t="shared" si="275"/>
        <v>0</v>
      </c>
      <c r="BE310" s="286" t="str">
        <f t="shared" si="252"/>
        <v/>
      </c>
      <c r="BF310" s="58" t="str">
        <f t="shared" si="267"/>
        <v/>
      </c>
      <c r="BG310" s="59" t="str">
        <f t="shared" si="253"/>
        <v/>
      </c>
      <c r="BH310" s="158">
        <f t="shared" ca="1" si="254"/>
        <v>1</v>
      </c>
      <c r="BI310" s="60">
        <f t="shared" ca="1" si="255"/>
        <v>0.15</v>
      </c>
      <c r="BJ310" s="60">
        <f t="shared" si="256"/>
        <v>0.2</v>
      </c>
      <c r="BK310" s="60" t="str">
        <f t="shared" si="268"/>
        <v/>
      </c>
      <c r="BL310" s="21" t="str">
        <f t="shared" si="269"/>
        <v/>
      </c>
      <c r="BM310" s="264" t="str">
        <f t="shared" si="257"/>
        <v/>
      </c>
      <c r="BN310" s="60" t="str">
        <f t="shared" si="270"/>
        <v/>
      </c>
      <c r="BO310" s="136">
        <f t="shared" si="271"/>
        <v>0</v>
      </c>
      <c r="BP310" s="59">
        <f t="shared" si="272"/>
        <v>0</v>
      </c>
      <c r="BQ310" s="136">
        <f t="shared" ca="1" si="258"/>
        <v>1495</v>
      </c>
      <c r="BR310" s="136">
        <f t="shared" ca="1" si="259"/>
        <v>1000.9800664451827</v>
      </c>
      <c r="BS310" s="136">
        <f t="shared" ca="1" si="260"/>
        <v>1468800.9800664452</v>
      </c>
      <c r="BT310" s="136">
        <f t="shared" ca="1" si="261"/>
        <v>313875.9027922044</v>
      </c>
      <c r="BU310" s="136">
        <f t="shared" ca="1" si="262"/>
        <v>1000.9800664451827</v>
      </c>
    </row>
    <row r="311" spans="1:73" x14ac:dyDescent="0.2">
      <c r="A311" s="87" t="str">
        <f>'Etape 2'!A308</f>
        <v/>
      </c>
      <c r="B311" s="87">
        <f>'Etape 2'!B308</f>
        <v>296</v>
      </c>
      <c r="C311" s="87">
        <f ca="1">'Etape 2'!C308</f>
        <v>5</v>
      </c>
      <c r="D311" s="87"/>
      <c r="E311" s="61">
        <f ca="1">RANK(BU311,BU$16:BU$315,0)+COUNTIF(BU$16:BU311,BU311)-1</f>
        <v>5</v>
      </c>
      <c r="F311" s="87" t="str">
        <f>'Etape 2'!D308</f>
        <v/>
      </c>
      <c r="G311" s="87" t="str">
        <f>'Etape 2'!E308</f>
        <v/>
      </c>
      <c r="H311" s="87" t="str">
        <f>'Etape 2'!F308</f>
        <v/>
      </c>
      <c r="I311" s="87" t="str">
        <f>'Etape 2'!G308</f>
        <v/>
      </c>
      <c r="J311" s="87" t="str">
        <f>'Etape 2'!H308</f>
        <v/>
      </c>
      <c r="K311" s="87" t="str">
        <f>'Etape 2'!I308</f>
        <v/>
      </c>
      <c r="L311" s="87">
        <f ca="1">'Etape 2'!J308</f>
        <v>999999</v>
      </c>
      <c r="M311" s="87">
        <f>'Etape 2'!K308</f>
        <v>999</v>
      </c>
      <c r="N311" s="87">
        <f ca="1">'Etape 2'!L308</f>
        <v>296</v>
      </c>
      <c r="O311" s="259">
        <f t="shared" si="245"/>
        <v>0.3</v>
      </c>
      <c r="P311" s="259">
        <f t="shared" si="246"/>
        <v>1.1000000000000001</v>
      </c>
      <c r="Q311" s="260">
        <f t="shared" si="247"/>
        <v>0</v>
      </c>
      <c r="R311" s="261">
        <f t="shared" si="274"/>
        <v>0</v>
      </c>
      <c r="S311" s="87">
        <f>IF(ISBLANK('Etape 2'!N308),0,VLOOKUP('Etape 2'!N308,Matrix_Uebersetzung,2,FALSE))</f>
        <v>0</v>
      </c>
      <c r="T311" s="87">
        <f>IF(ISBLANK('Etape 2'!O308),0,VLOOKUP('Etape 2'!O308,Matrix_Uebersetzung,2,FALSE))</f>
        <v>0</v>
      </c>
      <c r="U311" s="87">
        <f>IF(ISBLANK('Etape 2'!P308),0,VLOOKUP('Etape 2'!P308,Matrix_Uebersetzung,2,FALSE))</f>
        <v>0</v>
      </c>
      <c r="V311" s="87" t="str">
        <f>'Etape 2'!Q308</f>
        <v/>
      </c>
      <c r="W311" s="87">
        <f>'Etape 2'!R308</f>
        <v>0</v>
      </c>
      <c r="X311" s="87" t="str">
        <f>'Etape 2'!S308</f>
        <v/>
      </c>
      <c r="Y311" s="89" t="str">
        <f>'Etape 2'!T308</f>
        <v/>
      </c>
      <c r="Z311" s="87">
        <f>'Etape 2'!U308</f>
        <v>0</v>
      </c>
      <c r="AA311" s="87" t="str">
        <f>'Etape 2'!V308</f>
        <v/>
      </c>
      <c r="AB311" s="87">
        <f>IF(ISNUMBER('Etape 2'!W308),'Etape 2'!W308,0)</f>
        <v>0</v>
      </c>
      <c r="AC311" s="87">
        <f>IF(ISNUMBER('Etape 2'!X308),'Etape 2'!X308,0)</f>
        <v>0</v>
      </c>
      <c r="AD311" s="87">
        <f>IF(ISNUMBER('Etape 2'!Y308),'Etape 2'!Y308,0)</f>
        <v>0</v>
      </c>
      <c r="AE311" s="87">
        <f>IF(ISNUMBER('Etape 2'!Z308),'Etape 2'!Z308,0)</f>
        <v>0</v>
      </c>
      <c r="AF311" s="86">
        <f t="shared" si="263"/>
        <v>999</v>
      </c>
      <c r="AG311" s="288">
        <f t="shared" si="264"/>
        <v>0.25</v>
      </c>
      <c r="AH311" s="181" t="e">
        <f t="shared" si="248"/>
        <v>#VALUE!</v>
      </c>
      <c r="AI311" s="181" t="e">
        <f t="shared" si="276"/>
        <v>#VALUE!</v>
      </c>
      <c r="AJ311" s="86">
        <f t="shared" si="249"/>
        <v>200</v>
      </c>
      <c r="AK311" s="91" t="e">
        <f t="shared" si="250"/>
        <v>#N/A</v>
      </c>
      <c r="AL311" s="91" t="e">
        <f t="shared" si="277"/>
        <v>#N/A</v>
      </c>
      <c r="AM311" s="91">
        <f t="shared" si="109"/>
        <v>6</v>
      </c>
      <c r="AN311" s="91" t="e">
        <f t="shared" si="278"/>
        <v>#N/A</v>
      </c>
      <c r="AO311" s="91" t="e">
        <f t="shared" si="279"/>
        <v>#N/A</v>
      </c>
      <c r="AP311" s="21" t="e">
        <f t="shared" si="280"/>
        <v>#N/A</v>
      </c>
      <c r="AQ311" s="21" t="e">
        <f t="shared" si="281"/>
        <v>#N/A</v>
      </c>
      <c r="AR311" s="92" t="str">
        <f t="shared" si="265"/>
        <v/>
      </c>
      <c r="AS311" s="21" t="str">
        <f t="shared" si="266"/>
        <v/>
      </c>
      <c r="AT311" s="59" t="str">
        <f t="shared" si="251"/>
        <v/>
      </c>
      <c r="AU311" s="105">
        <f t="shared" si="113"/>
        <v>1</v>
      </c>
      <c r="AV311" s="105">
        <f t="shared" si="282"/>
        <v>1</v>
      </c>
      <c r="AW311" s="58">
        <f t="shared" si="283"/>
        <v>2</v>
      </c>
      <c r="AX311" s="58">
        <f t="shared" si="284"/>
        <v>3</v>
      </c>
      <c r="AY311" s="58" t="str">
        <f t="shared" si="285"/>
        <v>avec vannes</v>
      </c>
      <c r="AZ311" s="58" t="str">
        <f t="shared" si="286"/>
        <v>fermé</v>
      </c>
      <c r="BA311" s="60">
        <f t="shared" si="275"/>
        <v>0</v>
      </c>
      <c r="BB311" s="60">
        <f t="shared" si="275"/>
        <v>0</v>
      </c>
      <c r="BC311" s="60">
        <f t="shared" si="275"/>
        <v>0</v>
      </c>
      <c r="BD311" s="60">
        <f t="shared" si="275"/>
        <v>0</v>
      </c>
      <c r="BE311" s="286" t="str">
        <f t="shared" si="252"/>
        <v/>
      </c>
      <c r="BF311" s="58" t="str">
        <f t="shared" si="267"/>
        <v/>
      </c>
      <c r="BG311" s="59" t="str">
        <f t="shared" si="253"/>
        <v/>
      </c>
      <c r="BH311" s="158">
        <f t="shared" ca="1" si="254"/>
        <v>1</v>
      </c>
      <c r="BI311" s="60">
        <f t="shared" ca="1" si="255"/>
        <v>0.15</v>
      </c>
      <c r="BJ311" s="60">
        <f t="shared" si="256"/>
        <v>0.2</v>
      </c>
      <c r="BK311" s="60" t="str">
        <f t="shared" si="268"/>
        <v/>
      </c>
      <c r="BL311" s="21" t="str">
        <f t="shared" si="269"/>
        <v/>
      </c>
      <c r="BM311" s="264" t="str">
        <f t="shared" si="257"/>
        <v/>
      </c>
      <c r="BN311" s="60" t="str">
        <f t="shared" si="270"/>
        <v/>
      </c>
      <c r="BO311" s="136">
        <f t="shared" si="271"/>
        <v>0</v>
      </c>
      <c r="BP311" s="59">
        <f t="shared" si="272"/>
        <v>0</v>
      </c>
      <c r="BQ311" s="136">
        <f t="shared" ca="1" si="258"/>
        <v>1496</v>
      </c>
      <c r="BR311" s="136">
        <f t="shared" ca="1" si="259"/>
        <v>1000.9833887043189</v>
      </c>
      <c r="BS311" s="136">
        <f t="shared" ca="1" si="260"/>
        <v>1468800.9833887042</v>
      </c>
      <c r="BT311" s="136">
        <f t="shared" ca="1" si="261"/>
        <v>313875.90611446352</v>
      </c>
      <c r="BU311" s="136">
        <f t="shared" ca="1" si="262"/>
        <v>1000.9833887043189</v>
      </c>
    </row>
    <row r="312" spans="1:73" x14ac:dyDescent="0.2">
      <c r="A312" s="87" t="str">
        <f>'Etape 2'!A309</f>
        <v/>
      </c>
      <c r="B312" s="87">
        <f>'Etape 2'!B309</f>
        <v>297</v>
      </c>
      <c r="C312" s="87">
        <f ca="1">'Etape 2'!C309</f>
        <v>4</v>
      </c>
      <c r="D312" s="87"/>
      <c r="E312" s="61">
        <f ca="1">RANK(BU312,BU$16:BU$315,0)+COUNTIF(BU$16:BU312,BU312)-1</f>
        <v>4</v>
      </c>
      <c r="F312" s="87" t="str">
        <f>'Etape 2'!D309</f>
        <v/>
      </c>
      <c r="G312" s="87" t="str">
        <f>'Etape 2'!E309</f>
        <v/>
      </c>
      <c r="H312" s="87" t="str">
        <f>'Etape 2'!F309</f>
        <v/>
      </c>
      <c r="I312" s="87" t="str">
        <f>'Etape 2'!G309</f>
        <v/>
      </c>
      <c r="J312" s="87" t="str">
        <f>'Etape 2'!H309</f>
        <v/>
      </c>
      <c r="K312" s="87" t="str">
        <f>'Etape 2'!I309</f>
        <v/>
      </c>
      <c r="L312" s="87">
        <f ca="1">'Etape 2'!J309</f>
        <v>999999</v>
      </c>
      <c r="M312" s="87">
        <f>'Etape 2'!K309</f>
        <v>999</v>
      </c>
      <c r="N312" s="87">
        <f ca="1">'Etape 2'!L309</f>
        <v>297</v>
      </c>
      <c r="O312" s="259">
        <f t="shared" si="245"/>
        <v>0.3</v>
      </c>
      <c r="P312" s="259">
        <f t="shared" si="246"/>
        <v>1.1000000000000001</v>
      </c>
      <c r="Q312" s="260">
        <f t="shared" si="247"/>
        <v>0</v>
      </c>
      <c r="R312" s="261">
        <f t="shared" si="274"/>
        <v>0</v>
      </c>
      <c r="S312" s="87">
        <f>IF(ISBLANK('Etape 2'!N309),0,VLOOKUP('Etape 2'!N309,Matrix_Uebersetzung,2,FALSE))</f>
        <v>0</v>
      </c>
      <c r="T312" s="87">
        <f>IF(ISBLANK('Etape 2'!O309),0,VLOOKUP('Etape 2'!O309,Matrix_Uebersetzung,2,FALSE))</f>
        <v>0</v>
      </c>
      <c r="U312" s="87">
        <f>IF(ISBLANK('Etape 2'!P309),0,VLOOKUP('Etape 2'!P309,Matrix_Uebersetzung,2,FALSE))</f>
        <v>0</v>
      </c>
      <c r="V312" s="87" t="str">
        <f>'Etape 2'!Q309</f>
        <v/>
      </c>
      <c r="W312" s="87">
        <f>'Etape 2'!R309</f>
        <v>0</v>
      </c>
      <c r="X312" s="87" t="str">
        <f>'Etape 2'!S309</f>
        <v/>
      </c>
      <c r="Y312" s="89" t="str">
        <f>'Etape 2'!T309</f>
        <v/>
      </c>
      <c r="Z312" s="87">
        <f>'Etape 2'!U309</f>
        <v>0</v>
      </c>
      <c r="AA312" s="87" t="str">
        <f>'Etape 2'!V309</f>
        <v/>
      </c>
      <c r="AB312" s="87">
        <f>IF(ISNUMBER('Etape 2'!W309),'Etape 2'!W309,0)</f>
        <v>0</v>
      </c>
      <c r="AC312" s="87">
        <f>IF(ISNUMBER('Etape 2'!X309),'Etape 2'!X309,0)</f>
        <v>0</v>
      </c>
      <c r="AD312" s="87">
        <f>IF(ISNUMBER('Etape 2'!Y309),'Etape 2'!Y309,0)</f>
        <v>0</v>
      </c>
      <c r="AE312" s="87">
        <f>IF(ISNUMBER('Etape 2'!Z309),'Etape 2'!Z309,0)</f>
        <v>0</v>
      </c>
      <c r="AF312" s="86">
        <f t="shared" si="263"/>
        <v>999</v>
      </c>
      <c r="AG312" s="288">
        <f t="shared" si="264"/>
        <v>0.25</v>
      </c>
      <c r="AH312" s="181" t="e">
        <f t="shared" si="248"/>
        <v>#VALUE!</v>
      </c>
      <c r="AI312" s="181" t="e">
        <f t="shared" si="276"/>
        <v>#VALUE!</v>
      </c>
      <c r="AJ312" s="86">
        <f t="shared" si="249"/>
        <v>200</v>
      </c>
      <c r="AK312" s="91" t="e">
        <f t="shared" si="250"/>
        <v>#N/A</v>
      </c>
      <c r="AL312" s="91" t="e">
        <f t="shared" si="277"/>
        <v>#N/A</v>
      </c>
      <c r="AM312" s="91">
        <f t="shared" si="109"/>
        <v>6</v>
      </c>
      <c r="AN312" s="91" t="e">
        <f t="shared" si="278"/>
        <v>#N/A</v>
      </c>
      <c r="AO312" s="91" t="e">
        <f t="shared" si="279"/>
        <v>#N/A</v>
      </c>
      <c r="AP312" s="21" t="e">
        <f t="shared" si="280"/>
        <v>#N/A</v>
      </c>
      <c r="AQ312" s="21" t="e">
        <f t="shared" si="281"/>
        <v>#N/A</v>
      </c>
      <c r="AR312" s="92" t="str">
        <f t="shared" si="265"/>
        <v/>
      </c>
      <c r="AS312" s="21" t="str">
        <f t="shared" si="266"/>
        <v/>
      </c>
      <c r="AT312" s="59" t="str">
        <f t="shared" si="251"/>
        <v/>
      </c>
      <c r="AU312" s="105">
        <f t="shared" si="113"/>
        <v>1</v>
      </c>
      <c r="AV312" s="105">
        <f t="shared" si="282"/>
        <v>1</v>
      </c>
      <c r="AW312" s="58">
        <f t="shared" si="283"/>
        <v>2</v>
      </c>
      <c r="AX312" s="58">
        <f t="shared" si="284"/>
        <v>3</v>
      </c>
      <c r="AY312" s="58" t="str">
        <f t="shared" si="285"/>
        <v>avec vannes</v>
      </c>
      <c r="AZ312" s="58" t="str">
        <f t="shared" si="286"/>
        <v>fermé</v>
      </c>
      <c r="BA312" s="60">
        <f t="shared" si="275"/>
        <v>0</v>
      </c>
      <c r="BB312" s="60">
        <f t="shared" si="275"/>
        <v>0</v>
      </c>
      <c r="BC312" s="60">
        <f t="shared" si="275"/>
        <v>0</v>
      </c>
      <c r="BD312" s="60">
        <f t="shared" si="275"/>
        <v>0</v>
      </c>
      <c r="BE312" s="286" t="str">
        <f t="shared" si="252"/>
        <v/>
      </c>
      <c r="BF312" s="58" t="str">
        <f t="shared" si="267"/>
        <v/>
      </c>
      <c r="BG312" s="59" t="str">
        <f t="shared" si="253"/>
        <v/>
      </c>
      <c r="BH312" s="158">
        <f t="shared" ca="1" si="254"/>
        <v>1</v>
      </c>
      <c r="BI312" s="60">
        <f t="shared" ca="1" si="255"/>
        <v>0.15</v>
      </c>
      <c r="BJ312" s="60">
        <f t="shared" si="256"/>
        <v>0.2</v>
      </c>
      <c r="BK312" s="60" t="str">
        <f t="shared" si="268"/>
        <v/>
      </c>
      <c r="BL312" s="21" t="str">
        <f t="shared" si="269"/>
        <v/>
      </c>
      <c r="BM312" s="264" t="str">
        <f t="shared" si="257"/>
        <v/>
      </c>
      <c r="BN312" s="60" t="str">
        <f t="shared" si="270"/>
        <v/>
      </c>
      <c r="BO312" s="136">
        <f t="shared" si="271"/>
        <v>0</v>
      </c>
      <c r="BP312" s="59">
        <f t="shared" si="272"/>
        <v>0</v>
      </c>
      <c r="BQ312" s="136">
        <f t="shared" ca="1" si="258"/>
        <v>1497</v>
      </c>
      <c r="BR312" s="136">
        <f t="shared" ca="1" si="259"/>
        <v>1000.9867109634552</v>
      </c>
      <c r="BS312" s="136">
        <f t="shared" ca="1" si="260"/>
        <v>1468800.9867109635</v>
      </c>
      <c r="BT312" s="136">
        <f t="shared" ca="1" si="261"/>
        <v>313875.90943672269</v>
      </c>
      <c r="BU312" s="136">
        <f t="shared" ca="1" si="262"/>
        <v>1000.9867109634552</v>
      </c>
    </row>
    <row r="313" spans="1:73" x14ac:dyDescent="0.2">
      <c r="A313" s="87" t="str">
        <f>'Etape 2'!A310</f>
        <v/>
      </c>
      <c r="B313" s="87">
        <f>'Etape 2'!B310</f>
        <v>298</v>
      </c>
      <c r="C313" s="87">
        <f ca="1">'Etape 2'!C310</f>
        <v>3</v>
      </c>
      <c r="D313" s="87"/>
      <c r="E313" s="61">
        <f ca="1">RANK(BU313,BU$16:BU$315,0)+COUNTIF(BU$16:BU313,BU313)-1</f>
        <v>3</v>
      </c>
      <c r="F313" s="87" t="str">
        <f>'Etape 2'!D310</f>
        <v/>
      </c>
      <c r="G313" s="87" t="str">
        <f>'Etape 2'!E310</f>
        <v/>
      </c>
      <c r="H313" s="87" t="str">
        <f>'Etape 2'!F310</f>
        <v/>
      </c>
      <c r="I313" s="87" t="str">
        <f>'Etape 2'!G310</f>
        <v/>
      </c>
      <c r="J313" s="87" t="str">
        <f>'Etape 2'!H310</f>
        <v/>
      </c>
      <c r="K313" s="87" t="str">
        <f>'Etape 2'!I310</f>
        <v/>
      </c>
      <c r="L313" s="87">
        <f ca="1">'Etape 2'!J310</f>
        <v>999999</v>
      </c>
      <c r="M313" s="87">
        <f>'Etape 2'!K310</f>
        <v>999</v>
      </c>
      <c r="N313" s="87">
        <f ca="1">'Etape 2'!L310</f>
        <v>298</v>
      </c>
      <c r="O313" s="259">
        <f t="shared" si="245"/>
        <v>0.3</v>
      </c>
      <c r="P313" s="259">
        <f t="shared" si="246"/>
        <v>1.1000000000000001</v>
      </c>
      <c r="Q313" s="260">
        <f t="shared" si="247"/>
        <v>0</v>
      </c>
      <c r="R313" s="261">
        <f t="shared" si="274"/>
        <v>0</v>
      </c>
      <c r="S313" s="87">
        <f>IF(ISBLANK('Etape 2'!N310),0,VLOOKUP('Etape 2'!N310,Matrix_Uebersetzung,2,FALSE))</f>
        <v>0</v>
      </c>
      <c r="T313" s="87">
        <f>IF(ISBLANK('Etape 2'!O310),0,VLOOKUP('Etape 2'!O310,Matrix_Uebersetzung,2,FALSE))</f>
        <v>0</v>
      </c>
      <c r="U313" s="87">
        <f>IF(ISBLANK('Etape 2'!P310),0,VLOOKUP('Etape 2'!P310,Matrix_Uebersetzung,2,FALSE))</f>
        <v>0</v>
      </c>
      <c r="V313" s="87" t="str">
        <f>'Etape 2'!Q310</f>
        <v/>
      </c>
      <c r="W313" s="87">
        <f>'Etape 2'!R310</f>
        <v>0</v>
      </c>
      <c r="X313" s="87" t="str">
        <f>'Etape 2'!S310</f>
        <v/>
      </c>
      <c r="Y313" s="89" t="str">
        <f>'Etape 2'!T310</f>
        <v/>
      </c>
      <c r="Z313" s="87">
        <f>'Etape 2'!U310</f>
        <v>0</v>
      </c>
      <c r="AA313" s="87" t="str">
        <f>'Etape 2'!V310</f>
        <v/>
      </c>
      <c r="AB313" s="87">
        <f>IF(ISNUMBER('Etape 2'!W310),'Etape 2'!W310,0)</f>
        <v>0</v>
      </c>
      <c r="AC313" s="87">
        <f>IF(ISNUMBER('Etape 2'!X310),'Etape 2'!X310,0)</f>
        <v>0</v>
      </c>
      <c r="AD313" s="87">
        <f>IF(ISNUMBER('Etape 2'!Y310),'Etape 2'!Y310,0)</f>
        <v>0</v>
      </c>
      <c r="AE313" s="87">
        <f>IF(ISNUMBER('Etape 2'!Z310),'Etape 2'!Z310,0)</f>
        <v>0</v>
      </c>
      <c r="AF313" s="86">
        <f t="shared" si="263"/>
        <v>999</v>
      </c>
      <c r="AG313" s="288">
        <f t="shared" si="264"/>
        <v>0.25</v>
      </c>
      <c r="AH313" s="181" t="e">
        <f t="shared" si="248"/>
        <v>#VALUE!</v>
      </c>
      <c r="AI313" s="181" t="e">
        <f t="shared" si="276"/>
        <v>#VALUE!</v>
      </c>
      <c r="AJ313" s="86">
        <f t="shared" si="249"/>
        <v>200</v>
      </c>
      <c r="AK313" s="91" t="e">
        <f t="shared" si="250"/>
        <v>#N/A</v>
      </c>
      <c r="AL313" s="91" t="e">
        <f t="shared" si="277"/>
        <v>#N/A</v>
      </c>
      <c r="AM313" s="91">
        <f t="shared" si="109"/>
        <v>6</v>
      </c>
      <c r="AN313" s="91" t="e">
        <f t="shared" si="278"/>
        <v>#N/A</v>
      </c>
      <c r="AO313" s="91" t="e">
        <f t="shared" si="279"/>
        <v>#N/A</v>
      </c>
      <c r="AP313" s="21" t="e">
        <f t="shared" si="280"/>
        <v>#N/A</v>
      </c>
      <c r="AQ313" s="21" t="e">
        <f t="shared" si="281"/>
        <v>#N/A</v>
      </c>
      <c r="AR313" s="92" t="str">
        <f t="shared" si="265"/>
        <v/>
      </c>
      <c r="AS313" s="21" t="str">
        <f t="shared" si="266"/>
        <v/>
      </c>
      <c r="AT313" s="59" t="str">
        <f t="shared" si="251"/>
        <v/>
      </c>
      <c r="AU313" s="105">
        <f t="shared" si="113"/>
        <v>1</v>
      </c>
      <c r="AV313" s="105">
        <f t="shared" si="282"/>
        <v>1</v>
      </c>
      <c r="AW313" s="58">
        <f t="shared" si="283"/>
        <v>2</v>
      </c>
      <c r="AX313" s="58">
        <f t="shared" si="284"/>
        <v>3</v>
      </c>
      <c r="AY313" s="58" t="str">
        <f t="shared" si="285"/>
        <v>avec vannes</v>
      </c>
      <c r="AZ313" s="58" t="str">
        <f t="shared" si="286"/>
        <v>fermé</v>
      </c>
      <c r="BA313" s="60">
        <f t="shared" si="275"/>
        <v>0</v>
      </c>
      <c r="BB313" s="60">
        <f t="shared" si="275"/>
        <v>0</v>
      </c>
      <c r="BC313" s="60">
        <f t="shared" si="275"/>
        <v>0</v>
      </c>
      <c r="BD313" s="60">
        <f t="shared" si="275"/>
        <v>0</v>
      </c>
      <c r="BE313" s="286" t="str">
        <f t="shared" si="252"/>
        <v/>
      </c>
      <c r="BF313" s="58" t="str">
        <f t="shared" si="267"/>
        <v/>
      </c>
      <c r="BG313" s="59" t="str">
        <f t="shared" si="253"/>
        <v/>
      </c>
      <c r="BH313" s="158">
        <f t="shared" ca="1" si="254"/>
        <v>1</v>
      </c>
      <c r="BI313" s="60">
        <f t="shared" ca="1" si="255"/>
        <v>0.15</v>
      </c>
      <c r="BJ313" s="60">
        <f t="shared" si="256"/>
        <v>0.2</v>
      </c>
      <c r="BK313" s="60" t="str">
        <f t="shared" si="268"/>
        <v/>
      </c>
      <c r="BL313" s="21" t="str">
        <f t="shared" si="269"/>
        <v/>
      </c>
      <c r="BM313" s="264" t="str">
        <f t="shared" si="257"/>
        <v/>
      </c>
      <c r="BN313" s="60" t="str">
        <f t="shared" si="270"/>
        <v/>
      </c>
      <c r="BO313" s="136">
        <f t="shared" si="271"/>
        <v>0</v>
      </c>
      <c r="BP313" s="59">
        <f t="shared" si="272"/>
        <v>0</v>
      </c>
      <c r="BQ313" s="136">
        <f t="shared" ca="1" si="258"/>
        <v>1498</v>
      </c>
      <c r="BR313" s="136">
        <f t="shared" ca="1" si="259"/>
        <v>1000.9900332225914</v>
      </c>
      <c r="BS313" s="136">
        <f t="shared" ca="1" si="260"/>
        <v>1468800.9900332226</v>
      </c>
      <c r="BT313" s="136">
        <f t="shared" ca="1" si="261"/>
        <v>313875.91275898181</v>
      </c>
      <c r="BU313" s="136">
        <f t="shared" ca="1" si="262"/>
        <v>1000.9900332225914</v>
      </c>
    </row>
    <row r="314" spans="1:73" x14ac:dyDescent="0.2">
      <c r="A314" s="87" t="str">
        <f>'Etape 2'!A311</f>
        <v/>
      </c>
      <c r="B314" s="87">
        <f>'Etape 2'!B311</f>
        <v>299</v>
      </c>
      <c r="C314" s="87">
        <f ca="1">'Etape 2'!C311</f>
        <v>2</v>
      </c>
      <c r="D314" s="87"/>
      <c r="E314" s="61">
        <f ca="1">RANK(BU314,BU$16:BU$315,0)+COUNTIF(BU$16:BU314,BU314)-1</f>
        <v>2</v>
      </c>
      <c r="F314" s="87" t="str">
        <f>'Etape 2'!D311</f>
        <v/>
      </c>
      <c r="G314" s="87" t="str">
        <f>'Etape 2'!E311</f>
        <v/>
      </c>
      <c r="H314" s="87" t="str">
        <f>'Etape 2'!F311</f>
        <v/>
      </c>
      <c r="I314" s="87" t="str">
        <f>'Etape 2'!G311</f>
        <v/>
      </c>
      <c r="J314" s="87" t="str">
        <f>'Etape 2'!H311</f>
        <v/>
      </c>
      <c r="K314" s="87" t="str">
        <f>'Etape 2'!I311</f>
        <v/>
      </c>
      <c r="L314" s="87">
        <f ca="1">'Etape 2'!J311</f>
        <v>999999</v>
      </c>
      <c r="M314" s="87">
        <f>'Etape 2'!K311</f>
        <v>999</v>
      </c>
      <c r="N314" s="87">
        <f ca="1">'Etape 2'!L311</f>
        <v>299</v>
      </c>
      <c r="O314" s="259">
        <f t="shared" si="245"/>
        <v>0.3</v>
      </c>
      <c r="P314" s="259">
        <f t="shared" si="246"/>
        <v>1.1000000000000001</v>
      </c>
      <c r="Q314" s="260">
        <f t="shared" si="247"/>
        <v>0</v>
      </c>
      <c r="R314" s="261">
        <f t="shared" si="274"/>
        <v>0</v>
      </c>
      <c r="S314" s="87">
        <f>IF(ISBLANK('Etape 2'!N311),0,VLOOKUP('Etape 2'!N311,Matrix_Uebersetzung,2,FALSE))</f>
        <v>0</v>
      </c>
      <c r="T314" s="87">
        <f>IF(ISBLANK('Etape 2'!O311),0,VLOOKUP('Etape 2'!O311,Matrix_Uebersetzung,2,FALSE))</f>
        <v>0</v>
      </c>
      <c r="U314" s="87">
        <f>IF(ISBLANK('Etape 2'!P311),0,VLOOKUP('Etape 2'!P311,Matrix_Uebersetzung,2,FALSE))</f>
        <v>0</v>
      </c>
      <c r="V314" s="87" t="str">
        <f>'Etape 2'!Q311</f>
        <v/>
      </c>
      <c r="W314" s="87">
        <f>'Etape 2'!R311</f>
        <v>0</v>
      </c>
      <c r="X314" s="87" t="str">
        <f>'Etape 2'!S311</f>
        <v/>
      </c>
      <c r="Y314" s="89" t="str">
        <f>'Etape 2'!T311</f>
        <v/>
      </c>
      <c r="Z314" s="87">
        <f>'Etape 2'!U311</f>
        <v>0</v>
      </c>
      <c r="AA314" s="87" t="str">
        <f>'Etape 2'!V311</f>
        <v/>
      </c>
      <c r="AB314" s="87">
        <f>IF(ISNUMBER('Etape 2'!W311),'Etape 2'!W311,0)</f>
        <v>0</v>
      </c>
      <c r="AC314" s="87">
        <f>IF(ISNUMBER('Etape 2'!X311),'Etape 2'!X311,0)</f>
        <v>0</v>
      </c>
      <c r="AD314" s="87">
        <f>IF(ISNUMBER('Etape 2'!Y311),'Etape 2'!Y311,0)</f>
        <v>0</v>
      </c>
      <c r="AE314" s="87">
        <f>IF(ISNUMBER('Etape 2'!Z311),'Etape 2'!Z311,0)</f>
        <v>0</v>
      </c>
      <c r="AF314" s="86">
        <f t="shared" si="263"/>
        <v>999</v>
      </c>
      <c r="AG314" s="288">
        <f t="shared" si="264"/>
        <v>0.25</v>
      </c>
      <c r="AH314" s="181" t="e">
        <f t="shared" si="248"/>
        <v>#VALUE!</v>
      </c>
      <c r="AI314" s="181" t="e">
        <f t="shared" si="276"/>
        <v>#VALUE!</v>
      </c>
      <c r="AJ314" s="86">
        <f t="shared" si="249"/>
        <v>200</v>
      </c>
      <c r="AK314" s="91" t="e">
        <f t="shared" si="250"/>
        <v>#N/A</v>
      </c>
      <c r="AL314" s="91" t="e">
        <f t="shared" si="277"/>
        <v>#N/A</v>
      </c>
      <c r="AM314" s="91">
        <f t="shared" si="109"/>
        <v>6</v>
      </c>
      <c r="AN314" s="91" t="e">
        <f t="shared" si="278"/>
        <v>#N/A</v>
      </c>
      <c r="AO314" s="91" t="e">
        <f t="shared" si="279"/>
        <v>#N/A</v>
      </c>
      <c r="AP314" s="21" t="e">
        <f t="shared" si="280"/>
        <v>#N/A</v>
      </c>
      <c r="AQ314" s="21" t="e">
        <f t="shared" si="281"/>
        <v>#N/A</v>
      </c>
      <c r="AR314" s="92" t="str">
        <f t="shared" si="265"/>
        <v/>
      </c>
      <c r="AS314" s="21" t="str">
        <f t="shared" si="266"/>
        <v/>
      </c>
      <c r="AT314" s="59" t="str">
        <f t="shared" si="251"/>
        <v/>
      </c>
      <c r="AU314" s="105">
        <f t="shared" si="113"/>
        <v>1</v>
      </c>
      <c r="AV314" s="105">
        <f t="shared" si="282"/>
        <v>1</v>
      </c>
      <c r="AW314" s="58">
        <f t="shared" si="283"/>
        <v>2</v>
      </c>
      <c r="AX314" s="58">
        <f t="shared" si="284"/>
        <v>3</v>
      </c>
      <c r="AY314" s="58" t="str">
        <f t="shared" si="285"/>
        <v>avec vannes</v>
      </c>
      <c r="AZ314" s="58" t="str">
        <f t="shared" si="286"/>
        <v>fermé</v>
      </c>
      <c r="BA314" s="60">
        <f t="shared" si="275"/>
        <v>0</v>
      </c>
      <c r="BB314" s="60">
        <f t="shared" si="275"/>
        <v>0</v>
      </c>
      <c r="BC314" s="60">
        <f t="shared" si="275"/>
        <v>0</v>
      </c>
      <c r="BD314" s="60">
        <f t="shared" si="275"/>
        <v>0</v>
      </c>
      <c r="BE314" s="286" t="str">
        <f t="shared" si="252"/>
        <v/>
      </c>
      <c r="BF314" s="58" t="str">
        <f t="shared" si="267"/>
        <v/>
      </c>
      <c r="BG314" s="59" t="str">
        <f t="shared" si="253"/>
        <v/>
      </c>
      <c r="BH314" s="158">
        <f t="shared" ca="1" si="254"/>
        <v>1</v>
      </c>
      <c r="BI314" s="60">
        <f t="shared" ca="1" si="255"/>
        <v>0.15</v>
      </c>
      <c r="BJ314" s="60">
        <f t="shared" si="256"/>
        <v>0.2</v>
      </c>
      <c r="BK314" s="60" t="str">
        <f t="shared" si="268"/>
        <v/>
      </c>
      <c r="BL314" s="21" t="str">
        <f t="shared" si="269"/>
        <v/>
      </c>
      <c r="BM314" s="264" t="str">
        <f t="shared" si="257"/>
        <v/>
      </c>
      <c r="BN314" s="60" t="str">
        <f t="shared" si="270"/>
        <v/>
      </c>
      <c r="BO314" s="136">
        <f t="shared" si="271"/>
        <v>0</v>
      </c>
      <c r="BP314" s="59">
        <f t="shared" si="272"/>
        <v>0</v>
      </c>
      <c r="BQ314" s="136">
        <f t="shared" ca="1" si="258"/>
        <v>1499</v>
      </c>
      <c r="BR314" s="136">
        <f t="shared" ca="1" si="259"/>
        <v>1000.9933554817276</v>
      </c>
      <c r="BS314" s="136">
        <f t="shared" ca="1" si="260"/>
        <v>1468800.9933554817</v>
      </c>
      <c r="BT314" s="136">
        <f t="shared" ca="1" si="261"/>
        <v>313875.91608124092</v>
      </c>
      <c r="BU314" s="136">
        <f t="shared" ca="1" si="262"/>
        <v>1000.9933554817276</v>
      </c>
    </row>
    <row r="315" spans="1:73" x14ac:dyDescent="0.2">
      <c r="A315" s="87" t="str">
        <f>'Etape 2'!A312</f>
        <v/>
      </c>
      <c r="B315" s="87">
        <f>'Etape 2'!B312</f>
        <v>300</v>
      </c>
      <c r="C315" s="87">
        <f ca="1">'Etape 2'!C312</f>
        <v>1</v>
      </c>
      <c r="D315" s="87"/>
      <c r="E315" s="61">
        <f ca="1">RANK(BU315,BU$16:BU$315,0)+COUNTIF(BU$16:BU315,BU315)-1</f>
        <v>1</v>
      </c>
      <c r="F315" s="87" t="str">
        <f>'Etape 2'!D312</f>
        <v/>
      </c>
      <c r="G315" s="87" t="str">
        <f>'Etape 2'!E312</f>
        <v/>
      </c>
      <c r="H315" s="87" t="str">
        <f>'Etape 2'!F312</f>
        <v/>
      </c>
      <c r="I315" s="87" t="str">
        <f>'Etape 2'!G312</f>
        <v/>
      </c>
      <c r="J315" s="87" t="str">
        <f>'Etape 2'!H312</f>
        <v/>
      </c>
      <c r="K315" s="87" t="str">
        <f>'Etape 2'!I312</f>
        <v/>
      </c>
      <c r="L315" s="87">
        <f ca="1">'Etape 2'!J312</f>
        <v>999999</v>
      </c>
      <c r="M315" s="87">
        <f>'Etape 2'!K312</f>
        <v>999</v>
      </c>
      <c r="N315" s="87">
        <f ca="1">'Etape 2'!L312</f>
        <v>300</v>
      </c>
      <c r="O315" s="259">
        <f t="shared" si="245"/>
        <v>0.3</v>
      </c>
      <c r="P315" s="259">
        <f t="shared" si="246"/>
        <v>1.1000000000000001</v>
      </c>
      <c r="Q315" s="260">
        <f t="shared" si="247"/>
        <v>0</v>
      </c>
      <c r="R315" s="261">
        <f t="shared" si="274"/>
        <v>0</v>
      </c>
      <c r="S315" s="87">
        <f>IF(ISBLANK('Etape 2'!N312),0,VLOOKUP('Etape 2'!N312,Matrix_Uebersetzung,2,FALSE))</f>
        <v>0</v>
      </c>
      <c r="T315" s="87">
        <f>IF(ISBLANK('Etape 2'!O312),0,VLOOKUP('Etape 2'!O312,Matrix_Uebersetzung,2,FALSE))</f>
        <v>0</v>
      </c>
      <c r="U315" s="87">
        <f>IF(ISBLANK('Etape 2'!P312),0,VLOOKUP('Etape 2'!P312,Matrix_Uebersetzung,2,FALSE))</f>
        <v>0</v>
      </c>
      <c r="V315" s="87" t="str">
        <f>'Etape 2'!Q312</f>
        <v/>
      </c>
      <c r="W315" s="87">
        <f>'Etape 2'!R312</f>
        <v>0</v>
      </c>
      <c r="X315" s="87" t="str">
        <f>'Etape 2'!S312</f>
        <v/>
      </c>
      <c r="Y315" s="89" t="str">
        <f>'Etape 2'!T312</f>
        <v/>
      </c>
      <c r="Z315" s="87">
        <f>'Etape 2'!U312</f>
        <v>0</v>
      </c>
      <c r="AA315" s="87" t="str">
        <f>'Etape 2'!V312</f>
        <v/>
      </c>
      <c r="AB315" s="87">
        <f>IF(ISNUMBER('Etape 2'!W312),'Etape 2'!W312,0)</f>
        <v>0</v>
      </c>
      <c r="AC315" s="87">
        <f>IF(ISNUMBER('Etape 2'!X312),'Etape 2'!X312,0)</f>
        <v>0</v>
      </c>
      <c r="AD315" s="87">
        <f>IF(ISNUMBER('Etape 2'!Y312),'Etape 2'!Y312,0)</f>
        <v>0</v>
      </c>
      <c r="AE315" s="87">
        <f>IF(ISNUMBER('Etape 2'!Z312),'Etape 2'!Z312,0)</f>
        <v>0</v>
      </c>
      <c r="AF315" s="86">
        <f t="shared" si="263"/>
        <v>999</v>
      </c>
      <c r="AG315" s="288">
        <f t="shared" si="264"/>
        <v>0.25</v>
      </c>
      <c r="AH315" s="181" t="e">
        <f t="shared" si="248"/>
        <v>#VALUE!</v>
      </c>
      <c r="AI315" s="181" t="e">
        <f t="shared" si="276"/>
        <v>#VALUE!</v>
      </c>
      <c r="AJ315" s="86">
        <f t="shared" si="249"/>
        <v>200</v>
      </c>
      <c r="AK315" s="91" t="e">
        <f t="shared" si="250"/>
        <v>#N/A</v>
      </c>
      <c r="AL315" s="91" t="e">
        <f t="shared" si="277"/>
        <v>#N/A</v>
      </c>
      <c r="AM315" s="91">
        <f t="shared" si="109"/>
        <v>6</v>
      </c>
      <c r="AN315" s="91" t="e">
        <f t="shared" si="278"/>
        <v>#N/A</v>
      </c>
      <c r="AO315" s="91" t="e">
        <f t="shared" si="279"/>
        <v>#N/A</v>
      </c>
      <c r="AP315" s="21" t="e">
        <f t="shared" si="280"/>
        <v>#N/A</v>
      </c>
      <c r="AQ315" s="21" t="e">
        <f t="shared" si="281"/>
        <v>#N/A</v>
      </c>
      <c r="AR315" s="92" t="str">
        <f t="shared" si="265"/>
        <v/>
      </c>
      <c r="AS315" s="21" t="str">
        <f t="shared" si="266"/>
        <v/>
      </c>
      <c r="AT315" s="59" t="str">
        <f t="shared" si="251"/>
        <v/>
      </c>
      <c r="AU315" s="105">
        <f t="shared" si="113"/>
        <v>1</v>
      </c>
      <c r="AV315" s="105">
        <f t="shared" si="282"/>
        <v>1</v>
      </c>
      <c r="AW315" s="58">
        <f t="shared" si="283"/>
        <v>2</v>
      </c>
      <c r="AX315" s="58">
        <f t="shared" si="284"/>
        <v>3</v>
      </c>
      <c r="AY315" s="58" t="str">
        <f t="shared" si="285"/>
        <v>avec vannes</v>
      </c>
      <c r="AZ315" s="58" t="str">
        <f t="shared" si="286"/>
        <v>fermé</v>
      </c>
      <c r="BA315" s="60">
        <f t="shared" si="275"/>
        <v>0</v>
      </c>
      <c r="BB315" s="60">
        <f t="shared" si="275"/>
        <v>0</v>
      </c>
      <c r="BC315" s="60">
        <f t="shared" si="275"/>
        <v>0</v>
      </c>
      <c r="BD315" s="60">
        <f t="shared" si="275"/>
        <v>0</v>
      </c>
      <c r="BE315" s="286" t="str">
        <f t="shared" si="252"/>
        <v/>
      </c>
      <c r="BF315" s="58" t="str">
        <f t="shared" si="267"/>
        <v/>
      </c>
      <c r="BG315" s="59" t="str">
        <f t="shared" si="253"/>
        <v/>
      </c>
      <c r="BH315" s="158">
        <f t="shared" ca="1" si="254"/>
        <v>1</v>
      </c>
      <c r="BI315" s="60">
        <f t="shared" ca="1" si="255"/>
        <v>0.15</v>
      </c>
      <c r="BJ315" s="60">
        <f t="shared" si="256"/>
        <v>0.2</v>
      </c>
      <c r="BK315" s="60" t="str">
        <f t="shared" si="268"/>
        <v/>
      </c>
      <c r="BL315" s="21" t="str">
        <f t="shared" si="269"/>
        <v/>
      </c>
      <c r="BM315" s="264" t="str">
        <f t="shared" si="257"/>
        <v/>
      </c>
      <c r="BN315" s="60" t="str">
        <f t="shared" si="270"/>
        <v/>
      </c>
      <c r="BO315" s="136">
        <f t="shared" si="271"/>
        <v>0</v>
      </c>
      <c r="BP315" s="59">
        <f t="shared" si="272"/>
        <v>0</v>
      </c>
      <c r="BQ315" s="136">
        <f t="shared" ca="1" si="258"/>
        <v>1500</v>
      </c>
      <c r="BR315" s="136">
        <f t="shared" ca="1" si="259"/>
        <v>1000.9966777408638</v>
      </c>
      <c r="BS315" s="136">
        <f t="shared" ca="1" si="260"/>
        <v>1468800.9966777409</v>
      </c>
      <c r="BT315" s="136">
        <f t="shared" ca="1" si="261"/>
        <v>313875.9194035001</v>
      </c>
      <c r="BU315" s="136">
        <f t="shared" ca="1" si="262"/>
        <v>1000.9966777408638</v>
      </c>
    </row>
    <row r="316" spans="1:73" s="5" customFormat="1" x14ac:dyDescent="0.2"/>
  </sheetData>
  <mergeCells count="14">
    <mergeCell ref="BQ12:BU12"/>
    <mergeCell ref="D13:E13"/>
    <mergeCell ref="B13:C13"/>
    <mergeCell ref="AJ13:BP13"/>
    <mergeCell ref="BN14:BP14"/>
    <mergeCell ref="AH13:AI13"/>
    <mergeCell ref="BH14:BM14"/>
    <mergeCell ref="AU14:BG14"/>
    <mergeCell ref="AJ14:AT14"/>
    <mergeCell ref="S13:U13"/>
    <mergeCell ref="V13:AA13"/>
    <mergeCell ref="AB13:AE13"/>
    <mergeCell ref="V14:X14"/>
    <mergeCell ref="Y14:AA14"/>
  </mergeCells>
  <pageMargins left="0.7" right="0.7" top="0.78740157499999996" bottom="0.78740157499999996" header="0.3" footer="0.3"/>
  <pageSetup paperSize="9" orientation="portrait"/>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rgb="FF00B0F0"/>
  </sheetPr>
  <dimension ref="A1:Z335"/>
  <sheetViews>
    <sheetView topLeftCell="A7" workbookViewId="0">
      <selection activeCell="W6" sqref="W6"/>
    </sheetView>
  </sheetViews>
  <sheetFormatPr baseColWidth="10" defaultColWidth="10.75" defaultRowHeight="14.25" x14ac:dyDescent="0.2"/>
  <cols>
    <col min="1" max="16384" width="10.75" style="2"/>
  </cols>
  <sheetData>
    <row r="1" spans="1:2" ht="18" x14ac:dyDescent="0.25">
      <c r="A1" s="1" t="s">
        <v>24</v>
      </c>
    </row>
    <row r="3" spans="1:2" ht="15.75" x14ac:dyDescent="0.25">
      <c r="A3" s="7" t="s">
        <v>27</v>
      </c>
    </row>
    <row r="4" spans="1:2" ht="3.75" customHeight="1" x14ac:dyDescent="0.2"/>
    <row r="5" spans="1:2" x14ac:dyDescent="0.2">
      <c r="A5" s="8" t="s">
        <v>28</v>
      </c>
    </row>
    <row r="6" spans="1:2" x14ac:dyDescent="0.2">
      <c r="A6" s="8" t="s">
        <v>29</v>
      </c>
    </row>
    <row r="7" spans="1:2" x14ac:dyDescent="0.2">
      <c r="A7" s="29" t="s">
        <v>35</v>
      </c>
    </row>
    <row r="8" spans="1:2" x14ac:dyDescent="0.2">
      <c r="A8" s="17" t="s">
        <v>71</v>
      </c>
    </row>
    <row r="9" spans="1:2" x14ac:dyDescent="0.2">
      <c r="A9" s="42" t="s">
        <v>84</v>
      </c>
    </row>
    <row r="10" spans="1:2" x14ac:dyDescent="0.2">
      <c r="A10" s="8" t="s">
        <v>36</v>
      </c>
    </row>
    <row r="11" spans="1:2" x14ac:dyDescent="0.2">
      <c r="A11" s="8" t="s">
        <v>217</v>
      </c>
    </row>
    <row r="12" spans="1:2" x14ac:dyDescent="0.2">
      <c r="A12" s="8"/>
      <c r="B12" s="113" t="s">
        <v>218</v>
      </c>
    </row>
    <row r="14" spans="1:2" ht="15.75" x14ac:dyDescent="0.25">
      <c r="A14" s="7" t="s">
        <v>30</v>
      </c>
    </row>
    <row r="15" spans="1:2" ht="3.75" customHeight="1" x14ac:dyDescent="0.2"/>
    <row r="16" spans="1:2" x14ac:dyDescent="0.2">
      <c r="A16" s="8" t="s">
        <v>31</v>
      </c>
    </row>
    <row r="17" spans="1:7" ht="3.75" customHeight="1" x14ac:dyDescent="0.2"/>
    <row r="18" spans="1:7" x14ac:dyDescent="0.2">
      <c r="D18" s="2" t="s">
        <v>32</v>
      </c>
    </row>
    <row r="19" spans="1:7" x14ac:dyDescent="0.2">
      <c r="A19" s="2" t="s">
        <v>22</v>
      </c>
      <c r="B19" s="9">
        <v>16</v>
      </c>
      <c r="C19" s="2" t="s">
        <v>23</v>
      </c>
      <c r="D19" s="10" t="s">
        <v>33</v>
      </c>
      <c r="E19" s="2" t="s">
        <v>34</v>
      </c>
    </row>
    <row r="20" spans="1:7" x14ac:dyDescent="0.2">
      <c r="A20" s="2" t="s">
        <v>51</v>
      </c>
      <c r="B20" s="9">
        <v>4</v>
      </c>
      <c r="D20" s="10"/>
    </row>
    <row r="21" spans="1:7" x14ac:dyDescent="0.2">
      <c r="A21" s="2" t="s">
        <v>111</v>
      </c>
      <c r="B21" s="9">
        <v>6</v>
      </c>
      <c r="C21" s="21" t="str">
        <f>VLOOKUP(B21,Matrix_Motor.IEID.EffKl,2,0)</f>
        <v>IE4</v>
      </c>
      <c r="D21" s="2" t="s">
        <v>112</v>
      </c>
    </row>
    <row r="22" spans="1:7" x14ac:dyDescent="0.2">
      <c r="A22" s="2" t="s">
        <v>127</v>
      </c>
      <c r="B22" s="9">
        <v>1</v>
      </c>
      <c r="C22" s="57" t="s">
        <v>128</v>
      </c>
    </row>
    <row r="23" spans="1:7" ht="3.75" customHeight="1" x14ac:dyDescent="0.2"/>
    <row r="24" spans="1:7" x14ac:dyDescent="0.2">
      <c r="A24" s="2" t="s">
        <v>143</v>
      </c>
      <c r="B24" s="415" t="str">
        <f>Sprachen!C32</f>
        <v>Oui</v>
      </c>
      <c r="D24" s="2" t="s">
        <v>144</v>
      </c>
    </row>
    <row r="25" spans="1:7" x14ac:dyDescent="0.2">
      <c r="A25" s="2" t="s">
        <v>149</v>
      </c>
      <c r="B25" s="9">
        <v>999999</v>
      </c>
      <c r="D25" s="2" t="s">
        <v>150</v>
      </c>
    </row>
    <row r="26" spans="1:7" x14ac:dyDescent="0.2">
      <c r="A26" s="2" t="s">
        <v>152</v>
      </c>
      <c r="B26" s="9">
        <v>1000</v>
      </c>
      <c r="D26" s="2" t="s">
        <v>153</v>
      </c>
    </row>
    <row r="27" spans="1:7" x14ac:dyDescent="0.2">
      <c r="A27" s="2" t="s">
        <v>199</v>
      </c>
      <c r="B27" s="9">
        <v>2</v>
      </c>
      <c r="C27" s="8" t="s">
        <v>200</v>
      </c>
      <c r="D27" s="21">
        <f>VLOOKUP(St.Wert_Netztyp.Kreislauf,Matrix_Netztyp.Kreislauf.Spalte,3,0)</f>
        <v>1</v>
      </c>
      <c r="E27" s="21" t="str">
        <f>VLOOKUP(St.Wert_Netztyp.Kreislauf,Matrix_Netztyp.Kreislauf.Spalte,2,0)</f>
        <v>avec vannes</v>
      </c>
      <c r="F27" s="21">
        <f>VLOOKUP(St.Wert_Netztyp.Kreislauf,Matrix_Netztyp.Kreislauf.Spalte,5,0)</f>
        <v>1</v>
      </c>
      <c r="G27" s="21" t="str">
        <f>VLOOKUP(St.Wert_Netztyp.Kreislauf,Matrix_Netztyp.Kreislauf.Spalte,4,0)</f>
        <v>fermé</v>
      </c>
    </row>
    <row r="28" spans="1:7" x14ac:dyDescent="0.2">
      <c r="A28" s="2" t="s">
        <v>483</v>
      </c>
      <c r="B28" s="9">
        <v>999</v>
      </c>
      <c r="C28" s="8"/>
      <c r="D28" s="147" t="s">
        <v>485</v>
      </c>
      <c r="E28" s="21"/>
      <c r="F28" s="21"/>
      <c r="G28" s="21"/>
    </row>
    <row r="29" spans="1:7" x14ac:dyDescent="0.2">
      <c r="A29" s="2" t="s">
        <v>484</v>
      </c>
      <c r="B29" s="9">
        <v>9999</v>
      </c>
      <c r="C29" s="8"/>
      <c r="D29" s="147" t="s">
        <v>486</v>
      </c>
      <c r="E29" s="21"/>
      <c r="F29" s="21"/>
      <c r="G29" s="21"/>
    </row>
    <row r="30" spans="1:7" x14ac:dyDescent="0.2">
      <c r="A30" s="2" t="s">
        <v>487</v>
      </c>
      <c r="B30" s="301">
        <v>1E-4</v>
      </c>
      <c r="C30" s="8" t="s">
        <v>106</v>
      </c>
      <c r="D30" s="147" t="s">
        <v>488</v>
      </c>
      <c r="E30" s="21"/>
      <c r="F30" s="21"/>
      <c r="G30" s="21"/>
    </row>
    <row r="32" spans="1:7" ht="15.75" x14ac:dyDescent="0.25">
      <c r="A32" s="14" t="s">
        <v>52</v>
      </c>
    </row>
    <row r="33" spans="1:9" ht="3.75" customHeight="1" x14ac:dyDescent="0.2"/>
    <row r="34" spans="1:9" x14ac:dyDescent="0.2">
      <c r="A34" s="8" t="s">
        <v>53</v>
      </c>
    </row>
    <row r="35" spans="1:9" x14ac:dyDescent="0.2">
      <c r="A35" s="8" t="s">
        <v>54</v>
      </c>
    </row>
    <row r="36" spans="1:9" ht="3.75" customHeight="1" x14ac:dyDescent="0.2"/>
    <row r="37" spans="1:9" ht="15" x14ac:dyDescent="0.25">
      <c r="A37" s="22" t="s">
        <v>55</v>
      </c>
      <c r="B37" s="23" t="s">
        <v>57</v>
      </c>
      <c r="C37" s="23" t="s">
        <v>56</v>
      </c>
      <c r="D37" s="25" t="s">
        <v>57</v>
      </c>
      <c r="E37" s="22"/>
    </row>
    <row r="38" spans="1:9" x14ac:dyDescent="0.2">
      <c r="A38" s="30">
        <v>0</v>
      </c>
      <c r="B38" s="31">
        <v>1</v>
      </c>
      <c r="C38" s="31" t="s">
        <v>70</v>
      </c>
      <c r="D38" s="34">
        <f>B38</f>
        <v>1</v>
      </c>
      <c r="E38" s="30"/>
      <c r="H38" s="15">
        <v>2012</v>
      </c>
      <c r="I38" s="37">
        <f>VLOOKUP(H38,Matrix_Motor.Jahr.EffKl,2,TRUE)</f>
        <v>4</v>
      </c>
    </row>
    <row r="39" spans="1:9" x14ac:dyDescent="0.2">
      <c r="A39" s="30">
        <v>1980</v>
      </c>
      <c r="B39" s="30">
        <v>2</v>
      </c>
      <c r="C39" s="30" t="s">
        <v>62</v>
      </c>
      <c r="D39" s="34">
        <f t="shared" ref="D39:D44" si="0">B39</f>
        <v>2</v>
      </c>
      <c r="E39" s="30"/>
      <c r="H39" s="16"/>
      <c r="I39" s="16"/>
    </row>
    <row r="40" spans="1:9" x14ac:dyDescent="0.2">
      <c r="A40" s="30">
        <v>2000</v>
      </c>
      <c r="B40" s="30">
        <v>3</v>
      </c>
      <c r="C40" s="30" t="s">
        <v>63</v>
      </c>
      <c r="D40" s="34">
        <f t="shared" si="0"/>
        <v>3</v>
      </c>
      <c r="E40" s="30"/>
    </row>
    <row r="41" spans="1:9" x14ac:dyDescent="0.2">
      <c r="A41" s="30">
        <v>2012</v>
      </c>
      <c r="B41" s="30">
        <v>4</v>
      </c>
      <c r="C41" s="30" t="s">
        <v>64</v>
      </c>
      <c r="D41" s="34">
        <f t="shared" si="0"/>
        <v>4</v>
      </c>
      <c r="E41" s="30"/>
    </row>
    <row r="42" spans="1:9" x14ac:dyDescent="0.2">
      <c r="A42" s="30">
        <v>2015</v>
      </c>
      <c r="B42" s="30">
        <v>5</v>
      </c>
      <c r="C42" s="30" t="s">
        <v>58</v>
      </c>
      <c r="D42" s="34">
        <f t="shared" si="0"/>
        <v>5</v>
      </c>
      <c r="E42" s="30"/>
    </row>
    <row r="43" spans="1:9" x14ac:dyDescent="0.2">
      <c r="A43" s="30">
        <v>2018</v>
      </c>
      <c r="B43" s="30">
        <v>6</v>
      </c>
      <c r="C43" s="30" t="s">
        <v>59</v>
      </c>
      <c r="D43" s="34">
        <f t="shared" si="0"/>
        <v>6</v>
      </c>
      <c r="E43" s="30"/>
    </row>
    <row r="44" spans="1:9" x14ac:dyDescent="0.2">
      <c r="A44" s="19">
        <v>2021</v>
      </c>
      <c r="B44" s="30">
        <v>7</v>
      </c>
      <c r="C44" s="30" t="s">
        <v>79</v>
      </c>
      <c r="D44" s="34">
        <f t="shared" si="0"/>
        <v>7</v>
      </c>
      <c r="E44" s="30"/>
    </row>
    <row r="45" spans="1:9" x14ac:dyDescent="0.2">
      <c r="A45" s="30"/>
      <c r="B45" s="30"/>
      <c r="C45" s="30"/>
      <c r="D45" s="30"/>
      <c r="E45" s="30"/>
    </row>
    <row r="46" spans="1:9" x14ac:dyDescent="0.2">
      <c r="A46" s="8"/>
    </row>
    <row r="47" spans="1:9" ht="15.75" x14ac:dyDescent="0.25">
      <c r="A47" s="14" t="s">
        <v>60</v>
      </c>
    </row>
    <row r="48" spans="1:9" ht="3.75" customHeight="1" x14ac:dyDescent="0.2"/>
    <row r="49" spans="1:19" x14ac:dyDescent="0.2">
      <c r="A49" s="8" t="s">
        <v>61</v>
      </c>
    </row>
    <row r="50" spans="1:19" x14ac:dyDescent="0.2">
      <c r="A50" s="8" t="s">
        <v>88</v>
      </c>
    </row>
    <row r="51" spans="1:19" ht="3.75" customHeight="1" x14ac:dyDescent="0.2"/>
    <row r="52" spans="1:19" ht="15" x14ac:dyDescent="0.25">
      <c r="A52" s="22" t="s">
        <v>55</v>
      </c>
      <c r="B52" s="22" t="s">
        <v>57</v>
      </c>
      <c r="C52" s="22" t="s">
        <v>56</v>
      </c>
      <c r="D52" s="22"/>
    </row>
    <row r="53" spans="1:19" x14ac:dyDescent="0.2">
      <c r="A53" s="30">
        <v>0</v>
      </c>
      <c r="B53" s="30">
        <v>1</v>
      </c>
      <c r="C53" s="32" t="s">
        <v>5</v>
      </c>
      <c r="D53" s="30"/>
    </row>
    <row r="54" spans="1:19" x14ac:dyDescent="0.2">
      <c r="A54" s="30">
        <v>1990</v>
      </c>
      <c r="B54" s="30">
        <v>2</v>
      </c>
      <c r="C54" s="32" t="s">
        <v>6</v>
      </c>
      <c r="D54" s="30"/>
    </row>
    <row r="55" spans="1:19" x14ac:dyDescent="0.2">
      <c r="A55" s="30">
        <v>2000</v>
      </c>
      <c r="B55" s="30">
        <v>3</v>
      </c>
      <c r="C55" s="32" t="s">
        <v>7</v>
      </c>
      <c r="D55" s="30"/>
    </row>
    <row r="56" spans="1:19" x14ac:dyDescent="0.2">
      <c r="A56" s="30">
        <v>2010</v>
      </c>
      <c r="B56" s="30">
        <v>4</v>
      </c>
      <c r="C56" s="32" t="s">
        <v>8</v>
      </c>
      <c r="D56" s="30"/>
    </row>
    <row r="57" spans="1:19" x14ac:dyDescent="0.2">
      <c r="A57" s="30"/>
      <c r="B57" s="30"/>
      <c r="C57" s="30"/>
      <c r="D57" s="30"/>
    </row>
    <row r="58" spans="1:19" x14ac:dyDescent="0.2">
      <c r="A58" s="8"/>
    </row>
    <row r="59" spans="1:19" ht="15.75" x14ac:dyDescent="0.25">
      <c r="A59" s="14" t="s">
        <v>65</v>
      </c>
    </row>
    <row r="60" spans="1:19" ht="3.75" customHeight="1" x14ac:dyDescent="0.2"/>
    <row r="61" spans="1:19" x14ac:dyDescent="0.2">
      <c r="A61" s="8" t="s">
        <v>66</v>
      </c>
    </row>
    <row r="62" spans="1:19" x14ac:dyDescent="0.2">
      <c r="A62" s="17" t="s">
        <v>67</v>
      </c>
      <c r="B62" s="47"/>
      <c r="C62" s="47"/>
      <c r="D62" s="47"/>
      <c r="E62" s="47"/>
      <c r="F62" s="47"/>
    </row>
    <row r="63" spans="1:19" ht="3.75" customHeight="1" x14ac:dyDescent="0.2"/>
    <row r="64" spans="1:19" ht="15" x14ac:dyDescent="0.25">
      <c r="A64" s="25" t="s">
        <v>57</v>
      </c>
      <c r="B64" s="25" t="s">
        <v>73</v>
      </c>
      <c r="C64" s="25" t="s">
        <v>57</v>
      </c>
      <c r="D64" s="25"/>
      <c r="M64" s="26"/>
      <c r="S64" s="28"/>
    </row>
    <row r="65" spans="1:26" ht="15" x14ac:dyDescent="0.25">
      <c r="A65" s="33">
        <v>1</v>
      </c>
      <c r="B65" s="33">
        <v>0</v>
      </c>
      <c r="C65" s="34">
        <f>A65</f>
        <v>1</v>
      </c>
      <c r="D65" s="33"/>
      <c r="M65" s="26"/>
      <c r="S65" s="28"/>
    </row>
    <row r="66" spans="1:26" ht="15" x14ac:dyDescent="0.25">
      <c r="A66" s="33">
        <v>2</v>
      </c>
      <c r="B66" s="33">
        <v>0.12</v>
      </c>
      <c r="C66" s="34">
        <f t="shared" ref="C66:C67" si="1">A66</f>
        <v>2</v>
      </c>
      <c r="D66" s="33"/>
      <c r="M66" s="26"/>
      <c r="S66" s="28"/>
    </row>
    <row r="67" spans="1:26" ht="15" x14ac:dyDescent="0.25">
      <c r="A67" s="33">
        <v>3</v>
      </c>
      <c r="B67" s="33">
        <v>0.75</v>
      </c>
      <c r="C67" s="34">
        <f t="shared" si="1"/>
        <v>3</v>
      </c>
      <c r="D67" s="33"/>
      <c r="M67" s="26"/>
      <c r="S67" s="28"/>
    </row>
    <row r="68" spans="1:26" ht="15" x14ac:dyDescent="0.25">
      <c r="A68" s="33"/>
      <c r="B68" s="33"/>
      <c r="C68" s="33"/>
      <c r="D68" s="33"/>
      <c r="M68" s="26"/>
      <c r="S68" s="28"/>
    </row>
    <row r="69" spans="1:26" ht="3.75" customHeight="1" x14ac:dyDescent="0.2"/>
    <row r="70" spans="1:26" ht="15" x14ac:dyDescent="0.25">
      <c r="A70" s="44" t="s">
        <v>85</v>
      </c>
      <c r="B70" s="45">
        <v>200</v>
      </c>
      <c r="C70" s="44" t="s">
        <v>43</v>
      </c>
      <c r="D70" s="44" t="s">
        <v>86</v>
      </c>
      <c r="M70" s="26"/>
      <c r="N70" s="41" t="s">
        <v>80</v>
      </c>
      <c r="O70" s="15"/>
      <c r="P70" s="15"/>
      <c r="Q70" s="15"/>
      <c r="R70" s="15"/>
      <c r="S70" s="15" t="s">
        <v>82</v>
      </c>
      <c r="T70" s="27">
        <v>4</v>
      </c>
    </row>
    <row r="71" spans="1:26" ht="3.75" customHeight="1" x14ac:dyDescent="0.2"/>
    <row r="72" spans="1:26" ht="15" x14ac:dyDescent="0.25">
      <c r="A72" s="25" t="s">
        <v>83</v>
      </c>
      <c r="B72" s="25" t="s">
        <v>73</v>
      </c>
      <c r="C72" s="25" t="s">
        <v>72</v>
      </c>
      <c r="D72" s="25" t="s">
        <v>68</v>
      </c>
      <c r="E72" s="25" t="s">
        <v>69</v>
      </c>
      <c r="F72" s="25" t="s">
        <v>78</v>
      </c>
      <c r="G72" s="25" t="s">
        <v>57</v>
      </c>
      <c r="H72" s="25" t="s">
        <v>74</v>
      </c>
      <c r="I72" s="25" t="s">
        <v>75</v>
      </c>
      <c r="J72" s="25" t="s">
        <v>76</v>
      </c>
      <c r="K72" s="25" t="s">
        <v>77</v>
      </c>
      <c r="L72" s="25"/>
      <c r="N72" s="38"/>
      <c r="O72" s="38"/>
      <c r="P72" s="38"/>
      <c r="Q72" s="458" t="s">
        <v>81</v>
      </c>
      <c r="R72" s="458"/>
      <c r="S72" s="458"/>
      <c r="T72" s="458"/>
      <c r="U72" s="458"/>
      <c r="V72" s="38"/>
      <c r="W72" s="38"/>
      <c r="X72" s="38"/>
      <c r="Y72" s="38"/>
      <c r="Z72" s="38"/>
    </row>
    <row r="73" spans="1:26" x14ac:dyDescent="0.2">
      <c r="A73" s="18">
        <v>1</v>
      </c>
      <c r="B73" s="20">
        <f t="shared" ref="B73:B104" si="2">VLOOKUP(A73,Matrix_Motor.ID.LeistungsKl,2,0)</f>
        <v>0</v>
      </c>
      <c r="C73" s="18">
        <v>1</v>
      </c>
      <c r="D73" s="20" t="str">
        <f t="shared" ref="D73:D104" si="3">VLOOKUP(C73,Matrix_Motor.IEID.EffKl,2,0)</f>
        <v>&lt;IE0</v>
      </c>
      <c r="E73" s="18">
        <v>2</v>
      </c>
      <c r="F73" s="34" t="str">
        <f>CONCATENATE(A73,C73,E73)</f>
        <v>112</v>
      </c>
      <c r="G73" s="33">
        <v>1</v>
      </c>
      <c r="H73" s="24">
        <v>1.01</v>
      </c>
      <c r="I73" s="24">
        <v>-7.8</v>
      </c>
      <c r="J73" s="24">
        <v>23.5</v>
      </c>
      <c r="K73" s="24">
        <v>66.599999999999994</v>
      </c>
      <c r="L73" s="33"/>
      <c r="N73" s="38"/>
      <c r="O73" s="38"/>
      <c r="P73" s="38"/>
      <c r="Q73" s="38">
        <v>2</v>
      </c>
      <c r="R73" s="38">
        <v>3</v>
      </c>
      <c r="S73" s="38">
        <v>4</v>
      </c>
      <c r="T73" s="38">
        <v>5</v>
      </c>
      <c r="U73" s="38">
        <v>6</v>
      </c>
      <c r="V73" s="39">
        <f>Q73</f>
        <v>2</v>
      </c>
      <c r="W73" s="39">
        <f t="shared" ref="W73:Z73" si="4">R73</f>
        <v>3</v>
      </c>
      <c r="X73" s="39">
        <f t="shared" si="4"/>
        <v>4</v>
      </c>
      <c r="Y73" s="39">
        <f t="shared" si="4"/>
        <v>5</v>
      </c>
      <c r="Z73" s="39">
        <f t="shared" si="4"/>
        <v>6</v>
      </c>
    </row>
    <row r="74" spans="1:26" x14ac:dyDescent="0.2">
      <c r="A74" s="20">
        <f>A73</f>
        <v>1</v>
      </c>
      <c r="B74" s="20">
        <f t="shared" si="2"/>
        <v>0</v>
      </c>
      <c r="C74" s="18">
        <v>1</v>
      </c>
      <c r="D74" s="20" t="str">
        <f t="shared" si="3"/>
        <v>&lt;IE0</v>
      </c>
      <c r="E74" s="18">
        <v>4</v>
      </c>
      <c r="F74" s="34" t="str">
        <f t="shared" ref="F74:F135" si="5">CONCATENATE(A74,C74,E74)</f>
        <v>114</v>
      </c>
      <c r="G74" s="33">
        <v>2</v>
      </c>
      <c r="H74" s="24">
        <v>1.01</v>
      </c>
      <c r="I74" s="24">
        <v>-7.8</v>
      </c>
      <c r="J74" s="24">
        <v>23.5</v>
      </c>
      <c r="K74" s="24">
        <v>66.599999999999994</v>
      </c>
      <c r="L74" s="33"/>
      <c r="N74" s="38" t="s">
        <v>73</v>
      </c>
      <c r="O74" s="38" t="s">
        <v>87</v>
      </c>
      <c r="P74" s="38" t="s">
        <v>83</v>
      </c>
      <c r="Q74" s="39" t="str">
        <f>VLOOKUP(Q73,Matrix_Motor.IEID.EffKl,2,0)</f>
        <v>IE0 (Eff3)</v>
      </c>
      <c r="R74" s="39" t="str">
        <f>VLOOKUP(R73,Matrix_Motor.IEID.EffKl,2,0)</f>
        <v>IE1 (Eff2)</v>
      </c>
      <c r="S74" s="39" t="str">
        <f>VLOOKUP(S73,Matrix_Motor.IEID.EffKl,2,0)</f>
        <v>IE2 (Eff1)</v>
      </c>
      <c r="T74" s="39" t="str">
        <f>VLOOKUP(T73,Matrix_Motor.IEID.EffKl,2,0)</f>
        <v>IE3</v>
      </c>
      <c r="U74" s="39" t="str">
        <f>VLOOKUP(U73,Matrix_Motor.IEID.EffKl,2,0)</f>
        <v>IE4</v>
      </c>
      <c r="V74" s="38"/>
      <c r="W74" s="38"/>
      <c r="X74" s="38"/>
      <c r="Y74" s="38"/>
      <c r="Z74" s="38"/>
    </row>
    <row r="75" spans="1:26" x14ac:dyDescent="0.2">
      <c r="A75" s="20">
        <f>A74</f>
        <v>1</v>
      </c>
      <c r="B75" s="20">
        <f t="shared" si="2"/>
        <v>0</v>
      </c>
      <c r="C75" s="18">
        <v>1</v>
      </c>
      <c r="D75" s="20" t="str">
        <f t="shared" si="3"/>
        <v>&lt;IE0</v>
      </c>
      <c r="E75" s="18">
        <v>6</v>
      </c>
      <c r="F75" s="34" t="str">
        <f t="shared" si="5"/>
        <v>116</v>
      </c>
      <c r="G75" s="33">
        <v>3</v>
      </c>
      <c r="H75" s="24">
        <v>1.01</v>
      </c>
      <c r="I75" s="24">
        <v>-7.8</v>
      </c>
      <c r="J75" s="24">
        <v>23.5</v>
      </c>
      <c r="K75" s="24">
        <v>66.599999999999994</v>
      </c>
      <c r="L75" s="33"/>
      <c r="N75" s="40">
        <v>0.1</v>
      </c>
      <c r="O75" s="46">
        <f t="shared" ref="O75:O102" si="6">IF(N75&lt;Wert_Motor.max.Leistung.fuer.Berechnung.Wirkungsgrad,N75,Wert_Motor.max.Leistung.fuer.Berechnung.Wirkungsgrad)</f>
        <v>0.1</v>
      </c>
      <c r="P75" s="39">
        <f t="shared" ref="P75:P102" si="7">VLOOKUP(N75,Matrix_Motor.LeistungsKl.ID,2,1)</f>
        <v>1</v>
      </c>
      <c r="Q75" s="43">
        <f t="shared" ref="Q75:Q102" si="8">(VLOOKUP(V75,Matrix_Motor.KombiKl.EffParameter,3,0)*(LOG($O75))^3+VLOOKUP(V75,Matrix_Motor.KombiKl.EffParameter,4,0)*(LOG($O75))^2+VLOOKUP(V75,Matrix_Motor.KombiKl.EffParameter,5,0)*(LOG($O75))+VLOOKUP(V75,Matrix_Motor.KombiKl.EffParameter,6,0))/100</f>
        <v>0.4015088</v>
      </c>
      <c r="R75" s="43">
        <f t="shared" ref="R75:R102" si="9">(VLOOKUP(W75,Matrix_Motor.KombiKl.EffParameter,3,0)*(LOG($O75))^3+VLOOKUP(W75,Matrix_Motor.KombiKl.EffParameter,4,0)*(LOG($O75))^2+VLOOKUP(W75,Matrix_Motor.KombiKl.EffParameter,5,0)*(LOG($O75))+VLOOKUP(W75,Matrix_Motor.KombiKl.EffParameter,6,0))/100</f>
        <v>0.46213500000000013</v>
      </c>
      <c r="S75" s="43">
        <f t="shared" ref="S75:S102" si="10">(VLOOKUP(X75,Matrix_Motor.KombiKl.EffParameter,3,0)*(LOG($O75))^3+VLOOKUP(X75,Matrix_Motor.KombiKl.EffParameter,4,0)*(LOG($O75))^2+VLOOKUP(X75,Matrix_Motor.KombiKl.EffParameter,5,0)*(LOG($O75))+VLOOKUP(X75,Matrix_Motor.KombiKl.EffParameter,6,0))/100</f>
        <v>0.56114199999999992</v>
      </c>
      <c r="T75" s="43">
        <f t="shared" ref="T75:T102" si="11">(VLOOKUP(Y75,Matrix_Motor.KombiKl.EffParameter,3,0)*(LOG($O75))^3+VLOOKUP(Y75,Matrix_Motor.KombiKl.EffParameter,4,0)*(LOG($O75))^2+VLOOKUP(Y75,Matrix_Motor.KombiKl.EffParameter,5,0)*(LOG($O75))+VLOOKUP(Y75,Matrix_Motor.KombiKl.EffParameter,6,0))/100</f>
        <v>0.62197500000000006</v>
      </c>
      <c r="U75" s="43">
        <f t="shared" ref="U75:U102" si="12">(VLOOKUP(Z75,Matrix_Motor.KombiKl.EffParameter,3,0)*(LOG($O75))^3+VLOOKUP(Z75,Matrix_Motor.KombiKl.EffParameter,4,0)*(LOG($O75))^2+VLOOKUP(Z75,Matrix_Motor.KombiKl.EffParameter,5,0)*(LOG($O75))+VLOOKUP(Z75,Matrix_Motor.KombiKl.EffParameter,6,0))/100</f>
        <v>0.67248500000000011</v>
      </c>
      <c r="V75" s="39" t="str">
        <f t="shared" ref="V75:Z84" si="13">CONCATENATE($P75,V$73,$T$70)</f>
        <v>124</v>
      </c>
      <c r="W75" s="39" t="str">
        <f t="shared" si="13"/>
        <v>134</v>
      </c>
      <c r="X75" s="39" t="str">
        <f t="shared" si="13"/>
        <v>144</v>
      </c>
      <c r="Y75" s="39" t="str">
        <f t="shared" si="13"/>
        <v>154</v>
      </c>
      <c r="Z75" s="39" t="str">
        <f t="shared" si="13"/>
        <v>164</v>
      </c>
    </row>
    <row r="76" spans="1:26" x14ac:dyDescent="0.2">
      <c r="A76" s="20">
        <f>A75</f>
        <v>1</v>
      </c>
      <c r="B76" s="20">
        <f t="shared" si="2"/>
        <v>0</v>
      </c>
      <c r="C76" s="20">
        <f>C73+1</f>
        <v>2</v>
      </c>
      <c r="D76" s="20" t="str">
        <f t="shared" si="3"/>
        <v>IE0 (Eff3)</v>
      </c>
      <c r="E76" s="20">
        <f>E73</f>
        <v>2</v>
      </c>
      <c r="F76" s="34" t="str">
        <f t="shared" si="5"/>
        <v>122</v>
      </c>
      <c r="G76" s="33">
        <v>4</v>
      </c>
      <c r="H76" s="24">
        <v>0.85360999999999998</v>
      </c>
      <c r="I76" s="24">
        <v>-6.7732999999999999</v>
      </c>
      <c r="J76" s="24">
        <v>21.3553</v>
      </c>
      <c r="K76" s="24">
        <v>69.133099999999999</v>
      </c>
      <c r="L76" s="33"/>
      <c r="N76" s="38">
        <f t="shared" ref="N76:N102" si="14">SQRT(2)*N75</f>
        <v>0.14142135623730953</v>
      </c>
      <c r="O76" s="46">
        <f t="shared" si="6"/>
        <v>0.14142135623730953</v>
      </c>
      <c r="P76" s="39">
        <f t="shared" si="7"/>
        <v>2</v>
      </c>
      <c r="Q76" s="43">
        <f t="shared" si="8"/>
        <v>0.45581034786236285</v>
      </c>
      <c r="R76" s="43">
        <f t="shared" si="9"/>
        <v>0.53052991468545696</v>
      </c>
      <c r="S76" s="43">
        <f t="shared" si="10"/>
        <v>0.61480274461275497</v>
      </c>
      <c r="T76" s="43">
        <f t="shared" si="11"/>
        <v>0.66984040979095394</v>
      </c>
      <c r="U76" s="43">
        <f t="shared" si="12"/>
        <v>0.71964180385151311</v>
      </c>
      <c r="V76" s="39" t="str">
        <f t="shared" si="13"/>
        <v>224</v>
      </c>
      <c r="W76" s="39" t="str">
        <f t="shared" si="13"/>
        <v>234</v>
      </c>
      <c r="X76" s="39" t="str">
        <f t="shared" si="13"/>
        <v>244</v>
      </c>
      <c r="Y76" s="39" t="str">
        <f t="shared" si="13"/>
        <v>254</v>
      </c>
      <c r="Z76" s="39" t="str">
        <f t="shared" si="13"/>
        <v>264</v>
      </c>
    </row>
    <row r="77" spans="1:26" x14ac:dyDescent="0.2">
      <c r="A77" s="20">
        <f t="shared" ref="A77:A79" si="15">A76</f>
        <v>1</v>
      </c>
      <c r="B77" s="20">
        <f t="shared" si="2"/>
        <v>0</v>
      </c>
      <c r="C77" s="20">
        <f t="shared" ref="C77:C93" si="16">C74+1</f>
        <v>2</v>
      </c>
      <c r="D77" s="20" t="str">
        <f t="shared" si="3"/>
        <v>IE0 (Eff3)</v>
      </c>
      <c r="E77" s="20">
        <f t="shared" ref="E77:E135" si="17">E74</f>
        <v>4</v>
      </c>
      <c r="F77" s="34" t="str">
        <f t="shared" si="5"/>
        <v>124</v>
      </c>
      <c r="G77" s="33">
        <v>5</v>
      </c>
      <c r="H77" s="24">
        <v>0.85362000000000005</v>
      </c>
      <c r="I77" s="24">
        <v>-6.7732999999999999</v>
      </c>
      <c r="J77" s="24">
        <v>21.3553</v>
      </c>
      <c r="K77" s="24">
        <v>69.133099999999999</v>
      </c>
      <c r="L77" s="33"/>
      <c r="N77" s="38">
        <f t="shared" si="14"/>
        <v>0.20000000000000004</v>
      </c>
      <c r="O77" s="46">
        <f t="shared" si="6"/>
        <v>0.20000000000000004</v>
      </c>
      <c r="P77" s="39">
        <f t="shared" si="7"/>
        <v>2</v>
      </c>
      <c r="Q77" s="43">
        <f t="shared" si="8"/>
        <v>0.50605727637931108</v>
      </c>
      <c r="R77" s="43">
        <f t="shared" si="9"/>
        <v>0.58537063699160186</v>
      </c>
      <c r="S77" s="43">
        <f t="shared" si="10"/>
        <v>0.65938037170295261</v>
      </c>
      <c r="T77" s="43">
        <f t="shared" si="11"/>
        <v>0.71107459643448478</v>
      </c>
      <c r="U77" s="43">
        <f t="shared" si="12"/>
        <v>0.75828051925096185</v>
      </c>
      <c r="V77" s="39" t="str">
        <f t="shared" si="13"/>
        <v>224</v>
      </c>
      <c r="W77" s="39" t="str">
        <f t="shared" si="13"/>
        <v>234</v>
      </c>
      <c r="X77" s="39" t="str">
        <f t="shared" si="13"/>
        <v>244</v>
      </c>
      <c r="Y77" s="39" t="str">
        <f t="shared" si="13"/>
        <v>254</v>
      </c>
      <c r="Z77" s="39" t="str">
        <f t="shared" si="13"/>
        <v>264</v>
      </c>
    </row>
    <row r="78" spans="1:26" x14ac:dyDescent="0.2">
      <c r="A78" s="20">
        <f t="shared" si="15"/>
        <v>1</v>
      </c>
      <c r="B78" s="20">
        <f t="shared" si="2"/>
        <v>0</v>
      </c>
      <c r="C78" s="20">
        <f t="shared" si="16"/>
        <v>2</v>
      </c>
      <c r="D78" s="20" t="str">
        <f t="shared" si="3"/>
        <v>IE0 (Eff3)</v>
      </c>
      <c r="E78" s="20">
        <f t="shared" si="17"/>
        <v>6</v>
      </c>
      <c r="F78" s="34" t="str">
        <f t="shared" si="5"/>
        <v>126</v>
      </c>
      <c r="G78" s="33">
        <v>6</v>
      </c>
      <c r="H78" s="24">
        <v>0.85363</v>
      </c>
      <c r="I78" s="24">
        <v>-6.7732999999999999</v>
      </c>
      <c r="J78" s="24">
        <v>21.3553</v>
      </c>
      <c r="K78" s="24">
        <v>69.133099999999999</v>
      </c>
      <c r="L78" s="33"/>
      <c r="N78" s="38">
        <f t="shared" si="14"/>
        <v>0.28284271247461906</v>
      </c>
      <c r="O78" s="46">
        <f t="shared" si="6"/>
        <v>0.28284271247461906</v>
      </c>
      <c r="P78" s="39">
        <f t="shared" si="7"/>
        <v>2</v>
      </c>
      <c r="Q78" s="43">
        <f t="shared" si="8"/>
        <v>0.55242423015104558</v>
      </c>
      <c r="R78" s="43">
        <f t="shared" si="9"/>
        <v>0.63007941299048187</v>
      </c>
      <c r="S78" s="43">
        <f t="shared" si="10"/>
        <v>0.69840924425755591</v>
      </c>
      <c r="T78" s="43">
        <f t="shared" si="11"/>
        <v>0.74723974955746886</v>
      </c>
      <c r="U78" s="43">
        <f t="shared" si="12"/>
        <v>0.7901262736190886</v>
      </c>
      <c r="V78" s="39" t="str">
        <f t="shared" si="13"/>
        <v>224</v>
      </c>
      <c r="W78" s="39" t="str">
        <f t="shared" si="13"/>
        <v>234</v>
      </c>
      <c r="X78" s="39" t="str">
        <f t="shared" si="13"/>
        <v>244</v>
      </c>
      <c r="Y78" s="39" t="str">
        <f t="shared" si="13"/>
        <v>254</v>
      </c>
      <c r="Z78" s="39" t="str">
        <f t="shared" si="13"/>
        <v>264</v>
      </c>
    </row>
    <row r="79" spans="1:26" x14ac:dyDescent="0.2">
      <c r="A79" s="20">
        <f t="shared" si="15"/>
        <v>1</v>
      </c>
      <c r="B79" s="20">
        <f t="shared" si="2"/>
        <v>0</v>
      </c>
      <c r="C79" s="20">
        <f t="shared" si="16"/>
        <v>3</v>
      </c>
      <c r="D79" s="20" t="str">
        <f t="shared" si="3"/>
        <v>IE1 (Eff2)</v>
      </c>
      <c r="E79" s="20">
        <f t="shared" si="17"/>
        <v>2</v>
      </c>
      <c r="F79" s="34" t="str">
        <f t="shared" si="5"/>
        <v>132</v>
      </c>
      <c r="G79" s="33">
        <v>7</v>
      </c>
      <c r="H79" s="24">
        <v>16.7271</v>
      </c>
      <c r="I79" s="24">
        <v>12.7136</v>
      </c>
      <c r="J79" s="24">
        <v>25.946999999999999</v>
      </c>
      <c r="K79" s="24">
        <v>76.174000000000007</v>
      </c>
      <c r="L79" s="33"/>
      <c r="N79" s="38">
        <f t="shared" si="14"/>
        <v>0.40000000000000008</v>
      </c>
      <c r="O79" s="46">
        <f t="shared" si="6"/>
        <v>0.40000000000000008</v>
      </c>
      <c r="P79" s="39">
        <f t="shared" si="7"/>
        <v>2</v>
      </c>
      <c r="Q79" s="43">
        <f t="shared" si="8"/>
        <v>0.59508585377776735</v>
      </c>
      <c r="R79" s="43">
        <f t="shared" si="9"/>
        <v>0.66807848875414433</v>
      </c>
      <c r="S79" s="43">
        <f t="shared" si="10"/>
        <v>0.73542372526352717</v>
      </c>
      <c r="T79" s="43">
        <f t="shared" si="11"/>
        <v>0.77989805878678264</v>
      </c>
      <c r="U79" s="43">
        <f t="shared" si="12"/>
        <v>0.81690419437663597</v>
      </c>
      <c r="V79" s="39" t="str">
        <f t="shared" si="13"/>
        <v>224</v>
      </c>
      <c r="W79" s="39" t="str">
        <f t="shared" si="13"/>
        <v>234</v>
      </c>
      <c r="X79" s="39" t="str">
        <f t="shared" si="13"/>
        <v>244</v>
      </c>
      <c r="Y79" s="39" t="str">
        <f t="shared" si="13"/>
        <v>254</v>
      </c>
      <c r="Z79" s="39" t="str">
        <f t="shared" si="13"/>
        <v>264</v>
      </c>
    </row>
    <row r="80" spans="1:26" x14ac:dyDescent="0.2">
      <c r="A80" s="20">
        <f t="shared" ref="A80:A87" si="18">A79</f>
        <v>1</v>
      </c>
      <c r="B80" s="20">
        <f t="shared" si="2"/>
        <v>0</v>
      </c>
      <c r="C80" s="20">
        <f t="shared" si="16"/>
        <v>3</v>
      </c>
      <c r="D80" s="20" t="str">
        <f t="shared" si="3"/>
        <v>IE1 (Eff2)</v>
      </c>
      <c r="E80" s="20">
        <f t="shared" si="17"/>
        <v>4</v>
      </c>
      <c r="F80" s="34" t="str">
        <f t="shared" si="5"/>
        <v>134</v>
      </c>
      <c r="G80" s="33">
        <v>8</v>
      </c>
      <c r="H80" s="24">
        <v>16.7271</v>
      </c>
      <c r="I80" s="24">
        <v>12.7136</v>
      </c>
      <c r="J80" s="24">
        <v>25.946999999999999</v>
      </c>
      <c r="K80" s="24">
        <v>76.174000000000007</v>
      </c>
      <c r="L80" s="33"/>
      <c r="N80" s="38">
        <f t="shared" si="14"/>
        <v>0.56568542494923812</v>
      </c>
      <c r="O80" s="46">
        <f t="shared" si="6"/>
        <v>0.56568542494923812</v>
      </c>
      <c r="P80" s="39">
        <f t="shared" si="7"/>
        <v>2</v>
      </c>
      <c r="Q80" s="43">
        <f t="shared" si="8"/>
        <v>0.63421679185967728</v>
      </c>
      <c r="R80" s="43">
        <f t="shared" si="9"/>
        <v>0.70279011035463668</v>
      </c>
      <c r="S80" s="43">
        <f t="shared" si="10"/>
        <v>0.77395817770782971</v>
      </c>
      <c r="T80" s="43">
        <f t="shared" si="11"/>
        <v>0.81061171374930252</v>
      </c>
      <c r="U80" s="43">
        <f t="shared" si="12"/>
        <v>0.84033940894434633</v>
      </c>
      <c r="V80" s="39" t="str">
        <f t="shared" si="13"/>
        <v>224</v>
      </c>
      <c r="W80" s="39" t="str">
        <f t="shared" si="13"/>
        <v>234</v>
      </c>
      <c r="X80" s="39" t="str">
        <f t="shared" si="13"/>
        <v>244</v>
      </c>
      <c r="Y80" s="39" t="str">
        <f t="shared" si="13"/>
        <v>254</v>
      </c>
      <c r="Z80" s="39" t="str">
        <f t="shared" si="13"/>
        <v>264</v>
      </c>
    </row>
    <row r="81" spans="1:26" x14ac:dyDescent="0.2">
      <c r="A81" s="20">
        <f t="shared" si="18"/>
        <v>1</v>
      </c>
      <c r="B81" s="20">
        <f t="shared" si="2"/>
        <v>0</v>
      </c>
      <c r="C81" s="20">
        <f t="shared" si="16"/>
        <v>3</v>
      </c>
      <c r="D81" s="20" t="str">
        <f t="shared" si="3"/>
        <v>IE1 (Eff2)</v>
      </c>
      <c r="E81" s="20">
        <f t="shared" si="17"/>
        <v>6</v>
      </c>
      <c r="F81" s="34" t="str">
        <f t="shared" si="5"/>
        <v>136</v>
      </c>
      <c r="G81" s="33">
        <v>9</v>
      </c>
      <c r="H81" s="24">
        <v>16.7271</v>
      </c>
      <c r="I81" s="24">
        <v>12.7136</v>
      </c>
      <c r="J81" s="24">
        <v>25.946999999999999</v>
      </c>
      <c r="K81" s="24">
        <v>76.174000000000007</v>
      </c>
      <c r="L81" s="33"/>
      <c r="N81" s="38">
        <f t="shared" si="14"/>
        <v>0.80000000000000016</v>
      </c>
      <c r="O81" s="46">
        <f t="shared" si="6"/>
        <v>0.80000000000000016</v>
      </c>
      <c r="P81" s="39">
        <f t="shared" si="7"/>
        <v>3</v>
      </c>
      <c r="Q81" s="43">
        <f t="shared" si="8"/>
        <v>0.66999168917900331</v>
      </c>
      <c r="R81" s="43">
        <f t="shared" si="9"/>
        <v>0.72581218637131273</v>
      </c>
      <c r="S81" s="43">
        <f t="shared" si="10"/>
        <v>0.7994630669996059</v>
      </c>
      <c r="T81" s="43">
        <f t="shared" si="11"/>
        <v>0.82783523654005475</v>
      </c>
      <c r="U81" s="43">
        <f t="shared" si="12"/>
        <v>0.85991206932794739</v>
      </c>
      <c r="V81" s="39" t="str">
        <f t="shared" si="13"/>
        <v>324</v>
      </c>
      <c r="W81" s="39" t="str">
        <f t="shared" si="13"/>
        <v>334</v>
      </c>
      <c r="X81" s="39" t="str">
        <f t="shared" si="13"/>
        <v>344</v>
      </c>
      <c r="Y81" s="39" t="str">
        <f t="shared" si="13"/>
        <v>354</v>
      </c>
      <c r="Z81" s="39" t="str">
        <f t="shared" si="13"/>
        <v>364</v>
      </c>
    </row>
    <row r="82" spans="1:26" x14ac:dyDescent="0.2">
      <c r="A82" s="20">
        <f t="shared" si="18"/>
        <v>1</v>
      </c>
      <c r="B82" s="20">
        <f t="shared" si="2"/>
        <v>0</v>
      </c>
      <c r="C82" s="20">
        <f t="shared" si="16"/>
        <v>4</v>
      </c>
      <c r="D82" s="20" t="str">
        <f t="shared" si="3"/>
        <v>IE2 (Eff1)</v>
      </c>
      <c r="E82" s="20">
        <f t="shared" si="17"/>
        <v>2</v>
      </c>
      <c r="F82" s="34" t="str">
        <f t="shared" si="5"/>
        <v>142</v>
      </c>
      <c r="G82" s="33">
        <v>10</v>
      </c>
      <c r="H82" s="24">
        <v>17.275099999999998</v>
      </c>
      <c r="I82" s="24">
        <v>23.978000000000002</v>
      </c>
      <c r="J82" s="24">
        <v>35.5822</v>
      </c>
      <c r="K82" s="24">
        <v>84.993499999999997</v>
      </c>
      <c r="L82" s="33"/>
      <c r="N82" s="38">
        <f t="shared" si="14"/>
        <v>1.1313708498984762</v>
      </c>
      <c r="O82" s="46">
        <f t="shared" si="6"/>
        <v>1.1313708498984762</v>
      </c>
      <c r="P82" s="39">
        <f t="shared" si="7"/>
        <v>3</v>
      </c>
      <c r="Q82" s="43">
        <f t="shared" si="8"/>
        <v>0.70258518975905859</v>
      </c>
      <c r="R82" s="43">
        <f t="shared" si="9"/>
        <v>0.75236361387501549</v>
      </c>
      <c r="S82" s="43">
        <f t="shared" si="10"/>
        <v>0.81530182906536419</v>
      </c>
      <c r="T82" s="43">
        <f t="shared" si="11"/>
        <v>0.84195506938452369</v>
      </c>
      <c r="U82" s="43">
        <f t="shared" si="12"/>
        <v>0.87278101109158213</v>
      </c>
      <c r="V82" s="39" t="str">
        <f t="shared" si="13"/>
        <v>324</v>
      </c>
      <c r="W82" s="39" t="str">
        <f t="shared" si="13"/>
        <v>334</v>
      </c>
      <c r="X82" s="39" t="str">
        <f t="shared" si="13"/>
        <v>344</v>
      </c>
      <c r="Y82" s="39" t="str">
        <f t="shared" si="13"/>
        <v>354</v>
      </c>
      <c r="Z82" s="39" t="str">
        <f t="shared" si="13"/>
        <v>364</v>
      </c>
    </row>
    <row r="83" spans="1:26" x14ac:dyDescent="0.2">
      <c r="A83" s="20">
        <f t="shared" si="18"/>
        <v>1</v>
      </c>
      <c r="B83" s="20">
        <f t="shared" si="2"/>
        <v>0</v>
      </c>
      <c r="C83" s="20">
        <f t="shared" si="16"/>
        <v>4</v>
      </c>
      <c r="D83" s="20" t="str">
        <f t="shared" si="3"/>
        <v>IE2 (Eff1)</v>
      </c>
      <c r="E83" s="20">
        <f t="shared" si="17"/>
        <v>4</v>
      </c>
      <c r="F83" s="34" t="str">
        <f t="shared" si="5"/>
        <v>144</v>
      </c>
      <c r="G83" s="33">
        <v>11</v>
      </c>
      <c r="H83" s="24">
        <v>17.275099999999998</v>
      </c>
      <c r="I83" s="24">
        <v>23.978000000000002</v>
      </c>
      <c r="J83" s="24">
        <v>35.5822</v>
      </c>
      <c r="K83" s="24">
        <v>84.993499999999997</v>
      </c>
      <c r="L83" s="33"/>
      <c r="N83" s="38">
        <f t="shared" si="14"/>
        <v>1.6000000000000003</v>
      </c>
      <c r="O83" s="46">
        <f t="shared" si="6"/>
        <v>1.6000000000000003</v>
      </c>
      <c r="P83" s="39">
        <f t="shared" si="7"/>
        <v>3</v>
      </c>
      <c r="Q83" s="43">
        <f t="shared" si="8"/>
        <v>0.73217193713761486</v>
      </c>
      <c r="R83" s="43">
        <f t="shared" si="9"/>
        <v>0.77666509274503992</v>
      </c>
      <c r="S83" s="43">
        <f t="shared" si="10"/>
        <v>0.83027054425673685</v>
      </c>
      <c r="T83" s="43">
        <f t="shared" si="11"/>
        <v>0.85522187376791781</v>
      </c>
      <c r="U83" s="43">
        <f t="shared" si="12"/>
        <v>0.88459786040824639</v>
      </c>
      <c r="V83" s="39" t="str">
        <f t="shared" si="13"/>
        <v>324</v>
      </c>
      <c r="W83" s="39" t="str">
        <f t="shared" si="13"/>
        <v>334</v>
      </c>
      <c r="X83" s="39" t="str">
        <f t="shared" si="13"/>
        <v>344</v>
      </c>
      <c r="Y83" s="39" t="str">
        <f t="shared" si="13"/>
        <v>354</v>
      </c>
      <c r="Z83" s="39" t="str">
        <f t="shared" si="13"/>
        <v>364</v>
      </c>
    </row>
    <row r="84" spans="1:26" x14ac:dyDescent="0.2">
      <c r="A84" s="20">
        <f t="shared" si="18"/>
        <v>1</v>
      </c>
      <c r="B84" s="20">
        <f t="shared" si="2"/>
        <v>0</v>
      </c>
      <c r="C84" s="20">
        <f t="shared" si="16"/>
        <v>4</v>
      </c>
      <c r="D84" s="20" t="str">
        <f t="shared" si="3"/>
        <v>IE2 (Eff1)</v>
      </c>
      <c r="E84" s="20">
        <f t="shared" si="17"/>
        <v>6</v>
      </c>
      <c r="F84" s="34" t="str">
        <f t="shared" si="5"/>
        <v>146</v>
      </c>
      <c r="G84" s="33">
        <v>12</v>
      </c>
      <c r="H84" s="24">
        <v>17.275099999999998</v>
      </c>
      <c r="I84" s="24">
        <v>23.978000000000002</v>
      </c>
      <c r="J84" s="24">
        <v>35.5822</v>
      </c>
      <c r="K84" s="24">
        <v>84.993499999999997</v>
      </c>
      <c r="L84" s="33"/>
      <c r="N84" s="38">
        <f t="shared" si="14"/>
        <v>2.2627416997969525</v>
      </c>
      <c r="O84" s="46">
        <f t="shared" si="6"/>
        <v>2.2627416997969525</v>
      </c>
      <c r="P84" s="39">
        <f t="shared" si="7"/>
        <v>3</v>
      </c>
      <c r="Q84" s="43">
        <f t="shared" si="8"/>
        <v>0.75892657182301482</v>
      </c>
      <c r="R84" s="43">
        <f t="shared" si="9"/>
        <v>0.79882370691070514</v>
      </c>
      <c r="S84" s="43">
        <f t="shared" si="10"/>
        <v>0.84437490025663364</v>
      </c>
      <c r="T84" s="43">
        <f t="shared" si="11"/>
        <v>0.86765146472221322</v>
      </c>
      <c r="U84" s="43">
        <f t="shared" si="12"/>
        <v>0.89541196508793564</v>
      </c>
      <c r="V84" s="39" t="str">
        <f t="shared" si="13"/>
        <v>324</v>
      </c>
      <c r="W84" s="39" t="str">
        <f t="shared" si="13"/>
        <v>334</v>
      </c>
      <c r="X84" s="39" t="str">
        <f t="shared" si="13"/>
        <v>344</v>
      </c>
      <c r="Y84" s="39" t="str">
        <f t="shared" si="13"/>
        <v>354</v>
      </c>
      <c r="Z84" s="39" t="str">
        <f t="shared" si="13"/>
        <v>364</v>
      </c>
    </row>
    <row r="85" spans="1:26" x14ac:dyDescent="0.2">
      <c r="A85" s="20">
        <f t="shared" si="18"/>
        <v>1</v>
      </c>
      <c r="B85" s="20">
        <f t="shared" si="2"/>
        <v>0</v>
      </c>
      <c r="C85" s="20">
        <f t="shared" si="16"/>
        <v>5</v>
      </c>
      <c r="D85" s="20" t="str">
        <f t="shared" si="3"/>
        <v>IE3</v>
      </c>
      <c r="E85" s="20">
        <f t="shared" si="17"/>
        <v>2</v>
      </c>
      <c r="F85" s="34" t="str">
        <f t="shared" si="5"/>
        <v>152</v>
      </c>
      <c r="G85" s="33">
        <v>13</v>
      </c>
      <c r="H85" s="24">
        <v>7.6356000000000002</v>
      </c>
      <c r="I85" s="24">
        <v>4.8235999999999999</v>
      </c>
      <c r="J85" s="24">
        <v>21.090299999999999</v>
      </c>
      <c r="K85" s="24">
        <v>86.099800000000002</v>
      </c>
      <c r="L85" s="33"/>
      <c r="N85" s="38">
        <f t="shared" si="14"/>
        <v>3.2000000000000006</v>
      </c>
      <c r="O85" s="46">
        <f t="shared" si="6"/>
        <v>3.2000000000000006</v>
      </c>
      <c r="P85" s="39">
        <f t="shared" si="7"/>
        <v>3</v>
      </c>
      <c r="Q85" s="43">
        <f t="shared" si="8"/>
        <v>0.78302373432360117</v>
      </c>
      <c r="R85" s="43">
        <f t="shared" si="9"/>
        <v>0.81894654030133007</v>
      </c>
      <c r="S85" s="43">
        <f t="shared" si="10"/>
        <v>0.85762058474796476</v>
      </c>
      <c r="T85" s="43">
        <f t="shared" si="11"/>
        <v>0.87925965727938615</v>
      </c>
      <c r="U85" s="43">
        <f t="shared" si="12"/>
        <v>0.9052726729406454</v>
      </c>
      <c r="V85" s="39" t="str">
        <f t="shared" ref="V85:Z94" si="19">CONCATENATE($P85,V$73,$T$70)</f>
        <v>324</v>
      </c>
      <c r="W85" s="39" t="str">
        <f t="shared" si="19"/>
        <v>334</v>
      </c>
      <c r="X85" s="39" t="str">
        <f t="shared" si="19"/>
        <v>344</v>
      </c>
      <c r="Y85" s="39" t="str">
        <f t="shared" si="19"/>
        <v>354</v>
      </c>
      <c r="Z85" s="39" t="str">
        <f t="shared" si="19"/>
        <v>364</v>
      </c>
    </row>
    <row r="86" spans="1:26" x14ac:dyDescent="0.2">
      <c r="A86" s="20">
        <f t="shared" si="18"/>
        <v>1</v>
      </c>
      <c r="B86" s="20">
        <f t="shared" si="2"/>
        <v>0</v>
      </c>
      <c r="C86" s="20">
        <f t="shared" si="16"/>
        <v>5</v>
      </c>
      <c r="D86" s="20" t="str">
        <f t="shared" si="3"/>
        <v>IE3</v>
      </c>
      <c r="E86" s="20">
        <f t="shared" si="17"/>
        <v>4</v>
      </c>
      <c r="F86" s="34" t="str">
        <f t="shared" si="5"/>
        <v>154</v>
      </c>
      <c r="G86" s="33">
        <v>14</v>
      </c>
      <c r="H86" s="24">
        <v>7.6356000000000002</v>
      </c>
      <c r="I86" s="24">
        <v>4.8235999999999999</v>
      </c>
      <c r="J86" s="24">
        <v>21.090299999999999</v>
      </c>
      <c r="K86" s="24">
        <v>86.099800000000002</v>
      </c>
      <c r="L86" s="33"/>
      <c r="N86" s="38">
        <f t="shared" si="14"/>
        <v>4.525483399593905</v>
      </c>
      <c r="O86" s="46">
        <f t="shared" si="6"/>
        <v>4.525483399593905</v>
      </c>
      <c r="P86" s="39">
        <f t="shared" si="7"/>
        <v>3</v>
      </c>
      <c r="Q86" s="43">
        <f t="shared" si="8"/>
        <v>0.80463806514771663</v>
      </c>
      <c r="R86" s="43">
        <f t="shared" si="9"/>
        <v>0.83714067684623361</v>
      </c>
      <c r="S86" s="43">
        <f t="shared" si="10"/>
        <v>0.87001328541363987</v>
      </c>
      <c r="T86" s="43">
        <f t="shared" si="11"/>
        <v>0.89006226647141273</v>
      </c>
      <c r="U86" s="43">
        <f t="shared" si="12"/>
        <v>0.91422933177637167</v>
      </c>
      <c r="V86" s="39" t="str">
        <f t="shared" si="19"/>
        <v>324</v>
      </c>
      <c r="W86" s="39" t="str">
        <f t="shared" si="19"/>
        <v>334</v>
      </c>
      <c r="X86" s="39" t="str">
        <f t="shared" si="19"/>
        <v>344</v>
      </c>
      <c r="Y86" s="39" t="str">
        <f t="shared" si="19"/>
        <v>354</v>
      </c>
      <c r="Z86" s="39" t="str">
        <f t="shared" si="19"/>
        <v>364</v>
      </c>
    </row>
    <row r="87" spans="1:26" x14ac:dyDescent="0.2">
      <c r="A87" s="20">
        <f t="shared" si="18"/>
        <v>1</v>
      </c>
      <c r="B87" s="20">
        <f t="shared" si="2"/>
        <v>0</v>
      </c>
      <c r="C87" s="20">
        <f t="shared" si="16"/>
        <v>5</v>
      </c>
      <c r="D87" s="20" t="str">
        <f t="shared" si="3"/>
        <v>IE3</v>
      </c>
      <c r="E87" s="20">
        <f t="shared" si="17"/>
        <v>6</v>
      </c>
      <c r="F87" s="34" t="str">
        <f t="shared" si="5"/>
        <v>156</v>
      </c>
      <c r="G87" s="33">
        <v>15</v>
      </c>
      <c r="H87" s="24">
        <v>7.6356000000000002</v>
      </c>
      <c r="I87" s="24">
        <v>4.8235999999999999</v>
      </c>
      <c r="J87" s="24">
        <v>21.090299999999999</v>
      </c>
      <c r="K87" s="24">
        <v>86.099800000000002</v>
      </c>
      <c r="L87" s="33"/>
      <c r="N87" s="38">
        <f t="shared" si="14"/>
        <v>6.4000000000000012</v>
      </c>
      <c r="O87" s="46">
        <f t="shared" si="6"/>
        <v>6.4000000000000012</v>
      </c>
      <c r="P87" s="39">
        <f t="shared" si="7"/>
        <v>3</v>
      </c>
      <c r="Q87" s="43">
        <f t="shared" si="8"/>
        <v>0.82394420480370401</v>
      </c>
      <c r="R87" s="43">
        <f t="shared" si="9"/>
        <v>0.85351320047473422</v>
      </c>
      <c r="S87" s="43">
        <f t="shared" si="10"/>
        <v>0.88155868993656927</v>
      </c>
      <c r="T87" s="43">
        <f t="shared" si="11"/>
        <v>0.9000751073302693</v>
      </c>
      <c r="U87" s="43">
        <f t="shared" si="12"/>
        <v>0.92233128940510956</v>
      </c>
      <c r="V87" s="39" t="str">
        <f t="shared" si="19"/>
        <v>324</v>
      </c>
      <c r="W87" s="39" t="str">
        <f t="shared" si="19"/>
        <v>334</v>
      </c>
      <c r="X87" s="39" t="str">
        <f t="shared" si="19"/>
        <v>344</v>
      </c>
      <c r="Y87" s="39" t="str">
        <f t="shared" si="19"/>
        <v>354</v>
      </c>
      <c r="Z87" s="39" t="str">
        <f t="shared" si="19"/>
        <v>364</v>
      </c>
    </row>
    <row r="88" spans="1:26" x14ac:dyDescent="0.2">
      <c r="A88" s="20">
        <f>A87</f>
        <v>1</v>
      </c>
      <c r="B88" s="20">
        <f t="shared" si="2"/>
        <v>0</v>
      </c>
      <c r="C88" s="20">
        <f>C85+1</f>
        <v>6</v>
      </c>
      <c r="D88" s="20" t="str">
        <f t="shared" si="3"/>
        <v>IE4</v>
      </c>
      <c r="E88" s="20">
        <f>E85</f>
        <v>2</v>
      </c>
      <c r="F88" s="34" t="str">
        <f t="shared" si="5"/>
        <v>162</v>
      </c>
      <c r="G88" s="33">
        <v>16</v>
      </c>
      <c r="H88" s="24">
        <v>8.4320000000000004</v>
      </c>
      <c r="I88" s="24">
        <v>2.6888000000000001</v>
      </c>
      <c r="J88" s="24">
        <v>14.6236</v>
      </c>
      <c r="K88" s="24">
        <v>87.615300000000005</v>
      </c>
      <c r="L88" s="33"/>
      <c r="N88" s="38">
        <f t="shared" si="14"/>
        <v>9.05096679918781</v>
      </c>
      <c r="O88" s="46">
        <f t="shared" si="6"/>
        <v>9.05096679918781</v>
      </c>
      <c r="P88" s="39">
        <f t="shared" si="7"/>
        <v>3</v>
      </c>
      <c r="Q88" s="43">
        <f t="shared" si="8"/>
        <v>0.84111679379990589</v>
      </c>
      <c r="R88" s="43">
        <f t="shared" si="9"/>
        <v>0.86817119511615104</v>
      </c>
      <c r="S88" s="43">
        <f t="shared" si="10"/>
        <v>0.89226248599966251</v>
      </c>
      <c r="T88" s="43">
        <f t="shared" si="11"/>
        <v>0.90931399488793219</v>
      </c>
      <c r="U88" s="43">
        <f t="shared" si="12"/>
        <v>0.92962789363685505</v>
      </c>
      <c r="V88" s="39" t="str">
        <f t="shared" si="19"/>
        <v>324</v>
      </c>
      <c r="W88" s="39" t="str">
        <f t="shared" si="19"/>
        <v>334</v>
      </c>
      <c r="X88" s="39" t="str">
        <f t="shared" si="19"/>
        <v>344</v>
      </c>
      <c r="Y88" s="39" t="str">
        <f t="shared" si="19"/>
        <v>354</v>
      </c>
      <c r="Z88" s="39" t="str">
        <f t="shared" si="19"/>
        <v>364</v>
      </c>
    </row>
    <row r="89" spans="1:26" x14ac:dyDescent="0.2">
      <c r="A89" s="20">
        <f t="shared" ref="A89:A93" si="20">A88</f>
        <v>1</v>
      </c>
      <c r="B89" s="20">
        <f t="shared" si="2"/>
        <v>0</v>
      </c>
      <c r="C89" s="20">
        <f t="shared" si="16"/>
        <v>6</v>
      </c>
      <c r="D89" s="20" t="str">
        <f t="shared" si="3"/>
        <v>IE4</v>
      </c>
      <c r="E89" s="20">
        <f t="shared" si="17"/>
        <v>4</v>
      </c>
      <c r="F89" s="34" t="str">
        <f t="shared" si="5"/>
        <v>164</v>
      </c>
      <c r="G89" s="33">
        <v>17</v>
      </c>
      <c r="H89" s="24">
        <v>8.4320000000000004</v>
      </c>
      <c r="I89" s="24">
        <v>2.6888000000000001</v>
      </c>
      <c r="J89" s="24">
        <v>14.6236</v>
      </c>
      <c r="K89" s="24">
        <v>87.615300000000005</v>
      </c>
      <c r="L89" s="33"/>
      <c r="N89" s="38">
        <f t="shared" si="14"/>
        <v>12.800000000000002</v>
      </c>
      <c r="O89" s="46">
        <f t="shared" si="6"/>
        <v>12.800000000000002</v>
      </c>
      <c r="P89" s="39">
        <f t="shared" si="7"/>
        <v>3</v>
      </c>
      <c r="Q89" s="43">
        <f t="shared" si="8"/>
        <v>0.85633047264466511</v>
      </c>
      <c r="R89" s="43">
        <f t="shared" si="9"/>
        <v>0.88122174469980308</v>
      </c>
      <c r="S89" s="43">
        <f t="shared" si="10"/>
        <v>0.9021303612858298</v>
      </c>
      <c r="T89" s="43">
        <f t="shared" si="11"/>
        <v>0.91779474417637719</v>
      </c>
      <c r="U89" s="43">
        <f t="shared" si="12"/>
        <v>0.93616849228160348</v>
      </c>
      <c r="V89" s="39" t="str">
        <f t="shared" si="19"/>
        <v>324</v>
      </c>
      <c r="W89" s="39" t="str">
        <f t="shared" si="19"/>
        <v>334</v>
      </c>
      <c r="X89" s="39" t="str">
        <f t="shared" si="19"/>
        <v>344</v>
      </c>
      <c r="Y89" s="39" t="str">
        <f t="shared" si="19"/>
        <v>354</v>
      </c>
      <c r="Z89" s="39" t="str">
        <f t="shared" si="19"/>
        <v>364</v>
      </c>
    </row>
    <row r="90" spans="1:26" x14ac:dyDescent="0.2">
      <c r="A90" s="20">
        <f t="shared" si="20"/>
        <v>1</v>
      </c>
      <c r="B90" s="20">
        <f t="shared" si="2"/>
        <v>0</v>
      </c>
      <c r="C90" s="20">
        <f t="shared" si="16"/>
        <v>6</v>
      </c>
      <c r="D90" s="20" t="str">
        <f t="shared" si="3"/>
        <v>IE4</v>
      </c>
      <c r="E90" s="20">
        <f t="shared" si="17"/>
        <v>6</v>
      </c>
      <c r="F90" s="34" t="str">
        <f t="shared" si="5"/>
        <v>166</v>
      </c>
      <c r="G90" s="33">
        <v>18</v>
      </c>
      <c r="H90" s="24">
        <v>8.4320000000000004</v>
      </c>
      <c r="I90" s="24">
        <v>2.6888000000000001</v>
      </c>
      <c r="J90" s="24">
        <v>14.6236</v>
      </c>
      <c r="K90" s="24">
        <v>87.615300000000005</v>
      </c>
      <c r="L90" s="33"/>
      <c r="N90" s="38">
        <f t="shared" si="14"/>
        <v>18.10193359837562</v>
      </c>
      <c r="O90" s="46">
        <f t="shared" si="6"/>
        <v>18.10193359837562</v>
      </c>
      <c r="P90" s="39">
        <f t="shared" si="7"/>
        <v>3</v>
      </c>
      <c r="Q90" s="43">
        <f t="shared" si="8"/>
        <v>0.86975988184632447</v>
      </c>
      <c r="R90" s="43">
        <f t="shared" si="9"/>
        <v>0.89277193315500891</v>
      </c>
      <c r="S90" s="43">
        <f t="shared" si="10"/>
        <v>0.91116800347798099</v>
      </c>
      <c r="T90" s="43">
        <f t="shared" si="11"/>
        <v>0.92553317022758075</v>
      </c>
      <c r="U90" s="43">
        <f t="shared" si="12"/>
        <v>0.94200243314935084</v>
      </c>
      <c r="V90" s="39" t="str">
        <f t="shared" si="19"/>
        <v>324</v>
      </c>
      <c r="W90" s="39" t="str">
        <f t="shared" si="19"/>
        <v>334</v>
      </c>
      <c r="X90" s="39" t="str">
        <f t="shared" si="19"/>
        <v>344</v>
      </c>
      <c r="Y90" s="39" t="str">
        <f t="shared" si="19"/>
        <v>354</v>
      </c>
      <c r="Z90" s="39" t="str">
        <f t="shared" si="19"/>
        <v>364</v>
      </c>
    </row>
    <row r="91" spans="1:26" x14ac:dyDescent="0.2">
      <c r="A91" s="20">
        <f t="shared" si="20"/>
        <v>1</v>
      </c>
      <c r="B91" s="20">
        <f t="shared" si="2"/>
        <v>0</v>
      </c>
      <c r="C91" s="20">
        <f t="shared" si="16"/>
        <v>7</v>
      </c>
      <c r="D91" s="20" t="str">
        <f t="shared" si="3"/>
        <v>IE5</v>
      </c>
      <c r="E91" s="20">
        <f t="shared" si="17"/>
        <v>2</v>
      </c>
      <c r="F91" s="34" t="str">
        <f t="shared" si="5"/>
        <v>172</v>
      </c>
      <c r="G91" s="33">
        <v>19</v>
      </c>
      <c r="H91" s="24">
        <v>8.4320000000000004</v>
      </c>
      <c r="I91" s="24">
        <v>2.6888000000000001</v>
      </c>
      <c r="J91" s="24">
        <v>14.6236</v>
      </c>
      <c r="K91" s="24">
        <v>87.615300000000005</v>
      </c>
      <c r="L91" s="33"/>
      <c r="N91" s="38">
        <f t="shared" si="14"/>
        <v>25.600000000000005</v>
      </c>
      <c r="O91" s="46">
        <f t="shared" si="6"/>
        <v>25.600000000000005</v>
      </c>
      <c r="P91" s="39">
        <f t="shared" si="7"/>
        <v>3</v>
      </c>
      <c r="Q91" s="43">
        <f t="shared" si="8"/>
        <v>0.88157966191322645</v>
      </c>
      <c r="R91" s="43">
        <f t="shared" si="9"/>
        <v>0.90292884441108756</v>
      </c>
      <c r="S91" s="43">
        <f t="shared" si="10"/>
        <v>0.9193811002590262</v>
      </c>
      <c r="T91" s="43">
        <f t="shared" si="11"/>
        <v>0.93254508807351921</v>
      </c>
      <c r="U91" s="43">
        <f t="shared" si="12"/>
        <v>0.94717906405009245</v>
      </c>
      <c r="V91" s="39" t="str">
        <f t="shared" si="19"/>
        <v>324</v>
      </c>
      <c r="W91" s="39" t="str">
        <f t="shared" si="19"/>
        <v>334</v>
      </c>
      <c r="X91" s="39" t="str">
        <f t="shared" si="19"/>
        <v>344</v>
      </c>
      <c r="Y91" s="39" t="str">
        <f t="shared" si="19"/>
        <v>354</v>
      </c>
      <c r="Z91" s="39" t="str">
        <f t="shared" si="19"/>
        <v>364</v>
      </c>
    </row>
    <row r="92" spans="1:26" x14ac:dyDescent="0.2">
      <c r="A92" s="20">
        <f t="shared" si="20"/>
        <v>1</v>
      </c>
      <c r="B92" s="20">
        <f t="shared" si="2"/>
        <v>0</v>
      </c>
      <c r="C92" s="20">
        <f t="shared" si="16"/>
        <v>7</v>
      </c>
      <c r="D92" s="20" t="str">
        <f t="shared" si="3"/>
        <v>IE5</v>
      </c>
      <c r="E92" s="20">
        <f t="shared" si="17"/>
        <v>4</v>
      </c>
      <c r="F92" s="34" t="str">
        <f t="shared" si="5"/>
        <v>174</v>
      </c>
      <c r="G92" s="33">
        <v>20</v>
      </c>
      <c r="H92" s="24">
        <v>8.4320000000000004</v>
      </c>
      <c r="I92" s="24">
        <v>2.6888000000000001</v>
      </c>
      <c r="J92" s="24">
        <v>14.6236</v>
      </c>
      <c r="K92" s="24">
        <v>87.615300000000005</v>
      </c>
      <c r="L92" s="33"/>
      <c r="N92" s="38">
        <f t="shared" si="14"/>
        <v>36.20386719675124</v>
      </c>
      <c r="O92" s="46">
        <f t="shared" si="6"/>
        <v>36.20386719675124</v>
      </c>
      <c r="P92" s="39">
        <f t="shared" si="7"/>
        <v>3</v>
      </c>
      <c r="Q92" s="43">
        <f t="shared" si="8"/>
        <v>0.89196445335371388</v>
      </c>
      <c r="R92" s="43">
        <f t="shared" si="9"/>
        <v>0.91179956239735782</v>
      </c>
      <c r="S92" s="43">
        <f t="shared" si="10"/>
        <v>0.92677533931187495</v>
      </c>
      <c r="T92" s="43">
        <f t="shared" si="11"/>
        <v>0.9388463127461687</v>
      </c>
      <c r="U92" s="43">
        <f t="shared" si="12"/>
        <v>0.95174773279382407</v>
      </c>
      <c r="V92" s="39" t="str">
        <f t="shared" si="19"/>
        <v>324</v>
      </c>
      <c r="W92" s="39" t="str">
        <f t="shared" si="19"/>
        <v>334</v>
      </c>
      <c r="X92" s="39" t="str">
        <f t="shared" si="19"/>
        <v>344</v>
      </c>
      <c r="Y92" s="39" t="str">
        <f t="shared" si="19"/>
        <v>354</v>
      </c>
      <c r="Z92" s="39" t="str">
        <f t="shared" si="19"/>
        <v>364</v>
      </c>
    </row>
    <row r="93" spans="1:26" x14ac:dyDescent="0.2">
      <c r="A93" s="20">
        <f t="shared" si="20"/>
        <v>1</v>
      </c>
      <c r="B93" s="20">
        <f t="shared" si="2"/>
        <v>0</v>
      </c>
      <c r="C93" s="20">
        <f t="shared" si="16"/>
        <v>7</v>
      </c>
      <c r="D93" s="20" t="str">
        <f t="shared" si="3"/>
        <v>IE5</v>
      </c>
      <c r="E93" s="20">
        <f t="shared" si="17"/>
        <v>6</v>
      </c>
      <c r="F93" s="34" t="str">
        <f t="shared" si="5"/>
        <v>176</v>
      </c>
      <c r="G93" s="33">
        <v>21</v>
      </c>
      <c r="H93" s="24">
        <v>8.4320000000000004</v>
      </c>
      <c r="I93" s="24">
        <v>2.6888000000000001</v>
      </c>
      <c r="J93" s="24">
        <v>14.6236</v>
      </c>
      <c r="K93" s="24">
        <v>87.615300000000005</v>
      </c>
      <c r="L93" s="33"/>
      <c r="N93" s="38">
        <f t="shared" si="14"/>
        <v>51.20000000000001</v>
      </c>
      <c r="O93" s="46">
        <f t="shared" si="6"/>
        <v>51.20000000000001</v>
      </c>
      <c r="P93" s="39">
        <f t="shared" si="7"/>
        <v>3</v>
      </c>
      <c r="Q93" s="43">
        <f t="shared" si="8"/>
        <v>0.90108889667612968</v>
      </c>
      <c r="R93" s="43">
        <f t="shared" si="9"/>
        <v>0.9194911710431386</v>
      </c>
      <c r="S93" s="43">
        <f t="shared" si="10"/>
        <v>0.93335640831943767</v>
      </c>
      <c r="T93" s="43">
        <f t="shared" si="11"/>
        <v>0.94445265927750521</v>
      </c>
      <c r="U93" s="43">
        <f t="shared" si="12"/>
        <v>0.95575778719054139</v>
      </c>
      <c r="V93" s="39" t="str">
        <f t="shared" si="19"/>
        <v>324</v>
      </c>
      <c r="W93" s="39" t="str">
        <f t="shared" si="19"/>
        <v>334</v>
      </c>
      <c r="X93" s="39" t="str">
        <f t="shared" si="19"/>
        <v>344</v>
      </c>
      <c r="Y93" s="39" t="str">
        <f t="shared" si="19"/>
        <v>354</v>
      </c>
      <c r="Z93" s="39" t="str">
        <f t="shared" si="19"/>
        <v>364</v>
      </c>
    </row>
    <row r="94" spans="1:26" x14ac:dyDescent="0.2">
      <c r="A94" s="18">
        <v>2</v>
      </c>
      <c r="B94" s="20">
        <f t="shared" si="2"/>
        <v>0.12</v>
      </c>
      <c r="C94" s="20">
        <f>C73</f>
        <v>1</v>
      </c>
      <c r="D94" s="20" t="str">
        <f t="shared" si="3"/>
        <v>&lt;IE0</v>
      </c>
      <c r="E94" s="20">
        <f t="shared" si="17"/>
        <v>2</v>
      </c>
      <c r="F94" s="34" t="str">
        <f t="shared" si="5"/>
        <v>212</v>
      </c>
      <c r="G94" s="33">
        <v>22</v>
      </c>
      <c r="H94" s="24">
        <v>1.01</v>
      </c>
      <c r="I94" s="24">
        <v>-7.8</v>
      </c>
      <c r="J94" s="24">
        <v>23.5</v>
      </c>
      <c r="K94" s="24">
        <v>66.599999999999994</v>
      </c>
      <c r="L94" s="33"/>
      <c r="N94" s="38">
        <f t="shared" si="14"/>
        <v>72.40773439350248</v>
      </c>
      <c r="O94" s="46">
        <f t="shared" si="6"/>
        <v>72.40773439350248</v>
      </c>
      <c r="P94" s="39">
        <f t="shared" si="7"/>
        <v>3</v>
      </c>
      <c r="Q94" s="43">
        <f t="shared" si="8"/>
        <v>0.90912763238881633</v>
      </c>
      <c r="R94" s="43">
        <f t="shared" si="9"/>
        <v>0.9261107542777488</v>
      </c>
      <c r="S94" s="43">
        <f t="shared" si="10"/>
        <v>0.9391299949646239</v>
      </c>
      <c r="T94" s="43">
        <f t="shared" si="11"/>
        <v>0.94937994269950521</v>
      </c>
      <c r="U94" s="43">
        <f t="shared" si="12"/>
        <v>0.95925857505023981</v>
      </c>
      <c r="V94" s="39" t="str">
        <f t="shared" si="19"/>
        <v>324</v>
      </c>
      <c r="W94" s="39" t="str">
        <f t="shared" si="19"/>
        <v>334</v>
      </c>
      <c r="X94" s="39" t="str">
        <f t="shared" si="19"/>
        <v>344</v>
      </c>
      <c r="Y94" s="39" t="str">
        <f t="shared" si="19"/>
        <v>354</v>
      </c>
      <c r="Z94" s="39" t="str">
        <f t="shared" si="19"/>
        <v>364</v>
      </c>
    </row>
    <row r="95" spans="1:26" x14ac:dyDescent="0.2">
      <c r="A95" s="20">
        <f>A94</f>
        <v>2</v>
      </c>
      <c r="B95" s="20">
        <f t="shared" si="2"/>
        <v>0.12</v>
      </c>
      <c r="C95" s="20">
        <f>C74</f>
        <v>1</v>
      </c>
      <c r="D95" s="20" t="str">
        <f t="shared" si="3"/>
        <v>&lt;IE0</v>
      </c>
      <c r="E95" s="20">
        <f t="shared" si="17"/>
        <v>4</v>
      </c>
      <c r="F95" s="34" t="str">
        <f t="shared" si="5"/>
        <v>214</v>
      </c>
      <c r="G95" s="33">
        <v>23</v>
      </c>
      <c r="H95" s="24">
        <v>1.01</v>
      </c>
      <c r="I95" s="24">
        <v>-7.8</v>
      </c>
      <c r="J95" s="24">
        <v>23.5</v>
      </c>
      <c r="K95" s="24">
        <v>66.599999999999994</v>
      </c>
      <c r="L95" s="33"/>
      <c r="N95" s="38">
        <f t="shared" si="14"/>
        <v>102.40000000000002</v>
      </c>
      <c r="O95" s="46">
        <f t="shared" si="6"/>
        <v>102.40000000000002</v>
      </c>
      <c r="P95" s="39">
        <f t="shared" si="7"/>
        <v>3</v>
      </c>
      <c r="Q95" s="43">
        <f t="shared" si="8"/>
        <v>0.91625530100011654</v>
      </c>
      <c r="R95" s="43">
        <f t="shared" si="9"/>
        <v>0.93176539603050712</v>
      </c>
      <c r="S95" s="43">
        <f t="shared" si="10"/>
        <v>0.94410178693034397</v>
      </c>
      <c r="T95" s="43">
        <f t="shared" si="11"/>
        <v>0.9536439780441448</v>
      </c>
      <c r="U95" s="43">
        <f t="shared" si="12"/>
        <v>0.96229944418291524</v>
      </c>
      <c r="V95" s="39" t="str">
        <f t="shared" ref="V95:Z102" si="21">CONCATENATE($P95,V$73,$T$70)</f>
        <v>324</v>
      </c>
      <c r="W95" s="39" t="str">
        <f t="shared" si="21"/>
        <v>334</v>
      </c>
      <c r="X95" s="39" t="str">
        <f t="shared" si="21"/>
        <v>344</v>
      </c>
      <c r="Y95" s="39" t="str">
        <f t="shared" si="21"/>
        <v>354</v>
      </c>
      <c r="Z95" s="39" t="str">
        <f t="shared" si="21"/>
        <v>364</v>
      </c>
    </row>
    <row r="96" spans="1:26" x14ac:dyDescent="0.2">
      <c r="A96" s="20">
        <f t="shared" ref="A96:A114" si="22">A95</f>
        <v>2</v>
      </c>
      <c r="B96" s="20">
        <f t="shared" si="2"/>
        <v>0.12</v>
      </c>
      <c r="C96" s="20">
        <f t="shared" ref="C96:C135" si="23">C75</f>
        <v>1</v>
      </c>
      <c r="D96" s="20" t="str">
        <f t="shared" si="3"/>
        <v>&lt;IE0</v>
      </c>
      <c r="E96" s="20">
        <f t="shared" si="17"/>
        <v>6</v>
      </c>
      <c r="F96" s="34" t="str">
        <f t="shared" si="5"/>
        <v>216</v>
      </c>
      <c r="G96" s="33">
        <v>24</v>
      </c>
      <c r="H96" s="24">
        <v>1.01</v>
      </c>
      <c r="I96" s="24">
        <v>-7.8</v>
      </c>
      <c r="J96" s="24">
        <v>23.5</v>
      </c>
      <c r="K96" s="24">
        <v>66.599999999999994</v>
      </c>
      <c r="L96" s="33"/>
      <c r="N96" s="38">
        <f t="shared" si="14"/>
        <v>144.81546878700496</v>
      </c>
      <c r="O96" s="46">
        <f t="shared" si="6"/>
        <v>144.81546878700496</v>
      </c>
      <c r="P96" s="39">
        <f t="shared" si="7"/>
        <v>3</v>
      </c>
      <c r="Q96" s="43">
        <f t="shared" si="8"/>
        <v>0.92264654301837323</v>
      </c>
      <c r="R96" s="43">
        <f t="shared" si="9"/>
        <v>0.93656218023073246</v>
      </c>
      <c r="S96" s="43">
        <f t="shared" si="10"/>
        <v>0.9482774718995074</v>
      </c>
      <c r="T96" s="43">
        <f t="shared" si="11"/>
        <v>0.95726058034340022</v>
      </c>
      <c r="U96" s="43">
        <f t="shared" si="12"/>
        <v>0.964929742398563</v>
      </c>
      <c r="V96" s="39" t="str">
        <f t="shared" si="21"/>
        <v>324</v>
      </c>
      <c r="W96" s="39" t="str">
        <f t="shared" si="21"/>
        <v>334</v>
      </c>
      <c r="X96" s="39" t="str">
        <f t="shared" si="21"/>
        <v>344</v>
      </c>
      <c r="Y96" s="39" t="str">
        <f t="shared" si="21"/>
        <v>354</v>
      </c>
      <c r="Z96" s="39" t="str">
        <f t="shared" si="21"/>
        <v>364</v>
      </c>
    </row>
    <row r="97" spans="1:26" x14ac:dyDescent="0.2">
      <c r="A97" s="20">
        <f t="shared" si="22"/>
        <v>2</v>
      </c>
      <c r="B97" s="20">
        <f t="shared" si="2"/>
        <v>0.12</v>
      </c>
      <c r="C97" s="20">
        <f t="shared" si="23"/>
        <v>2</v>
      </c>
      <c r="D97" s="20" t="str">
        <f t="shared" si="3"/>
        <v>IE0 (Eff3)</v>
      </c>
      <c r="E97" s="20">
        <f t="shared" si="17"/>
        <v>2</v>
      </c>
      <c r="F97" s="34" t="str">
        <f t="shared" si="5"/>
        <v>222</v>
      </c>
      <c r="G97" s="33">
        <v>25</v>
      </c>
      <c r="H97" s="24">
        <v>0.85360999999999998</v>
      </c>
      <c r="I97" s="24">
        <v>-6.7732999999999999</v>
      </c>
      <c r="J97" s="24">
        <v>21.3553</v>
      </c>
      <c r="K97" s="24">
        <v>69.133099999999999</v>
      </c>
      <c r="L97" s="33"/>
      <c r="N97" s="38">
        <f t="shared" si="14"/>
        <v>204.80000000000004</v>
      </c>
      <c r="O97" s="46">
        <f t="shared" si="6"/>
        <v>200</v>
      </c>
      <c r="P97" s="39">
        <f t="shared" si="7"/>
        <v>3</v>
      </c>
      <c r="Q97" s="43">
        <f t="shared" si="8"/>
        <v>0.92809140342000607</v>
      </c>
      <c r="R97" s="43">
        <f t="shared" si="9"/>
        <v>0.94035304926266194</v>
      </c>
      <c r="S97" s="43">
        <f t="shared" si="10"/>
        <v>0.95145615630824065</v>
      </c>
      <c r="T97" s="43">
        <f t="shared" si="11"/>
        <v>0.96006110569329095</v>
      </c>
      <c r="U97" s="43">
        <f t="shared" si="12"/>
        <v>0.96705404244119875</v>
      </c>
      <c r="V97" s="39" t="str">
        <f t="shared" si="21"/>
        <v>324</v>
      </c>
      <c r="W97" s="39" t="str">
        <f t="shared" si="21"/>
        <v>334</v>
      </c>
      <c r="X97" s="39" t="str">
        <f t="shared" si="21"/>
        <v>344</v>
      </c>
      <c r="Y97" s="39" t="str">
        <f t="shared" si="21"/>
        <v>354</v>
      </c>
      <c r="Z97" s="39" t="str">
        <f t="shared" si="21"/>
        <v>364</v>
      </c>
    </row>
    <row r="98" spans="1:26" x14ac:dyDescent="0.2">
      <c r="A98" s="20">
        <f t="shared" si="22"/>
        <v>2</v>
      </c>
      <c r="B98" s="20">
        <f t="shared" si="2"/>
        <v>0.12</v>
      </c>
      <c r="C98" s="20">
        <f t="shared" si="23"/>
        <v>2</v>
      </c>
      <c r="D98" s="20" t="str">
        <f t="shared" si="3"/>
        <v>IE0 (Eff3)</v>
      </c>
      <c r="E98" s="20">
        <f t="shared" si="17"/>
        <v>4</v>
      </c>
      <c r="F98" s="34" t="str">
        <f t="shared" si="5"/>
        <v>224</v>
      </c>
      <c r="G98" s="33">
        <v>26</v>
      </c>
      <c r="H98" s="24">
        <v>0.85362000000000005</v>
      </c>
      <c r="I98" s="24">
        <v>-6.7732999999999999</v>
      </c>
      <c r="J98" s="24">
        <v>21.3553</v>
      </c>
      <c r="K98" s="24">
        <v>69.133099999999999</v>
      </c>
      <c r="L98" s="33"/>
      <c r="N98" s="38">
        <f t="shared" si="14"/>
        <v>289.63093757400992</v>
      </c>
      <c r="O98" s="46">
        <f t="shared" si="6"/>
        <v>200</v>
      </c>
      <c r="P98" s="39">
        <f t="shared" si="7"/>
        <v>3</v>
      </c>
      <c r="Q98" s="43">
        <f t="shared" si="8"/>
        <v>0.92809140342000607</v>
      </c>
      <c r="R98" s="43">
        <f t="shared" si="9"/>
        <v>0.94035304926266194</v>
      </c>
      <c r="S98" s="43">
        <f t="shared" si="10"/>
        <v>0.95145615630824065</v>
      </c>
      <c r="T98" s="43">
        <f t="shared" si="11"/>
        <v>0.96006110569329095</v>
      </c>
      <c r="U98" s="43">
        <f t="shared" si="12"/>
        <v>0.96705404244119875</v>
      </c>
      <c r="V98" s="39" t="str">
        <f t="shared" si="21"/>
        <v>324</v>
      </c>
      <c r="W98" s="39" t="str">
        <f t="shared" si="21"/>
        <v>334</v>
      </c>
      <c r="X98" s="39" t="str">
        <f t="shared" si="21"/>
        <v>344</v>
      </c>
      <c r="Y98" s="39" t="str">
        <f t="shared" si="21"/>
        <v>354</v>
      </c>
      <c r="Z98" s="39" t="str">
        <f t="shared" si="21"/>
        <v>364</v>
      </c>
    </row>
    <row r="99" spans="1:26" x14ac:dyDescent="0.2">
      <c r="A99" s="20">
        <f t="shared" si="22"/>
        <v>2</v>
      </c>
      <c r="B99" s="20">
        <f t="shared" si="2"/>
        <v>0.12</v>
      </c>
      <c r="C99" s="20">
        <f t="shared" si="23"/>
        <v>2</v>
      </c>
      <c r="D99" s="20" t="str">
        <f t="shared" si="3"/>
        <v>IE0 (Eff3)</v>
      </c>
      <c r="E99" s="20">
        <f t="shared" si="17"/>
        <v>6</v>
      </c>
      <c r="F99" s="34" t="str">
        <f t="shared" si="5"/>
        <v>226</v>
      </c>
      <c r="G99" s="33">
        <v>27</v>
      </c>
      <c r="H99" s="24">
        <v>0.85363</v>
      </c>
      <c r="I99" s="24">
        <v>-6.7732999999999999</v>
      </c>
      <c r="J99" s="24">
        <v>21.3553</v>
      </c>
      <c r="K99" s="24">
        <v>69.133099999999999</v>
      </c>
      <c r="L99" s="33"/>
      <c r="N99" s="38">
        <f t="shared" si="14"/>
        <v>409.60000000000008</v>
      </c>
      <c r="O99" s="46">
        <f t="shared" si="6"/>
        <v>200</v>
      </c>
      <c r="P99" s="39">
        <f t="shared" si="7"/>
        <v>3</v>
      </c>
      <c r="Q99" s="43">
        <f t="shared" si="8"/>
        <v>0.92809140342000607</v>
      </c>
      <c r="R99" s="43">
        <f t="shared" si="9"/>
        <v>0.94035304926266194</v>
      </c>
      <c r="S99" s="43">
        <f t="shared" si="10"/>
        <v>0.95145615630824065</v>
      </c>
      <c r="T99" s="43">
        <f t="shared" si="11"/>
        <v>0.96006110569329095</v>
      </c>
      <c r="U99" s="43">
        <f t="shared" si="12"/>
        <v>0.96705404244119875</v>
      </c>
      <c r="V99" s="39" t="str">
        <f t="shared" si="21"/>
        <v>324</v>
      </c>
      <c r="W99" s="39" t="str">
        <f t="shared" si="21"/>
        <v>334</v>
      </c>
      <c r="X99" s="39" t="str">
        <f t="shared" si="21"/>
        <v>344</v>
      </c>
      <c r="Y99" s="39" t="str">
        <f t="shared" si="21"/>
        <v>354</v>
      </c>
      <c r="Z99" s="39" t="str">
        <f t="shared" si="21"/>
        <v>364</v>
      </c>
    </row>
    <row r="100" spans="1:26" x14ac:dyDescent="0.2">
      <c r="A100" s="20">
        <f t="shared" si="22"/>
        <v>2</v>
      </c>
      <c r="B100" s="20">
        <f t="shared" si="2"/>
        <v>0.12</v>
      </c>
      <c r="C100" s="20">
        <f t="shared" si="23"/>
        <v>3</v>
      </c>
      <c r="D100" s="20" t="str">
        <f t="shared" si="3"/>
        <v>IE1 (Eff2)</v>
      </c>
      <c r="E100" s="20">
        <f t="shared" si="17"/>
        <v>2</v>
      </c>
      <c r="F100" s="34" t="str">
        <f t="shared" si="5"/>
        <v>232</v>
      </c>
      <c r="G100" s="33">
        <v>28</v>
      </c>
      <c r="H100" s="24">
        <v>16.7271</v>
      </c>
      <c r="I100" s="24">
        <v>12.7136</v>
      </c>
      <c r="J100" s="24">
        <v>25.946999999999999</v>
      </c>
      <c r="K100" s="24">
        <v>76.174000000000007</v>
      </c>
      <c r="L100" s="33"/>
      <c r="N100" s="38">
        <f t="shared" si="14"/>
        <v>579.26187514801984</v>
      </c>
      <c r="O100" s="46">
        <f t="shared" si="6"/>
        <v>200</v>
      </c>
      <c r="P100" s="39">
        <f t="shared" si="7"/>
        <v>3</v>
      </c>
      <c r="Q100" s="43">
        <f t="shared" si="8"/>
        <v>0.92809140342000607</v>
      </c>
      <c r="R100" s="43">
        <f t="shared" si="9"/>
        <v>0.94035304926266194</v>
      </c>
      <c r="S100" s="43">
        <f t="shared" si="10"/>
        <v>0.95145615630824065</v>
      </c>
      <c r="T100" s="43">
        <f t="shared" si="11"/>
        <v>0.96006110569329095</v>
      </c>
      <c r="U100" s="43">
        <f t="shared" si="12"/>
        <v>0.96705404244119875</v>
      </c>
      <c r="V100" s="39" t="str">
        <f t="shared" si="21"/>
        <v>324</v>
      </c>
      <c r="W100" s="39" t="str">
        <f t="shared" si="21"/>
        <v>334</v>
      </c>
      <c r="X100" s="39" t="str">
        <f t="shared" si="21"/>
        <v>344</v>
      </c>
      <c r="Y100" s="39" t="str">
        <f t="shared" si="21"/>
        <v>354</v>
      </c>
      <c r="Z100" s="39" t="str">
        <f t="shared" si="21"/>
        <v>364</v>
      </c>
    </row>
    <row r="101" spans="1:26" x14ac:dyDescent="0.2">
      <c r="A101" s="20">
        <f t="shared" si="22"/>
        <v>2</v>
      </c>
      <c r="B101" s="20">
        <f t="shared" si="2"/>
        <v>0.12</v>
      </c>
      <c r="C101" s="20">
        <f t="shared" si="23"/>
        <v>3</v>
      </c>
      <c r="D101" s="20" t="str">
        <f t="shared" si="3"/>
        <v>IE1 (Eff2)</v>
      </c>
      <c r="E101" s="20">
        <f t="shared" si="17"/>
        <v>4</v>
      </c>
      <c r="F101" s="34" t="str">
        <f t="shared" si="5"/>
        <v>234</v>
      </c>
      <c r="G101" s="33">
        <v>29</v>
      </c>
      <c r="H101" s="33">
        <v>16.7271</v>
      </c>
      <c r="I101" s="33">
        <v>12.7136</v>
      </c>
      <c r="J101" s="33">
        <v>25.946999999999999</v>
      </c>
      <c r="K101" s="33">
        <v>76.174000000000007</v>
      </c>
      <c r="L101" s="33"/>
      <c r="N101" s="38">
        <f t="shared" si="14"/>
        <v>819.20000000000016</v>
      </c>
      <c r="O101" s="46">
        <f t="shared" si="6"/>
        <v>200</v>
      </c>
      <c r="P101" s="39">
        <f t="shared" si="7"/>
        <v>3</v>
      </c>
      <c r="Q101" s="43">
        <f t="shared" si="8"/>
        <v>0.92809140342000607</v>
      </c>
      <c r="R101" s="43">
        <f t="shared" si="9"/>
        <v>0.94035304926266194</v>
      </c>
      <c r="S101" s="43">
        <f t="shared" si="10"/>
        <v>0.95145615630824065</v>
      </c>
      <c r="T101" s="43">
        <f t="shared" si="11"/>
        <v>0.96006110569329095</v>
      </c>
      <c r="U101" s="43">
        <f t="shared" si="12"/>
        <v>0.96705404244119875</v>
      </c>
      <c r="V101" s="39" t="str">
        <f t="shared" si="21"/>
        <v>324</v>
      </c>
      <c r="W101" s="39" t="str">
        <f t="shared" si="21"/>
        <v>334</v>
      </c>
      <c r="X101" s="39" t="str">
        <f t="shared" si="21"/>
        <v>344</v>
      </c>
      <c r="Y101" s="39" t="str">
        <f t="shared" si="21"/>
        <v>354</v>
      </c>
      <c r="Z101" s="39" t="str">
        <f t="shared" si="21"/>
        <v>364</v>
      </c>
    </row>
    <row r="102" spans="1:26" x14ac:dyDescent="0.2">
      <c r="A102" s="20">
        <f t="shared" si="22"/>
        <v>2</v>
      </c>
      <c r="B102" s="20">
        <f t="shared" si="2"/>
        <v>0.12</v>
      </c>
      <c r="C102" s="20">
        <f t="shared" si="23"/>
        <v>3</v>
      </c>
      <c r="D102" s="20" t="str">
        <f t="shared" si="3"/>
        <v>IE1 (Eff2)</v>
      </c>
      <c r="E102" s="20">
        <f t="shared" si="17"/>
        <v>6</v>
      </c>
      <c r="F102" s="34" t="str">
        <f t="shared" si="5"/>
        <v>236</v>
      </c>
      <c r="G102" s="33">
        <v>30</v>
      </c>
      <c r="H102" s="24">
        <v>16.7271</v>
      </c>
      <c r="I102" s="24">
        <v>12.7136</v>
      </c>
      <c r="J102" s="24">
        <v>25.946999999999999</v>
      </c>
      <c r="K102" s="24">
        <v>76.174000000000007</v>
      </c>
      <c r="L102" s="33"/>
      <c r="N102" s="38">
        <f t="shared" si="14"/>
        <v>1158.5237502960397</v>
      </c>
      <c r="O102" s="46">
        <f t="shared" si="6"/>
        <v>200</v>
      </c>
      <c r="P102" s="39">
        <f t="shared" si="7"/>
        <v>3</v>
      </c>
      <c r="Q102" s="43">
        <f t="shared" si="8"/>
        <v>0.92809140342000607</v>
      </c>
      <c r="R102" s="43">
        <f t="shared" si="9"/>
        <v>0.94035304926266194</v>
      </c>
      <c r="S102" s="43">
        <f t="shared" si="10"/>
        <v>0.95145615630824065</v>
      </c>
      <c r="T102" s="43">
        <f t="shared" si="11"/>
        <v>0.96006110569329095</v>
      </c>
      <c r="U102" s="43">
        <f t="shared" si="12"/>
        <v>0.96705404244119875</v>
      </c>
      <c r="V102" s="39" t="str">
        <f t="shared" si="21"/>
        <v>324</v>
      </c>
      <c r="W102" s="39" t="str">
        <f t="shared" si="21"/>
        <v>334</v>
      </c>
      <c r="X102" s="39" t="str">
        <f t="shared" si="21"/>
        <v>344</v>
      </c>
      <c r="Y102" s="39" t="str">
        <f t="shared" si="21"/>
        <v>354</v>
      </c>
      <c r="Z102" s="39" t="str">
        <f t="shared" si="21"/>
        <v>364</v>
      </c>
    </row>
    <row r="103" spans="1:26" x14ac:dyDescent="0.2">
      <c r="A103" s="20">
        <f t="shared" si="22"/>
        <v>2</v>
      </c>
      <c r="B103" s="20">
        <f t="shared" si="2"/>
        <v>0.12</v>
      </c>
      <c r="C103" s="20">
        <f t="shared" si="23"/>
        <v>4</v>
      </c>
      <c r="D103" s="20" t="str">
        <f t="shared" si="3"/>
        <v>IE2 (Eff1)</v>
      </c>
      <c r="E103" s="20">
        <f t="shared" si="17"/>
        <v>2</v>
      </c>
      <c r="F103" s="34" t="str">
        <f t="shared" si="5"/>
        <v>242</v>
      </c>
      <c r="G103" s="33">
        <v>31</v>
      </c>
      <c r="H103" s="24">
        <v>17.275099999999998</v>
      </c>
      <c r="I103" s="24">
        <v>23.978000000000002</v>
      </c>
      <c r="J103" s="24">
        <v>35.5822</v>
      </c>
      <c r="K103" s="24">
        <v>84.993499999999997</v>
      </c>
      <c r="L103" s="33"/>
    </row>
    <row r="104" spans="1:26" x14ac:dyDescent="0.2">
      <c r="A104" s="20">
        <f t="shared" si="22"/>
        <v>2</v>
      </c>
      <c r="B104" s="20">
        <f t="shared" si="2"/>
        <v>0.12</v>
      </c>
      <c r="C104" s="20">
        <f t="shared" si="23"/>
        <v>4</v>
      </c>
      <c r="D104" s="20" t="str">
        <f t="shared" si="3"/>
        <v>IE2 (Eff1)</v>
      </c>
      <c r="E104" s="20">
        <f t="shared" si="17"/>
        <v>4</v>
      </c>
      <c r="F104" s="34" t="str">
        <f t="shared" si="5"/>
        <v>244</v>
      </c>
      <c r="G104" s="33">
        <v>32</v>
      </c>
      <c r="H104" s="33">
        <v>17.275099999999998</v>
      </c>
      <c r="I104" s="33">
        <v>23.978000000000002</v>
      </c>
      <c r="J104" s="33">
        <v>35.5822</v>
      </c>
      <c r="K104" s="33">
        <v>84.993499999999997</v>
      </c>
      <c r="L104" s="33"/>
    </row>
    <row r="105" spans="1:26" x14ac:dyDescent="0.2">
      <c r="A105" s="20">
        <f t="shared" si="22"/>
        <v>2</v>
      </c>
      <c r="B105" s="20">
        <f t="shared" ref="B105:B135" si="24">VLOOKUP(A105,Matrix_Motor.ID.LeistungsKl,2,0)</f>
        <v>0.12</v>
      </c>
      <c r="C105" s="20">
        <f t="shared" si="23"/>
        <v>4</v>
      </c>
      <c r="D105" s="20" t="str">
        <f t="shared" ref="D105:D135" si="25">VLOOKUP(C105,Matrix_Motor.IEID.EffKl,2,0)</f>
        <v>IE2 (Eff1)</v>
      </c>
      <c r="E105" s="20">
        <f t="shared" si="17"/>
        <v>6</v>
      </c>
      <c r="F105" s="34" t="str">
        <f t="shared" si="5"/>
        <v>246</v>
      </c>
      <c r="G105" s="33">
        <v>33</v>
      </c>
      <c r="H105" s="24">
        <v>17.275099999999998</v>
      </c>
      <c r="I105" s="24">
        <v>23.978000000000002</v>
      </c>
      <c r="J105" s="24">
        <v>35.5822</v>
      </c>
      <c r="K105" s="24">
        <v>84.993499999999997</v>
      </c>
      <c r="L105" s="33"/>
    </row>
    <row r="106" spans="1:26" x14ac:dyDescent="0.2">
      <c r="A106" s="20">
        <f t="shared" si="22"/>
        <v>2</v>
      </c>
      <c r="B106" s="20">
        <f t="shared" si="24"/>
        <v>0.12</v>
      </c>
      <c r="C106" s="20">
        <f t="shared" si="23"/>
        <v>5</v>
      </c>
      <c r="D106" s="20" t="str">
        <f t="shared" si="25"/>
        <v>IE3</v>
      </c>
      <c r="E106" s="20">
        <f t="shared" si="17"/>
        <v>2</v>
      </c>
      <c r="F106" s="34" t="str">
        <f t="shared" si="5"/>
        <v>252</v>
      </c>
      <c r="G106" s="33">
        <v>34</v>
      </c>
      <c r="H106" s="24">
        <v>7.6356000000000002</v>
      </c>
      <c r="I106" s="24">
        <v>4.8235999999999999</v>
      </c>
      <c r="J106" s="24">
        <v>21.090299999999999</v>
      </c>
      <c r="K106" s="24">
        <v>86.099800000000002</v>
      </c>
      <c r="L106" s="33"/>
    </row>
    <row r="107" spans="1:26" x14ac:dyDescent="0.2">
      <c r="A107" s="20">
        <f t="shared" si="22"/>
        <v>2</v>
      </c>
      <c r="B107" s="20">
        <f t="shared" si="24"/>
        <v>0.12</v>
      </c>
      <c r="C107" s="20">
        <f t="shared" si="23"/>
        <v>5</v>
      </c>
      <c r="D107" s="20" t="str">
        <f t="shared" si="25"/>
        <v>IE3</v>
      </c>
      <c r="E107" s="20">
        <f t="shared" si="17"/>
        <v>4</v>
      </c>
      <c r="F107" s="34" t="str">
        <f t="shared" si="5"/>
        <v>254</v>
      </c>
      <c r="G107" s="33">
        <v>35</v>
      </c>
      <c r="H107" s="33">
        <v>7.6356000000000002</v>
      </c>
      <c r="I107" s="33">
        <v>4.8235999999999999</v>
      </c>
      <c r="J107" s="33">
        <v>21.090299999999999</v>
      </c>
      <c r="K107" s="33">
        <v>86.099800000000002</v>
      </c>
      <c r="L107" s="33"/>
    </row>
    <row r="108" spans="1:26" x14ac:dyDescent="0.2">
      <c r="A108" s="20">
        <f t="shared" si="22"/>
        <v>2</v>
      </c>
      <c r="B108" s="20">
        <f t="shared" si="24"/>
        <v>0.12</v>
      </c>
      <c r="C108" s="20">
        <f t="shared" si="23"/>
        <v>5</v>
      </c>
      <c r="D108" s="20" t="str">
        <f t="shared" si="25"/>
        <v>IE3</v>
      </c>
      <c r="E108" s="20">
        <f t="shared" si="17"/>
        <v>6</v>
      </c>
      <c r="F108" s="34" t="str">
        <f t="shared" si="5"/>
        <v>256</v>
      </c>
      <c r="G108" s="33">
        <v>36</v>
      </c>
      <c r="H108" s="24">
        <v>7.6356000000000002</v>
      </c>
      <c r="I108" s="24">
        <v>4.8235999999999999</v>
      </c>
      <c r="J108" s="24">
        <v>21.090299999999999</v>
      </c>
      <c r="K108" s="24">
        <v>86.099800000000002</v>
      </c>
      <c r="L108" s="33"/>
    </row>
    <row r="109" spans="1:26" x14ac:dyDescent="0.2">
      <c r="A109" s="20">
        <f t="shared" si="22"/>
        <v>2</v>
      </c>
      <c r="B109" s="20">
        <f t="shared" si="24"/>
        <v>0.12</v>
      </c>
      <c r="C109" s="20">
        <f t="shared" si="23"/>
        <v>6</v>
      </c>
      <c r="D109" s="20" t="str">
        <f t="shared" si="25"/>
        <v>IE4</v>
      </c>
      <c r="E109" s="20">
        <f t="shared" si="17"/>
        <v>2</v>
      </c>
      <c r="F109" s="34" t="str">
        <f t="shared" si="5"/>
        <v>262</v>
      </c>
      <c r="G109" s="33">
        <v>37</v>
      </c>
      <c r="H109" s="24">
        <v>8.4320000000000004</v>
      </c>
      <c r="I109" s="24">
        <v>2.6888000000000001</v>
      </c>
      <c r="J109" s="24">
        <v>14.6236</v>
      </c>
      <c r="K109" s="24">
        <v>87.615300000000005</v>
      </c>
      <c r="L109" s="33"/>
    </row>
    <row r="110" spans="1:26" x14ac:dyDescent="0.2">
      <c r="A110" s="20">
        <f t="shared" si="22"/>
        <v>2</v>
      </c>
      <c r="B110" s="20">
        <f t="shared" si="24"/>
        <v>0.12</v>
      </c>
      <c r="C110" s="20">
        <f t="shared" si="23"/>
        <v>6</v>
      </c>
      <c r="D110" s="20" t="str">
        <f t="shared" si="25"/>
        <v>IE4</v>
      </c>
      <c r="E110" s="20">
        <f t="shared" si="17"/>
        <v>4</v>
      </c>
      <c r="F110" s="34" t="str">
        <f t="shared" si="5"/>
        <v>264</v>
      </c>
      <c r="G110" s="33">
        <v>38</v>
      </c>
      <c r="H110" s="33">
        <v>8.4320000000000004</v>
      </c>
      <c r="I110" s="33">
        <v>2.6888000000000001</v>
      </c>
      <c r="J110" s="33">
        <v>14.6236</v>
      </c>
      <c r="K110" s="33">
        <v>87.615300000000005</v>
      </c>
      <c r="L110" s="33"/>
    </row>
    <row r="111" spans="1:26" x14ac:dyDescent="0.2">
      <c r="A111" s="20">
        <f t="shared" si="22"/>
        <v>2</v>
      </c>
      <c r="B111" s="20">
        <f t="shared" si="24"/>
        <v>0.12</v>
      </c>
      <c r="C111" s="20">
        <f t="shared" si="23"/>
        <v>6</v>
      </c>
      <c r="D111" s="20" t="str">
        <f t="shared" si="25"/>
        <v>IE4</v>
      </c>
      <c r="E111" s="20">
        <f t="shared" si="17"/>
        <v>6</v>
      </c>
      <c r="F111" s="34" t="str">
        <f t="shared" si="5"/>
        <v>266</v>
      </c>
      <c r="G111" s="33">
        <v>39</v>
      </c>
      <c r="H111" s="24">
        <v>8.4320000000000004</v>
      </c>
      <c r="I111" s="24">
        <v>2.6888000000000001</v>
      </c>
      <c r="J111" s="24">
        <v>14.6236</v>
      </c>
      <c r="K111" s="24">
        <v>87.615300000000005</v>
      </c>
      <c r="L111" s="33"/>
    </row>
    <row r="112" spans="1:26" x14ac:dyDescent="0.2">
      <c r="A112" s="20">
        <f t="shared" si="22"/>
        <v>2</v>
      </c>
      <c r="B112" s="20">
        <f t="shared" si="24"/>
        <v>0.12</v>
      </c>
      <c r="C112" s="20">
        <f t="shared" si="23"/>
        <v>7</v>
      </c>
      <c r="D112" s="20" t="str">
        <f t="shared" si="25"/>
        <v>IE5</v>
      </c>
      <c r="E112" s="20">
        <f t="shared" si="17"/>
        <v>2</v>
      </c>
      <c r="F112" s="34" t="str">
        <f t="shared" si="5"/>
        <v>272</v>
      </c>
      <c r="G112" s="33">
        <v>40</v>
      </c>
      <c r="H112" s="24">
        <v>8.4320000000000004</v>
      </c>
      <c r="I112" s="24">
        <v>2.6888000000000001</v>
      </c>
      <c r="J112" s="24">
        <v>14.6236</v>
      </c>
      <c r="K112" s="24">
        <v>87.615300000000005</v>
      </c>
      <c r="L112" s="33"/>
    </row>
    <row r="113" spans="1:12" x14ac:dyDescent="0.2">
      <c r="A113" s="20">
        <f t="shared" si="22"/>
        <v>2</v>
      </c>
      <c r="B113" s="20">
        <f t="shared" si="24"/>
        <v>0.12</v>
      </c>
      <c r="C113" s="20">
        <f t="shared" si="23"/>
        <v>7</v>
      </c>
      <c r="D113" s="20" t="str">
        <f t="shared" si="25"/>
        <v>IE5</v>
      </c>
      <c r="E113" s="20">
        <f t="shared" si="17"/>
        <v>4</v>
      </c>
      <c r="F113" s="34" t="str">
        <f t="shared" si="5"/>
        <v>274</v>
      </c>
      <c r="G113" s="33">
        <v>41</v>
      </c>
      <c r="H113" s="24">
        <v>8.4320000000000004</v>
      </c>
      <c r="I113" s="24">
        <v>2.6888000000000001</v>
      </c>
      <c r="J113" s="24">
        <v>14.6236</v>
      </c>
      <c r="K113" s="24">
        <v>87.615300000000005</v>
      </c>
      <c r="L113" s="33"/>
    </row>
    <row r="114" spans="1:12" x14ac:dyDescent="0.2">
      <c r="A114" s="20">
        <f t="shared" si="22"/>
        <v>2</v>
      </c>
      <c r="B114" s="20">
        <f t="shared" si="24"/>
        <v>0.12</v>
      </c>
      <c r="C114" s="20">
        <f t="shared" si="23"/>
        <v>7</v>
      </c>
      <c r="D114" s="20" t="str">
        <f t="shared" si="25"/>
        <v>IE5</v>
      </c>
      <c r="E114" s="20">
        <f t="shared" si="17"/>
        <v>6</v>
      </c>
      <c r="F114" s="34" t="str">
        <f t="shared" si="5"/>
        <v>276</v>
      </c>
      <c r="G114" s="33">
        <v>42</v>
      </c>
      <c r="H114" s="24">
        <v>8.4320000000000004</v>
      </c>
      <c r="I114" s="24">
        <v>2.6888000000000001</v>
      </c>
      <c r="J114" s="24">
        <v>14.6236</v>
      </c>
      <c r="K114" s="24">
        <v>87.615300000000005</v>
      </c>
      <c r="L114" s="33"/>
    </row>
    <row r="115" spans="1:12" x14ac:dyDescent="0.2">
      <c r="A115" s="18">
        <v>3</v>
      </c>
      <c r="B115" s="20">
        <f t="shared" si="24"/>
        <v>0.75</v>
      </c>
      <c r="C115" s="20">
        <f t="shared" si="23"/>
        <v>1</v>
      </c>
      <c r="D115" s="20" t="str">
        <f t="shared" si="25"/>
        <v>&lt;IE0</v>
      </c>
      <c r="E115" s="20">
        <f t="shared" si="17"/>
        <v>2</v>
      </c>
      <c r="F115" s="34" t="str">
        <f t="shared" si="5"/>
        <v>312</v>
      </c>
      <c r="G115" s="33">
        <v>43</v>
      </c>
      <c r="H115" s="33">
        <v>1.01</v>
      </c>
      <c r="I115" s="33">
        <v>-7.8</v>
      </c>
      <c r="J115" s="33">
        <v>23.5</v>
      </c>
      <c r="K115" s="33">
        <v>66.599999999999994</v>
      </c>
      <c r="L115" s="33"/>
    </row>
    <row r="116" spans="1:12" x14ac:dyDescent="0.2">
      <c r="A116" s="20">
        <f>A115</f>
        <v>3</v>
      </c>
      <c r="B116" s="20">
        <f t="shared" si="24"/>
        <v>0.75</v>
      </c>
      <c r="C116" s="20">
        <f t="shared" si="23"/>
        <v>1</v>
      </c>
      <c r="D116" s="20" t="str">
        <f t="shared" si="25"/>
        <v>&lt;IE0</v>
      </c>
      <c r="E116" s="20">
        <f t="shared" si="17"/>
        <v>4</v>
      </c>
      <c r="F116" s="34" t="str">
        <f t="shared" si="5"/>
        <v>314</v>
      </c>
      <c r="G116" s="33">
        <v>44</v>
      </c>
      <c r="H116" s="33">
        <v>1.01</v>
      </c>
      <c r="I116" s="33">
        <v>-7.8</v>
      </c>
      <c r="J116" s="33">
        <v>23.5</v>
      </c>
      <c r="K116" s="33">
        <v>66.599999999999994</v>
      </c>
      <c r="L116" s="33"/>
    </row>
    <row r="117" spans="1:12" x14ac:dyDescent="0.2">
      <c r="A117" s="20">
        <f t="shared" ref="A117:A135" si="26">A116</f>
        <v>3</v>
      </c>
      <c r="B117" s="20">
        <f t="shared" si="24"/>
        <v>0.75</v>
      </c>
      <c r="C117" s="20">
        <f t="shared" si="23"/>
        <v>1</v>
      </c>
      <c r="D117" s="20" t="str">
        <f t="shared" si="25"/>
        <v>&lt;IE0</v>
      </c>
      <c r="E117" s="20">
        <f t="shared" si="17"/>
        <v>6</v>
      </c>
      <c r="F117" s="34" t="str">
        <f t="shared" si="5"/>
        <v>316</v>
      </c>
      <c r="G117" s="33">
        <v>45</v>
      </c>
      <c r="H117" s="33">
        <v>1.01</v>
      </c>
      <c r="I117" s="33">
        <v>-7.8</v>
      </c>
      <c r="J117" s="33">
        <v>23.5</v>
      </c>
      <c r="K117" s="33">
        <v>66.599999999999994</v>
      </c>
      <c r="L117" s="33"/>
    </row>
    <row r="118" spans="1:12" x14ac:dyDescent="0.2">
      <c r="A118" s="20">
        <f t="shared" si="26"/>
        <v>3</v>
      </c>
      <c r="B118" s="20">
        <f t="shared" si="24"/>
        <v>0.75</v>
      </c>
      <c r="C118" s="20">
        <f t="shared" si="23"/>
        <v>2</v>
      </c>
      <c r="D118" s="20" t="str">
        <f t="shared" si="25"/>
        <v>IE0 (Eff3)</v>
      </c>
      <c r="E118" s="20">
        <f t="shared" si="17"/>
        <v>2</v>
      </c>
      <c r="F118" s="34" t="str">
        <f t="shared" si="5"/>
        <v>322</v>
      </c>
      <c r="G118" s="33">
        <v>46</v>
      </c>
      <c r="H118" s="33">
        <v>0.85360000000000003</v>
      </c>
      <c r="I118" s="33">
        <v>-6.7732999999999999</v>
      </c>
      <c r="J118" s="33">
        <v>21.3553</v>
      </c>
      <c r="K118" s="33">
        <v>69.133099999999999</v>
      </c>
      <c r="L118" s="33"/>
    </row>
    <row r="119" spans="1:12" x14ac:dyDescent="0.2">
      <c r="A119" s="20">
        <f t="shared" si="26"/>
        <v>3</v>
      </c>
      <c r="B119" s="20">
        <f t="shared" si="24"/>
        <v>0.75</v>
      </c>
      <c r="C119" s="20">
        <f t="shared" si="23"/>
        <v>2</v>
      </c>
      <c r="D119" s="20" t="str">
        <f t="shared" si="25"/>
        <v>IE0 (Eff3)</v>
      </c>
      <c r="E119" s="20">
        <f t="shared" si="17"/>
        <v>4</v>
      </c>
      <c r="F119" s="34" t="str">
        <f t="shared" si="5"/>
        <v>324</v>
      </c>
      <c r="G119" s="33">
        <v>47</v>
      </c>
      <c r="H119" s="33">
        <v>0.85360000000000003</v>
      </c>
      <c r="I119" s="33">
        <v>-6.7732999999999999</v>
      </c>
      <c r="J119" s="33">
        <v>21.3553</v>
      </c>
      <c r="K119" s="33">
        <v>69.133099999999999</v>
      </c>
      <c r="L119" s="33"/>
    </row>
    <row r="120" spans="1:12" x14ac:dyDescent="0.2">
      <c r="A120" s="20">
        <f t="shared" si="26"/>
        <v>3</v>
      </c>
      <c r="B120" s="20">
        <f t="shared" si="24"/>
        <v>0.75</v>
      </c>
      <c r="C120" s="20">
        <f t="shared" si="23"/>
        <v>2</v>
      </c>
      <c r="D120" s="20" t="str">
        <f t="shared" si="25"/>
        <v>IE0 (Eff3)</v>
      </c>
      <c r="E120" s="20">
        <f t="shared" si="17"/>
        <v>6</v>
      </c>
      <c r="F120" s="34" t="str">
        <f t="shared" si="5"/>
        <v>326</v>
      </c>
      <c r="G120" s="33">
        <v>48</v>
      </c>
      <c r="H120" s="33">
        <v>0.85360000000000003</v>
      </c>
      <c r="I120" s="33">
        <v>-6.7732999999999999</v>
      </c>
      <c r="J120" s="33">
        <v>21.3553</v>
      </c>
      <c r="K120" s="33">
        <v>69.133099999999999</v>
      </c>
      <c r="L120" s="33"/>
    </row>
    <row r="121" spans="1:12" x14ac:dyDescent="0.2">
      <c r="A121" s="20">
        <f t="shared" si="26"/>
        <v>3</v>
      </c>
      <c r="B121" s="20">
        <f t="shared" si="24"/>
        <v>0.75</v>
      </c>
      <c r="C121" s="20">
        <f t="shared" si="23"/>
        <v>3</v>
      </c>
      <c r="D121" s="20" t="str">
        <f t="shared" si="25"/>
        <v>IE1 (Eff2)</v>
      </c>
      <c r="E121" s="20">
        <f t="shared" si="17"/>
        <v>2</v>
      </c>
      <c r="F121" s="34" t="str">
        <f t="shared" si="5"/>
        <v>332</v>
      </c>
      <c r="G121" s="33">
        <v>49</v>
      </c>
      <c r="H121" s="33">
        <v>0.52339999999999998</v>
      </c>
      <c r="I121" s="33">
        <v>-5.0499000000000001</v>
      </c>
      <c r="J121" s="33">
        <v>17.417999999999999</v>
      </c>
      <c r="K121" s="33">
        <v>74.317099999999996</v>
      </c>
      <c r="L121" s="33"/>
    </row>
    <row r="122" spans="1:12" x14ac:dyDescent="0.2">
      <c r="A122" s="20">
        <f t="shared" si="26"/>
        <v>3</v>
      </c>
      <c r="B122" s="20">
        <f t="shared" si="24"/>
        <v>0.75</v>
      </c>
      <c r="C122" s="20">
        <f t="shared" si="23"/>
        <v>3</v>
      </c>
      <c r="D122" s="20" t="str">
        <f t="shared" si="25"/>
        <v>IE1 (Eff2)</v>
      </c>
      <c r="E122" s="20">
        <f t="shared" si="17"/>
        <v>4</v>
      </c>
      <c r="F122" s="34" t="str">
        <f t="shared" si="5"/>
        <v>334</v>
      </c>
      <c r="G122" s="33">
        <v>50</v>
      </c>
      <c r="H122" s="33">
        <v>0.52339999999999998</v>
      </c>
      <c r="I122" s="33">
        <v>-5.0499000000000001</v>
      </c>
      <c r="J122" s="33">
        <v>17.417999999999999</v>
      </c>
      <c r="K122" s="33">
        <v>74.317099999999996</v>
      </c>
      <c r="L122" s="33"/>
    </row>
    <row r="123" spans="1:12" x14ac:dyDescent="0.2">
      <c r="A123" s="20">
        <f t="shared" si="26"/>
        <v>3</v>
      </c>
      <c r="B123" s="20">
        <f t="shared" si="24"/>
        <v>0.75</v>
      </c>
      <c r="C123" s="20">
        <f t="shared" si="23"/>
        <v>3</v>
      </c>
      <c r="D123" s="20" t="str">
        <f t="shared" si="25"/>
        <v>IE1 (Eff2)</v>
      </c>
      <c r="E123" s="20">
        <f t="shared" si="17"/>
        <v>6</v>
      </c>
      <c r="F123" s="34" t="str">
        <f t="shared" si="5"/>
        <v>336</v>
      </c>
      <c r="G123" s="33">
        <v>51</v>
      </c>
      <c r="H123" s="33">
        <v>7.8600000000000003E-2</v>
      </c>
      <c r="I123" s="33">
        <v>-3.5838000000000001</v>
      </c>
      <c r="J123" s="33">
        <v>17.291799999999999</v>
      </c>
      <c r="K123" s="33">
        <v>72.238299999999995</v>
      </c>
      <c r="L123" s="33"/>
    </row>
    <row r="124" spans="1:12" x14ac:dyDescent="0.2">
      <c r="A124" s="20">
        <f t="shared" si="26"/>
        <v>3</v>
      </c>
      <c r="B124" s="20">
        <f t="shared" si="24"/>
        <v>0.75</v>
      </c>
      <c r="C124" s="20">
        <f t="shared" si="23"/>
        <v>4</v>
      </c>
      <c r="D124" s="20" t="str">
        <f t="shared" si="25"/>
        <v>IE2 (Eff1)</v>
      </c>
      <c r="E124" s="20">
        <f t="shared" si="17"/>
        <v>2</v>
      </c>
      <c r="F124" s="34" t="str">
        <f t="shared" si="5"/>
        <v>342</v>
      </c>
      <c r="G124" s="33">
        <v>52</v>
      </c>
      <c r="H124" s="33">
        <v>0.29720000000000002</v>
      </c>
      <c r="I124" s="33">
        <v>-3.3454000000000002</v>
      </c>
      <c r="J124" s="33">
        <v>13.065099999999999</v>
      </c>
      <c r="K124" s="33">
        <v>79.076999999999998</v>
      </c>
      <c r="L124" s="33"/>
    </row>
    <row r="125" spans="1:12" x14ac:dyDescent="0.2">
      <c r="A125" s="20">
        <f t="shared" si="26"/>
        <v>3</v>
      </c>
      <c r="B125" s="20">
        <f t="shared" si="24"/>
        <v>0.75</v>
      </c>
      <c r="C125" s="20">
        <f t="shared" si="23"/>
        <v>4</v>
      </c>
      <c r="D125" s="20" t="str">
        <f t="shared" si="25"/>
        <v>IE2 (Eff1)</v>
      </c>
      <c r="E125" s="20">
        <f t="shared" si="17"/>
        <v>4</v>
      </c>
      <c r="F125" s="34" t="str">
        <f t="shared" si="5"/>
        <v>344</v>
      </c>
      <c r="G125" s="33">
        <v>53</v>
      </c>
      <c r="H125" s="33">
        <v>2.7799999999999998E-2</v>
      </c>
      <c r="I125" s="33">
        <v>-1.9247000000000001</v>
      </c>
      <c r="J125" s="33">
        <v>10.439500000000001</v>
      </c>
      <c r="K125" s="33">
        <v>80.976100000000002</v>
      </c>
      <c r="L125" s="33"/>
    </row>
    <row r="126" spans="1:12" x14ac:dyDescent="0.2">
      <c r="A126" s="20">
        <f t="shared" si="26"/>
        <v>3</v>
      </c>
      <c r="B126" s="20">
        <f t="shared" si="24"/>
        <v>0.75</v>
      </c>
      <c r="C126" s="20">
        <f t="shared" si="23"/>
        <v>4</v>
      </c>
      <c r="D126" s="20" t="str">
        <f t="shared" si="25"/>
        <v>IE2 (Eff1)</v>
      </c>
      <c r="E126" s="20">
        <f t="shared" si="17"/>
        <v>6</v>
      </c>
      <c r="F126" s="34" t="str">
        <f t="shared" si="5"/>
        <v>346</v>
      </c>
      <c r="G126" s="33">
        <v>54</v>
      </c>
      <c r="H126" s="33">
        <v>1.4800000000000001E-2</v>
      </c>
      <c r="I126" s="33">
        <v>-2.4977999999999998</v>
      </c>
      <c r="J126" s="33">
        <v>13.247</v>
      </c>
      <c r="K126" s="33">
        <v>77.560299999999998</v>
      </c>
      <c r="L126" s="33"/>
    </row>
    <row r="127" spans="1:12" x14ac:dyDescent="0.2">
      <c r="A127" s="20">
        <f t="shared" si="26"/>
        <v>3</v>
      </c>
      <c r="B127" s="20">
        <f t="shared" si="24"/>
        <v>0.75</v>
      </c>
      <c r="C127" s="20">
        <f t="shared" si="23"/>
        <v>5</v>
      </c>
      <c r="D127" s="20" t="str">
        <f t="shared" si="25"/>
        <v>IE3</v>
      </c>
      <c r="E127" s="20">
        <f t="shared" si="17"/>
        <v>2</v>
      </c>
      <c r="F127" s="34" t="str">
        <f t="shared" si="5"/>
        <v>352</v>
      </c>
      <c r="G127" s="33">
        <v>55</v>
      </c>
      <c r="H127" s="33">
        <v>0.3569</v>
      </c>
      <c r="I127" s="33">
        <v>-3.3075999999999999</v>
      </c>
      <c r="J127" s="33">
        <v>11.610799999999999</v>
      </c>
      <c r="K127" s="33">
        <v>82.250299999999996</v>
      </c>
      <c r="L127" s="33"/>
    </row>
    <row r="128" spans="1:12" x14ac:dyDescent="0.2">
      <c r="A128" s="20">
        <f t="shared" si="26"/>
        <v>3</v>
      </c>
      <c r="B128" s="20">
        <f t="shared" si="24"/>
        <v>0.75</v>
      </c>
      <c r="C128" s="20">
        <f t="shared" si="23"/>
        <v>5</v>
      </c>
      <c r="D128" s="20" t="str">
        <f t="shared" si="25"/>
        <v>IE3</v>
      </c>
      <c r="E128" s="20">
        <f t="shared" si="17"/>
        <v>4</v>
      </c>
      <c r="F128" s="34" t="str">
        <f t="shared" si="5"/>
        <v>354</v>
      </c>
      <c r="G128" s="33">
        <v>56</v>
      </c>
      <c r="H128" s="33">
        <v>7.7299999999999994E-2</v>
      </c>
      <c r="I128" s="33">
        <v>-1.8951</v>
      </c>
      <c r="J128" s="33">
        <v>9.2984000000000009</v>
      </c>
      <c r="K128" s="33">
        <v>83.702500000000001</v>
      </c>
      <c r="L128" s="33"/>
    </row>
    <row r="129" spans="1:12" x14ac:dyDescent="0.2">
      <c r="A129" s="20">
        <f t="shared" si="26"/>
        <v>3</v>
      </c>
      <c r="B129" s="20">
        <f t="shared" si="24"/>
        <v>0.75</v>
      </c>
      <c r="C129" s="20">
        <f t="shared" si="23"/>
        <v>5</v>
      </c>
      <c r="D129" s="20" t="str">
        <f t="shared" si="25"/>
        <v>IE3</v>
      </c>
      <c r="E129" s="20">
        <f t="shared" si="17"/>
        <v>6</v>
      </c>
      <c r="F129" s="34" t="str">
        <f t="shared" si="5"/>
        <v>356</v>
      </c>
      <c r="G129" s="33">
        <v>57</v>
      </c>
      <c r="H129" s="33">
        <v>0.12520000000000001</v>
      </c>
      <c r="I129" s="33">
        <v>-2.613</v>
      </c>
      <c r="J129" s="33">
        <v>11.9963</v>
      </c>
      <c r="K129" s="33">
        <v>80.476900000000001</v>
      </c>
      <c r="L129" s="33"/>
    </row>
    <row r="130" spans="1:12" x14ac:dyDescent="0.2">
      <c r="A130" s="20">
        <f t="shared" si="26"/>
        <v>3</v>
      </c>
      <c r="B130" s="20">
        <f t="shared" si="24"/>
        <v>0.75</v>
      </c>
      <c r="C130" s="20">
        <f t="shared" si="23"/>
        <v>6</v>
      </c>
      <c r="D130" s="20" t="str">
        <f t="shared" si="25"/>
        <v>IE4</v>
      </c>
      <c r="E130" s="20">
        <f t="shared" si="17"/>
        <v>2</v>
      </c>
      <c r="F130" s="34" t="str">
        <f t="shared" si="5"/>
        <v>362</v>
      </c>
      <c r="G130" s="33">
        <v>58</v>
      </c>
      <c r="H130" s="24">
        <v>0.2412</v>
      </c>
      <c r="I130" s="24">
        <v>-2.3607999999999998</v>
      </c>
      <c r="J130" s="24">
        <v>8.4459999999999997</v>
      </c>
      <c r="K130" s="24">
        <v>86.832099999999997</v>
      </c>
      <c r="L130" s="33"/>
    </row>
    <row r="131" spans="1:12" x14ac:dyDescent="0.2">
      <c r="A131" s="20">
        <f t="shared" si="26"/>
        <v>3</v>
      </c>
      <c r="B131" s="20">
        <f t="shared" si="24"/>
        <v>0.75</v>
      </c>
      <c r="C131" s="20">
        <f t="shared" si="23"/>
        <v>6</v>
      </c>
      <c r="D131" s="20" t="str">
        <f t="shared" si="25"/>
        <v>IE4</v>
      </c>
      <c r="E131" s="20">
        <f t="shared" si="17"/>
        <v>4</v>
      </c>
      <c r="F131" s="34" t="str">
        <f t="shared" si="5"/>
        <v>364</v>
      </c>
      <c r="G131" s="33">
        <v>59</v>
      </c>
      <c r="H131" s="33">
        <v>0.2412</v>
      </c>
      <c r="I131" s="33">
        <v>-2.3607999999999998</v>
      </c>
      <c r="J131" s="33">
        <v>8.4459999999999997</v>
      </c>
      <c r="K131" s="33">
        <v>86.832099999999997</v>
      </c>
      <c r="L131" s="33"/>
    </row>
    <row r="132" spans="1:12" x14ac:dyDescent="0.2">
      <c r="A132" s="20">
        <f t="shared" si="26"/>
        <v>3</v>
      </c>
      <c r="B132" s="20">
        <f t="shared" si="24"/>
        <v>0.75</v>
      </c>
      <c r="C132" s="20">
        <f t="shared" si="23"/>
        <v>6</v>
      </c>
      <c r="D132" s="20" t="str">
        <f t="shared" si="25"/>
        <v>IE4</v>
      </c>
      <c r="E132" s="20">
        <f t="shared" si="17"/>
        <v>6</v>
      </c>
      <c r="F132" s="34" t="str">
        <f t="shared" si="5"/>
        <v>366</v>
      </c>
      <c r="G132" s="33">
        <v>60</v>
      </c>
      <c r="H132" s="24">
        <v>0.2412</v>
      </c>
      <c r="I132" s="24">
        <v>-2.3607999999999998</v>
      </c>
      <c r="J132" s="24">
        <v>8.4459999999999997</v>
      </c>
      <c r="K132" s="24">
        <v>86.832099999999997</v>
      </c>
      <c r="L132" s="33"/>
    </row>
    <row r="133" spans="1:12" x14ac:dyDescent="0.2">
      <c r="A133" s="20">
        <f t="shared" si="26"/>
        <v>3</v>
      </c>
      <c r="B133" s="20">
        <f t="shared" si="24"/>
        <v>0.75</v>
      </c>
      <c r="C133" s="20">
        <f t="shared" si="23"/>
        <v>7</v>
      </c>
      <c r="D133" s="20" t="str">
        <f t="shared" si="25"/>
        <v>IE5</v>
      </c>
      <c r="E133" s="20">
        <f t="shared" si="17"/>
        <v>2</v>
      </c>
      <c r="F133" s="34" t="str">
        <f t="shared" si="5"/>
        <v>372</v>
      </c>
      <c r="G133" s="33">
        <v>61</v>
      </c>
      <c r="H133" s="24">
        <v>0.2412</v>
      </c>
      <c r="I133" s="24">
        <v>-2.3607999999999998</v>
      </c>
      <c r="J133" s="24">
        <v>8.4459999999999997</v>
      </c>
      <c r="K133" s="24">
        <v>86.832099999999997</v>
      </c>
      <c r="L133" s="33"/>
    </row>
    <row r="134" spans="1:12" x14ac:dyDescent="0.2">
      <c r="A134" s="20">
        <f t="shared" si="26"/>
        <v>3</v>
      </c>
      <c r="B134" s="20">
        <f t="shared" si="24"/>
        <v>0.75</v>
      </c>
      <c r="C134" s="20">
        <f t="shared" si="23"/>
        <v>7</v>
      </c>
      <c r="D134" s="20" t="str">
        <f t="shared" si="25"/>
        <v>IE5</v>
      </c>
      <c r="E134" s="20">
        <f t="shared" si="17"/>
        <v>4</v>
      </c>
      <c r="F134" s="34" t="str">
        <f t="shared" si="5"/>
        <v>374</v>
      </c>
      <c r="G134" s="33">
        <v>62</v>
      </c>
      <c r="H134" s="24">
        <v>0.2412</v>
      </c>
      <c r="I134" s="24">
        <v>-2.3607999999999998</v>
      </c>
      <c r="J134" s="24">
        <v>8.4459999999999997</v>
      </c>
      <c r="K134" s="24">
        <v>86.832099999999997</v>
      </c>
      <c r="L134" s="33"/>
    </row>
    <row r="135" spans="1:12" x14ac:dyDescent="0.2">
      <c r="A135" s="20">
        <f t="shared" si="26"/>
        <v>3</v>
      </c>
      <c r="B135" s="20">
        <f t="shared" si="24"/>
        <v>0.75</v>
      </c>
      <c r="C135" s="20">
        <f t="shared" si="23"/>
        <v>7</v>
      </c>
      <c r="D135" s="20" t="str">
        <f t="shared" si="25"/>
        <v>IE5</v>
      </c>
      <c r="E135" s="20">
        <f t="shared" si="17"/>
        <v>6</v>
      </c>
      <c r="F135" s="34" t="str">
        <f t="shared" si="5"/>
        <v>376</v>
      </c>
      <c r="G135" s="33">
        <v>63</v>
      </c>
      <c r="H135" s="24">
        <v>0.2412</v>
      </c>
      <c r="I135" s="24">
        <v>-2.3607999999999998</v>
      </c>
      <c r="J135" s="24">
        <v>8.4459999999999997</v>
      </c>
      <c r="K135" s="24">
        <v>86.832099999999997</v>
      </c>
      <c r="L135" s="33"/>
    </row>
    <row r="136" spans="1:12" x14ac:dyDescent="0.2">
      <c r="A136" s="18"/>
      <c r="B136" s="18"/>
      <c r="C136" s="18"/>
      <c r="D136" s="18"/>
      <c r="E136" s="18"/>
      <c r="F136" s="30"/>
      <c r="G136" s="33"/>
      <c r="H136" s="33"/>
      <c r="I136" s="33"/>
      <c r="J136" s="33"/>
      <c r="K136" s="33"/>
      <c r="L136" s="33"/>
    </row>
    <row r="137" spans="1:12" x14ac:dyDescent="0.2">
      <c r="A137" s="8"/>
    </row>
    <row r="138" spans="1:12" ht="15.75" x14ac:dyDescent="0.25">
      <c r="A138" s="14" t="s">
        <v>89</v>
      </c>
    </row>
    <row r="139" spans="1:12" ht="3.75" customHeight="1" x14ac:dyDescent="0.2"/>
    <row r="140" spans="1:12" x14ac:dyDescent="0.2">
      <c r="A140" s="8" t="s">
        <v>90</v>
      </c>
    </row>
    <row r="141" spans="1:12" x14ac:dyDescent="0.2">
      <c r="A141" s="8" t="s">
        <v>93</v>
      </c>
    </row>
    <row r="142" spans="1:12" x14ac:dyDescent="0.2">
      <c r="A142" s="8" t="s">
        <v>94</v>
      </c>
    </row>
    <row r="143" spans="1:12" x14ac:dyDescent="0.2">
      <c r="A143" s="8" t="s">
        <v>160</v>
      </c>
    </row>
    <row r="144" spans="1:12" x14ac:dyDescent="0.2">
      <c r="A144" s="8" t="s">
        <v>95</v>
      </c>
    </row>
    <row r="145" spans="1:9" ht="3.75" customHeight="1" x14ac:dyDescent="0.2"/>
    <row r="146" spans="1:9" ht="15" x14ac:dyDescent="0.25">
      <c r="C146" s="456" t="s">
        <v>0</v>
      </c>
      <c r="D146" s="457"/>
      <c r="E146" s="459"/>
      <c r="F146" s="11"/>
    </row>
    <row r="147" spans="1:9" ht="15" x14ac:dyDescent="0.25">
      <c r="A147" s="25" t="s">
        <v>91</v>
      </c>
      <c r="B147" s="25" t="s">
        <v>92</v>
      </c>
      <c r="C147" s="25" t="s">
        <v>1</v>
      </c>
      <c r="D147" s="25" t="s">
        <v>2</v>
      </c>
      <c r="E147" s="25" t="s">
        <v>129</v>
      </c>
      <c r="F147" s="25" t="s">
        <v>4</v>
      </c>
      <c r="G147" s="25"/>
      <c r="I147" s="66" t="s">
        <v>2</v>
      </c>
    </row>
    <row r="148" spans="1:9" x14ac:dyDescent="0.2">
      <c r="A148" s="32">
        <v>1</v>
      </c>
      <c r="B148" s="34" t="str">
        <f>VLOOKUP(A148,Matrix_Pumpe.ID.EffKl,2,0)</f>
        <v>a - "&lt; 1990 (Eff3)"</v>
      </c>
      <c r="C148" s="48">
        <v>0.08</v>
      </c>
      <c r="D148" s="98">
        <f>ROUND((3*AVERAGE(D159:D163)+AVERAGE(C159:C163))/4,2)</f>
        <v>0.11</v>
      </c>
      <c r="E148" s="49">
        <v>0.15</v>
      </c>
      <c r="F148" s="48">
        <v>0.4</v>
      </c>
      <c r="G148" s="35"/>
      <c r="I148" s="67">
        <v>0.11</v>
      </c>
    </row>
    <row r="149" spans="1:9" x14ac:dyDescent="0.2">
      <c r="A149" s="32">
        <v>2</v>
      </c>
      <c r="B149" s="34" t="str">
        <f>VLOOKUP(A149,Matrix_Pumpe.ID.EffKl,2,0)</f>
        <v>b - "1990-2000 (IE1)"</v>
      </c>
      <c r="C149" s="48">
        <v>0.05</v>
      </c>
      <c r="D149" s="97">
        <f>D148</f>
        <v>0.11</v>
      </c>
      <c r="E149" s="49">
        <v>0.1</v>
      </c>
      <c r="F149" s="48">
        <v>0.6</v>
      </c>
      <c r="G149" s="35"/>
      <c r="I149" s="67">
        <v>0.09</v>
      </c>
    </row>
    <row r="150" spans="1:9" x14ac:dyDescent="0.2">
      <c r="A150" s="32">
        <v>3</v>
      </c>
      <c r="B150" s="34" t="str">
        <f>VLOOKUP(A150,Matrix_Pumpe.ID.EffKl,2,0)</f>
        <v>c - "2000-2010 (IE2)"</v>
      </c>
      <c r="C150" s="48">
        <v>0.03</v>
      </c>
      <c r="D150" s="97">
        <f t="shared" ref="D150:D151" si="27">D149</f>
        <v>0.11</v>
      </c>
      <c r="E150" s="49">
        <v>0.06</v>
      </c>
      <c r="F150" s="48">
        <v>0.8</v>
      </c>
      <c r="G150" s="35"/>
      <c r="I150" s="67">
        <v>7.0000000000000007E-2</v>
      </c>
    </row>
    <row r="151" spans="1:9" x14ac:dyDescent="0.2">
      <c r="A151" s="32">
        <v>4</v>
      </c>
      <c r="B151" s="34" t="str">
        <f>VLOOKUP(A151,Matrix_Pumpe.ID.EffKl,2,0)</f>
        <v>d - "&gt;2010 (IE3)"</v>
      </c>
      <c r="C151" s="48">
        <v>0</v>
      </c>
      <c r="D151" s="97">
        <f t="shared" si="27"/>
        <v>0.11</v>
      </c>
      <c r="E151" s="49">
        <v>0.03</v>
      </c>
      <c r="F151" s="48">
        <v>1</v>
      </c>
      <c r="G151" s="35"/>
      <c r="I151" s="67">
        <v>4.4999999999999998E-2</v>
      </c>
    </row>
    <row r="152" spans="1:9" x14ac:dyDescent="0.2">
      <c r="A152" s="32"/>
      <c r="B152" s="32"/>
      <c r="C152" s="33"/>
      <c r="D152" s="33"/>
      <c r="E152" s="33"/>
      <c r="F152" s="33"/>
      <c r="G152" s="36"/>
    </row>
    <row r="153" spans="1:9" x14ac:dyDescent="0.2">
      <c r="D153" s="8" t="s">
        <v>161</v>
      </c>
    </row>
    <row r="154" spans="1:9" x14ac:dyDescent="0.2">
      <c r="D154" s="8"/>
    </row>
    <row r="155" spans="1:9" ht="15" x14ac:dyDescent="0.25">
      <c r="C155" s="456" t="s">
        <v>455</v>
      </c>
      <c r="D155" s="457"/>
      <c r="E155" s="457"/>
      <c r="F155" s="457"/>
      <c r="G155" s="100"/>
    </row>
    <row r="156" spans="1:9" ht="15" x14ac:dyDescent="0.25">
      <c r="C156" s="460" t="s">
        <v>194</v>
      </c>
      <c r="D156" s="460"/>
      <c r="E156" s="460" t="s">
        <v>195</v>
      </c>
      <c r="F156" s="460"/>
      <c r="G156" s="102"/>
      <c r="H156" s="101"/>
    </row>
    <row r="157" spans="1:9" ht="15" x14ac:dyDescent="0.25">
      <c r="A157" s="163" t="s">
        <v>57</v>
      </c>
      <c r="B157" s="163" t="s">
        <v>193</v>
      </c>
      <c r="C157" s="163" t="s">
        <v>46</v>
      </c>
      <c r="D157" s="163" t="s">
        <v>164</v>
      </c>
      <c r="E157" s="163" t="s">
        <v>46</v>
      </c>
      <c r="F157" s="163" t="s">
        <v>164</v>
      </c>
      <c r="G157" s="163" t="s">
        <v>57</v>
      </c>
      <c r="H157" s="163"/>
    </row>
    <row r="158" spans="1:9" x14ac:dyDescent="0.2">
      <c r="A158" s="276">
        <v>1</v>
      </c>
      <c r="B158" s="164">
        <v>1</v>
      </c>
      <c r="C158" s="270">
        <v>0</v>
      </c>
      <c r="D158" s="270">
        <v>0</v>
      </c>
      <c r="E158" s="279"/>
      <c r="F158" s="279"/>
      <c r="G158" s="271">
        <v>1</v>
      </c>
      <c r="H158" s="272"/>
    </row>
    <row r="159" spans="1:9" x14ac:dyDescent="0.2">
      <c r="A159" s="277">
        <v>2</v>
      </c>
      <c r="B159" s="166">
        <v>0.75</v>
      </c>
      <c r="C159" s="99">
        <v>1.4999999999999999E-2</v>
      </c>
      <c r="D159" s="99">
        <v>0.08</v>
      </c>
      <c r="E159" s="107"/>
      <c r="F159" s="107"/>
      <c r="G159" s="32">
        <v>2</v>
      </c>
      <c r="H159" s="273"/>
    </row>
    <row r="160" spans="1:9" x14ac:dyDescent="0.2">
      <c r="A160" s="277">
        <v>3</v>
      </c>
      <c r="B160" s="166">
        <f>50/75</f>
        <v>0.66666666666666663</v>
      </c>
      <c r="C160" s="289">
        <f>C159+($B160-$B159)*(C161-C159)/($B161-$B159)</f>
        <v>2.1666666666666671E-2</v>
      </c>
      <c r="D160" s="289">
        <f>D159+($B160-$B159)*(D161-D159)/($B161-$B159)</f>
        <v>9.3333333333333338E-2</v>
      </c>
      <c r="E160" s="107"/>
      <c r="F160" s="107"/>
      <c r="G160" s="32">
        <v>3</v>
      </c>
      <c r="H160" s="273"/>
    </row>
    <row r="161" spans="1:8" x14ac:dyDescent="0.2">
      <c r="A161" s="277">
        <v>4</v>
      </c>
      <c r="B161" s="166">
        <v>0.5</v>
      </c>
      <c r="C161" s="99">
        <v>3.5000000000000003E-2</v>
      </c>
      <c r="D161" s="99">
        <v>0.12</v>
      </c>
      <c r="E161" s="107"/>
      <c r="F161" s="107"/>
      <c r="G161" s="32">
        <v>4</v>
      </c>
      <c r="H161" s="273"/>
    </row>
    <row r="162" spans="1:8" x14ac:dyDescent="0.2">
      <c r="A162" s="277">
        <v>5</v>
      </c>
      <c r="B162" s="166">
        <f>25/75</f>
        <v>0.33333333333333331</v>
      </c>
      <c r="C162" s="289">
        <f>C161+($B162-$B161)*(C163-C161)/($B163-$B161)</f>
        <v>5.1666666666666666E-2</v>
      </c>
      <c r="D162" s="289">
        <f>D161+($B162-$B161)*(D163-D161)/($B163-$B161)</f>
        <v>0.17333333333333334</v>
      </c>
      <c r="E162" s="107"/>
      <c r="F162" s="107"/>
      <c r="G162" s="32">
        <v>5</v>
      </c>
      <c r="H162" s="273"/>
    </row>
    <row r="163" spans="1:8" x14ac:dyDescent="0.2">
      <c r="A163" s="277">
        <v>6</v>
      </c>
      <c r="B163" s="166">
        <v>0.25</v>
      </c>
      <c r="C163" s="99">
        <v>0.06</v>
      </c>
      <c r="D163" s="99">
        <v>0.2</v>
      </c>
      <c r="E163" s="107"/>
      <c r="F163" s="107"/>
      <c r="G163" s="32">
        <v>6</v>
      </c>
      <c r="H163" s="273"/>
    </row>
    <row r="164" spans="1:8" x14ac:dyDescent="0.2">
      <c r="A164" s="278"/>
      <c r="B164" s="274"/>
      <c r="C164" s="250"/>
      <c r="D164" s="250"/>
      <c r="E164" s="250"/>
      <c r="F164" s="250"/>
      <c r="G164" s="275"/>
      <c r="H164" s="169"/>
    </row>
    <row r="165" spans="1:8" x14ac:dyDescent="0.2">
      <c r="A165" s="70">
        <v>1</v>
      </c>
      <c r="B165" s="70">
        <v>2</v>
      </c>
      <c r="C165" s="70">
        <v>3</v>
      </c>
      <c r="D165" s="70">
        <v>4</v>
      </c>
      <c r="E165" s="70">
        <v>5</v>
      </c>
      <c r="F165" s="70">
        <v>6</v>
      </c>
      <c r="G165" s="70">
        <v>7</v>
      </c>
      <c r="H165" s="70">
        <v>8</v>
      </c>
    </row>
    <row r="166" spans="1:8" x14ac:dyDescent="0.2">
      <c r="B166" s="103">
        <v>1</v>
      </c>
      <c r="C166" s="103">
        <v>2</v>
      </c>
      <c r="D166" s="103">
        <v>3</v>
      </c>
      <c r="E166" s="103">
        <v>4</v>
      </c>
      <c r="F166" s="103">
        <v>5</v>
      </c>
      <c r="G166" s="103">
        <v>6</v>
      </c>
      <c r="H166" s="103">
        <v>7</v>
      </c>
    </row>
    <row r="167" spans="1:8" x14ac:dyDescent="0.2">
      <c r="B167" s="70"/>
      <c r="C167" s="70"/>
      <c r="D167" s="70"/>
      <c r="E167" s="70"/>
      <c r="F167" s="70"/>
      <c r="G167" s="70"/>
      <c r="H167" s="70"/>
    </row>
    <row r="168" spans="1:8" ht="15" x14ac:dyDescent="0.25">
      <c r="C168" s="460" t="s">
        <v>456</v>
      </c>
      <c r="D168" s="460"/>
      <c r="E168" s="460"/>
      <c r="F168" s="269"/>
      <c r="G168" s="269"/>
    </row>
    <row r="169" spans="1:8" ht="15" x14ac:dyDescent="0.25">
      <c r="A169" s="163" t="s">
        <v>57</v>
      </c>
      <c r="B169" s="163" t="s">
        <v>193</v>
      </c>
      <c r="C169" s="163" t="s">
        <v>457</v>
      </c>
      <c r="D169" s="163" t="s">
        <v>57</v>
      </c>
      <c r="E169" s="163"/>
      <c r="F169" s="106"/>
      <c r="G169" s="106"/>
    </row>
    <row r="170" spans="1:8" x14ac:dyDescent="0.2">
      <c r="A170" s="276">
        <v>1</v>
      </c>
      <c r="B170" s="164">
        <v>1</v>
      </c>
      <c r="C170" s="270">
        <v>0</v>
      </c>
      <c r="D170" s="271">
        <v>1</v>
      </c>
      <c r="E170" s="272"/>
    </row>
    <row r="171" spans="1:8" x14ac:dyDescent="0.2">
      <c r="A171" s="277">
        <v>2</v>
      </c>
      <c r="B171" s="166">
        <v>0.75</v>
      </c>
      <c r="C171" s="99">
        <v>0.02</v>
      </c>
      <c r="D171" s="32">
        <v>2</v>
      </c>
      <c r="E171" s="273"/>
    </row>
    <row r="172" spans="1:8" x14ac:dyDescent="0.2">
      <c r="A172" s="277">
        <v>3</v>
      </c>
      <c r="B172" s="166">
        <v>0.5</v>
      </c>
      <c r="C172" s="99">
        <v>0.08</v>
      </c>
      <c r="D172" s="32">
        <v>3</v>
      </c>
      <c r="E172" s="273"/>
    </row>
    <row r="173" spans="1:8" x14ac:dyDescent="0.2">
      <c r="A173" s="277">
        <v>4</v>
      </c>
      <c r="B173" s="166">
        <v>0.25</v>
      </c>
      <c r="C173" s="99">
        <v>0.2</v>
      </c>
      <c r="D173" s="32">
        <v>4</v>
      </c>
      <c r="E173" s="273"/>
    </row>
    <row r="174" spans="1:8" x14ac:dyDescent="0.2">
      <c r="A174" s="278"/>
      <c r="B174" s="274"/>
      <c r="C174" s="250"/>
      <c r="D174" s="250"/>
      <c r="E174" s="169"/>
      <c r="F174" s="106"/>
      <c r="G174" s="106"/>
      <c r="H174" s="106"/>
    </row>
    <row r="175" spans="1:8" x14ac:dyDescent="0.2">
      <c r="A175" s="70">
        <v>1</v>
      </c>
      <c r="B175" s="70">
        <v>2</v>
      </c>
      <c r="C175" s="70">
        <v>3</v>
      </c>
      <c r="D175" s="70">
        <v>4</v>
      </c>
      <c r="E175" s="70">
        <v>5</v>
      </c>
      <c r="F175" s="70"/>
      <c r="G175" s="70"/>
      <c r="H175" s="70"/>
    </row>
    <row r="176" spans="1:8" x14ac:dyDescent="0.2">
      <c r="B176" s="103">
        <v>1</v>
      </c>
      <c r="C176" s="103">
        <v>2</v>
      </c>
      <c r="D176" s="103">
        <v>3</v>
      </c>
      <c r="E176" s="103">
        <v>4</v>
      </c>
      <c r="F176" s="70"/>
      <c r="G176" s="70"/>
      <c r="H176" s="70"/>
    </row>
    <row r="177" spans="1:8" x14ac:dyDescent="0.2">
      <c r="D177" s="8"/>
    </row>
    <row r="178" spans="1:8" ht="15" x14ac:dyDescent="0.25">
      <c r="A178" s="25" t="s">
        <v>57</v>
      </c>
      <c r="B178" s="25" t="s">
        <v>196</v>
      </c>
      <c r="C178" s="25"/>
      <c r="D178" s="25" t="s">
        <v>162</v>
      </c>
      <c r="E178" s="25"/>
      <c r="F178" s="25" t="s">
        <v>198</v>
      </c>
      <c r="G178" s="25"/>
    </row>
    <row r="179" spans="1:8" x14ac:dyDescent="0.2">
      <c r="A179" s="32">
        <v>1</v>
      </c>
      <c r="B179" s="33" t="str">
        <f>Sprachen!C112</f>
        <v>avec vannes</v>
      </c>
      <c r="C179" s="33">
        <v>1</v>
      </c>
      <c r="D179" s="99" t="str">
        <f>Sprachen!C113</f>
        <v>ouvert</v>
      </c>
      <c r="E179" s="33">
        <v>0</v>
      </c>
      <c r="F179" s="32">
        <v>2</v>
      </c>
      <c r="G179" s="99"/>
    </row>
    <row r="180" spans="1:8" x14ac:dyDescent="0.2">
      <c r="A180" s="32">
        <v>2</v>
      </c>
      <c r="B180" s="33" t="str">
        <f>Sprachen!C112</f>
        <v>avec vannes</v>
      </c>
      <c r="C180" s="33">
        <v>1</v>
      </c>
      <c r="D180" s="99" t="str">
        <f>Sprachen!C114</f>
        <v>fermé</v>
      </c>
      <c r="E180" s="33">
        <v>1</v>
      </c>
      <c r="F180" s="32">
        <v>3</v>
      </c>
      <c r="G180" s="99"/>
    </row>
    <row r="181" spans="1:8" x14ac:dyDescent="0.2">
      <c r="A181" s="32">
        <v>3</v>
      </c>
      <c r="B181" s="33" t="str">
        <f>Sprachen!C115</f>
        <v>en série</v>
      </c>
      <c r="C181" s="33">
        <v>3</v>
      </c>
      <c r="D181" s="99" t="str">
        <f>Sprachen!C113</f>
        <v>ouvert</v>
      </c>
      <c r="E181" s="33">
        <v>0</v>
      </c>
      <c r="F181" s="32">
        <v>4</v>
      </c>
      <c r="G181" s="99"/>
    </row>
    <row r="182" spans="1:8" x14ac:dyDescent="0.2">
      <c r="A182" s="32">
        <v>4</v>
      </c>
      <c r="B182" s="33" t="str">
        <f>Sprachen!C115</f>
        <v>en série</v>
      </c>
      <c r="C182" s="33">
        <v>3</v>
      </c>
      <c r="D182" s="99" t="str">
        <f>Sprachen!C114</f>
        <v>fermé</v>
      </c>
      <c r="E182" s="33">
        <v>1</v>
      </c>
      <c r="F182" s="32">
        <v>5</v>
      </c>
      <c r="G182" s="99"/>
    </row>
    <row r="183" spans="1:8" x14ac:dyDescent="0.2">
      <c r="A183" s="32"/>
      <c r="B183" s="32"/>
      <c r="C183" s="32"/>
      <c r="D183" s="33"/>
      <c r="E183" s="33"/>
      <c r="F183" s="33"/>
      <c r="G183" s="33"/>
      <c r="H183" s="106"/>
    </row>
    <row r="184" spans="1:8" x14ac:dyDescent="0.2">
      <c r="A184" s="103">
        <v>1</v>
      </c>
      <c r="B184" s="103">
        <v>2</v>
      </c>
      <c r="C184" s="103">
        <v>3</v>
      </c>
      <c r="D184" s="103">
        <v>4</v>
      </c>
      <c r="E184" s="103">
        <v>5</v>
      </c>
      <c r="F184" s="103">
        <v>6</v>
      </c>
      <c r="G184" s="103">
        <v>7</v>
      </c>
      <c r="H184" s="70"/>
    </row>
    <row r="185" spans="1:8" x14ac:dyDescent="0.2">
      <c r="D185" s="8"/>
    </row>
    <row r="186" spans="1:8" ht="15.75" x14ac:dyDescent="0.25">
      <c r="A186" s="14" t="s">
        <v>9</v>
      </c>
    </row>
    <row r="187" spans="1:8" ht="3.75" customHeight="1" x14ac:dyDescent="0.2"/>
    <row r="188" spans="1:8" x14ac:dyDescent="0.2">
      <c r="A188" s="8" t="s">
        <v>96</v>
      </c>
    </row>
    <row r="189" spans="1:8" x14ac:dyDescent="0.2">
      <c r="A189" s="8" t="s">
        <v>98</v>
      </c>
    </row>
    <row r="190" spans="1:8" x14ac:dyDescent="0.2">
      <c r="A190" s="8"/>
      <c r="B190" s="8" t="s">
        <v>97</v>
      </c>
    </row>
    <row r="191" spans="1:8" x14ac:dyDescent="0.2">
      <c r="A191" s="8"/>
      <c r="B191" s="8" t="s">
        <v>99</v>
      </c>
    </row>
    <row r="192" spans="1:8" x14ac:dyDescent="0.2">
      <c r="A192" s="8"/>
      <c r="B192" s="8" t="s">
        <v>100</v>
      </c>
    </row>
    <row r="193" spans="1:9" ht="3.75" customHeight="1" x14ac:dyDescent="0.2"/>
    <row r="194" spans="1:9" x14ac:dyDescent="0.2">
      <c r="A194" s="2" t="s">
        <v>10</v>
      </c>
      <c r="B194" s="12">
        <v>150</v>
      </c>
      <c r="C194" s="2" t="s">
        <v>11</v>
      </c>
      <c r="D194" s="8" t="s">
        <v>12</v>
      </c>
      <c r="E194" s="8"/>
    </row>
    <row r="195" spans="1:9" x14ac:dyDescent="0.2">
      <c r="A195" s="2" t="s">
        <v>13</v>
      </c>
      <c r="B195" s="13">
        <v>300</v>
      </c>
      <c r="C195" s="2" t="s">
        <v>14</v>
      </c>
    </row>
    <row r="196" spans="1:9" x14ac:dyDescent="0.2">
      <c r="A196" s="2" t="s">
        <v>15</v>
      </c>
      <c r="B196" s="50">
        <v>800</v>
      </c>
      <c r="C196" s="2" t="s">
        <v>14</v>
      </c>
      <c r="D196" s="8" t="s">
        <v>16</v>
      </c>
      <c r="E196" s="8"/>
    </row>
    <row r="197" spans="1:9" x14ac:dyDescent="0.2">
      <c r="A197" s="2" t="s">
        <v>17</v>
      </c>
      <c r="B197" s="12">
        <v>150</v>
      </c>
      <c r="C197" s="2" t="s">
        <v>11</v>
      </c>
      <c r="D197" s="8" t="s">
        <v>12</v>
      </c>
      <c r="E197" s="8"/>
    </row>
    <row r="198" spans="1:9" x14ac:dyDescent="0.2">
      <c r="A198" s="2" t="s">
        <v>13</v>
      </c>
      <c r="B198" s="13">
        <v>300</v>
      </c>
      <c r="C198" s="2" t="s">
        <v>14</v>
      </c>
    </row>
    <row r="199" spans="1:9" x14ac:dyDescent="0.2">
      <c r="A199" s="2" t="s">
        <v>18</v>
      </c>
      <c r="B199" s="50">
        <v>1200</v>
      </c>
      <c r="C199" s="2" t="s">
        <v>14</v>
      </c>
      <c r="D199" s="8" t="s">
        <v>16</v>
      </c>
      <c r="E199" s="8"/>
    </row>
    <row r="200" spans="1:9" x14ac:dyDescent="0.2">
      <c r="A200" s="2" t="s">
        <v>19</v>
      </c>
      <c r="B200" s="51">
        <v>450</v>
      </c>
      <c r="C200" s="2" t="s">
        <v>11</v>
      </c>
      <c r="D200" s="8" t="s">
        <v>20</v>
      </c>
      <c r="E200" s="8"/>
    </row>
    <row r="201" spans="1:9" x14ac:dyDescent="0.2">
      <c r="A201" s="2" t="s">
        <v>13</v>
      </c>
      <c r="B201" s="50">
        <v>900</v>
      </c>
      <c r="C201" s="2" t="s">
        <v>14</v>
      </c>
    </row>
    <row r="202" spans="1:9" x14ac:dyDescent="0.2">
      <c r="A202" s="2" t="s">
        <v>21</v>
      </c>
      <c r="B202" s="50">
        <v>2000</v>
      </c>
      <c r="C202" s="2" t="s">
        <v>14</v>
      </c>
      <c r="D202" s="8" t="s">
        <v>16</v>
      </c>
      <c r="E202" s="8"/>
    </row>
    <row r="203" spans="1:9" x14ac:dyDescent="0.2">
      <c r="B203" s="13"/>
      <c r="D203" s="8"/>
      <c r="E203" s="8"/>
    </row>
    <row r="204" spans="1:9" ht="15.75" x14ac:dyDescent="0.25">
      <c r="A204" s="14" t="s">
        <v>134</v>
      </c>
    </row>
    <row r="205" spans="1:9" ht="3.75" customHeight="1" x14ac:dyDescent="0.2"/>
    <row r="206" spans="1:9" x14ac:dyDescent="0.2">
      <c r="A206" s="8" t="s">
        <v>117</v>
      </c>
    </row>
    <row r="207" spans="1:9" ht="3.75" customHeight="1" x14ac:dyDescent="0.2"/>
    <row r="208" spans="1:9" ht="15" x14ac:dyDescent="0.25">
      <c r="A208" s="25" t="s">
        <v>57</v>
      </c>
      <c r="B208" s="25" t="s">
        <v>118</v>
      </c>
      <c r="C208" s="25" t="s">
        <v>57</v>
      </c>
      <c r="D208" s="25" t="s">
        <v>119</v>
      </c>
      <c r="E208" s="25" t="s">
        <v>135</v>
      </c>
      <c r="F208" s="25" t="s">
        <v>136</v>
      </c>
      <c r="G208" s="25" t="s">
        <v>138</v>
      </c>
      <c r="H208" s="25"/>
      <c r="I208" s="455" t="s">
        <v>688</v>
      </c>
    </row>
    <row r="209" spans="1:9" x14ac:dyDescent="0.2">
      <c r="A209" s="33">
        <v>1</v>
      </c>
      <c r="B209" s="24">
        <v>0</v>
      </c>
      <c r="C209" s="56">
        <f>A209</f>
        <v>1</v>
      </c>
      <c r="D209" s="24" t="s">
        <v>122</v>
      </c>
      <c r="E209" s="24" t="s">
        <v>137</v>
      </c>
      <c r="F209" s="24" t="str">
        <f>"Die Massnahme ist sehr wirtschaftlich, dh. mit einer Payback-Zeit &lt; "&amp;B210&amp;" Jahre."</f>
        <v>Die Massnahme ist sehr wirtschaftlich, dh. mit einer Payback-Zeit &lt; 2 Jahre.</v>
      </c>
      <c r="G209" s="24">
        <v>1</v>
      </c>
      <c r="H209" s="33"/>
      <c r="I209" s="455"/>
    </row>
    <row r="210" spans="1:9" x14ac:dyDescent="0.2">
      <c r="A210" s="33">
        <v>2</v>
      </c>
      <c r="B210" s="24">
        <v>2</v>
      </c>
      <c r="C210" s="56">
        <f t="shared" ref="C210:C213" si="28">A210</f>
        <v>2</v>
      </c>
      <c r="D210" s="24" t="s">
        <v>120</v>
      </c>
      <c r="E210" s="24" t="s">
        <v>139</v>
      </c>
      <c r="F210" s="24" t="str">
        <f>"Die Massnahme ist wirtschaftlich, dh. mit einer Payback-Zeit von ca. "&amp;AVERAGE(B210:B211)&amp;" Jahre."</f>
        <v>Die Massnahme ist wirtschaftlich, dh. mit einer Payback-Zeit von ca. 4 Jahre.</v>
      </c>
      <c r="G210" s="24">
        <v>1</v>
      </c>
      <c r="H210" s="33"/>
      <c r="I210" s="455"/>
    </row>
    <row r="211" spans="1:9" x14ac:dyDescent="0.2">
      <c r="A211" s="33">
        <v>3</v>
      </c>
      <c r="B211" s="24">
        <v>6</v>
      </c>
      <c r="C211" s="56">
        <f t="shared" si="28"/>
        <v>3</v>
      </c>
      <c r="D211" s="24" t="s">
        <v>121</v>
      </c>
      <c r="E211" s="24" t="s">
        <v>140</v>
      </c>
      <c r="F211" s="24" t="str">
        <f>"Die Massnahme ist knapp wirtschaftlich, dh. mit einer Payback-Zeit &gt; "&amp;B211&amp;" Jahre."</f>
        <v>Die Massnahme ist knapp wirtschaftlich, dh. mit einer Payback-Zeit &gt; 6 Jahre.</v>
      </c>
      <c r="G211" s="24">
        <v>2</v>
      </c>
      <c r="H211" s="33"/>
      <c r="I211" s="455"/>
    </row>
    <row r="212" spans="1:9" x14ac:dyDescent="0.2">
      <c r="A212" s="33">
        <v>4</v>
      </c>
      <c r="B212" s="24">
        <v>10</v>
      </c>
      <c r="C212" s="56">
        <f t="shared" si="28"/>
        <v>4</v>
      </c>
      <c r="D212" s="24" t="s">
        <v>123</v>
      </c>
      <c r="E212" s="24" t="s">
        <v>141</v>
      </c>
      <c r="F212" s="24" t="str">
        <f>"Die Massnahme ist eher unwirtschaftlich, dh. mit einer Payback-Zeit zwischen "&amp;B212&amp;" und "&amp;B213&amp;" Jahre."</f>
        <v>Die Massnahme ist eher unwirtschaftlich, dh. mit einer Payback-Zeit zwischen 10 und 25 Jahre.</v>
      </c>
      <c r="G212" s="24">
        <v>0</v>
      </c>
      <c r="H212" s="33"/>
      <c r="I212" s="455"/>
    </row>
    <row r="213" spans="1:9" x14ac:dyDescent="0.2">
      <c r="A213" s="33">
        <v>5</v>
      </c>
      <c r="B213" s="24">
        <v>25</v>
      </c>
      <c r="C213" s="56">
        <f t="shared" si="28"/>
        <v>5</v>
      </c>
      <c r="D213" s="24" t="s">
        <v>124</v>
      </c>
      <c r="E213" s="24" t="s">
        <v>141</v>
      </c>
      <c r="F213" s="24" t="str">
        <f>"Die Massnahme ist eher unwirtschaftlich, dh. mit einer Payback-Zeit &gt; "&amp;B213&amp;" Jahre."</f>
        <v>Die Massnahme ist eher unwirtschaftlich, dh. mit einer Payback-Zeit &gt; 25 Jahre.</v>
      </c>
      <c r="G213" s="24">
        <v>0</v>
      </c>
      <c r="H213" s="33"/>
      <c r="I213" s="455"/>
    </row>
    <row r="214" spans="1:9" x14ac:dyDescent="0.2">
      <c r="A214" s="33"/>
      <c r="B214" s="33"/>
      <c r="C214" s="33"/>
      <c r="D214" s="33"/>
      <c r="E214" s="33"/>
      <c r="F214" s="33"/>
      <c r="G214" s="33"/>
      <c r="H214" s="33"/>
      <c r="I214" s="455"/>
    </row>
    <row r="216" spans="1:9" ht="15.75" x14ac:dyDescent="0.25">
      <c r="A216" s="14" t="s">
        <v>163</v>
      </c>
    </row>
    <row r="217" spans="1:9" ht="3.75" customHeight="1" x14ac:dyDescent="0.2"/>
    <row r="218" spans="1:9" s="16" customFormat="1" x14ac:dyDescent="0.2">
      <c r="A218" s="68" t="s">
        <v>165</v>
      </c>
    </row>
    <row r="219" spans="1:9" s="16" customFormat="1" x14ac:dyDescent="0.2">
      <c r="A219" s="68" t="s">
        <v>427</v>
      </c>
    </row>
    <row r="220" spans="1:9" s="16" customFormat="1" x14ac:dyDescent="0.2">
      <c r="A220" s="68"/>
      <c r="B220" s="68" t="s">
        <v>428</v>
      </c>
    </row>
    <row r="221" spans="1:9" s="16" customFormat="1" ht="3.75" customHeight="1" x14ac:dyDescent="0.2"/>
    <row r="222" spans="1:9" s="16" customFormat="1" x14ac:dyDescent="0.2">
      <c r="A222" s="68" t="s">
        <v>429</v>
      </c>
      <c r="B222" s="254" t="str">
        <f>C229</f>
        <v>par étranglement, vanne</v>
      </c>
      <c r="C222" s="16" t="s">
        <v>430</v>
      </c>
    </row>
    <row r="223" spans="1:9" s="16" customFormat="1" x14ac:dyDescent="0.2">
      <c r="A223" s="68" t="s">
        <v>448</v>
      </c>
      <c r="B223" s="265">
        <v>0.5</v>
      </c>
      <c r="C223" s="16" t="s">
        <v>449</v>
      </c>
    </row>
    <row r="224" spans="1:9" s="16" customFormat="1" x14ac:dyDescent="0.2">
      <c r="A224" s="68" t="s">
        <v>523</v>
      </c>
      <c r="B224" s="265" t="str">
        <f>Sprachen!C116</f>
        <v>N° selon étape 1</v>
      </c>
      <c r="C224" s="16" t="s">
        <v>524</v>
      </c>
    </row>
    <row r="225" spans="1:11" s="16" customFormat="1" x14ac:dyDescent="0.2">
      <c r="A225" s="68" t="s">
        <v>706</v>
      </c>
      <c r="B225" s="265" t="str">
        <f>Sprachen!C116</f>
        <v>N° selon étape 1</v>
      </c>
      <c r="C225" s="16" t="s">
        <v>707</v>
      </c>
    </row>
    <row r="226" spans="1:11" s="16" customFormat="1" ht="3.75" customHeight="1" x14ac:dyDescent="0.2"/>
    <row r="227" spans="1:11" ht="15" x14ac:dyDescent="0.25">
      <c r="A227" s="25" t="s">
        <v>162</v>
      </c>
      <c r="B227" s="25" t="s">
        <v>166</v>
      </c>
      <c r="C227" s="163" t="s">
        <v>155</v>
      </c>
      <c r="D227" s="163" t="s">
        <v>252</v>
      </c>
      <c r="E227" s="251" t="s">
        <v>426</v>
      </c>
      <c r="F227" s="256" t="s">
        <v>433</v>
      </c>
      <c r="G227" s="25" t="s">
        <v>177</v>
      </c>
      <c r="H227" s="266" t="s">
        <v>338</v>
      </c>
      <c r="I227" s="163" t="s">
        <v>337</v>
      </c>
      <c r="J227" s="163" t="s">
        <v>342</v>
      </c>
      <c r="K227" s="163" t="s">
        <v>337</v>
      </c>
    </row>
    <row r="228" spans="1:11" x14ac:dyDescent="0.2">
      <c r="A228" s="33" t="str">
        <f>Sprachen!C117</f>
        <v>ouvert</v>
      </c>
      <c r="B228" s="160" t="str">
        <f>Sprachen!C119</f>
        <v>variable</v>
      </c>
      <c r="C228" s="164" t="str">
        <f>Sprachen!C121</f>
        <v>aucune</v>
      </c>
      <c r="D228" s="170">
        <v>1</v>
      </c>
      <c r="E228" s="257">
        <v>0.3</v>
      </c>
      <c r="F228" s="252">
        <v>1.1000000000000001</v>
      </c>
      <c r="G228" s="161" t="s">
        <v>70</v>
      </c>
      <c r="H228" s="389" t="str">
        <f>St.Wert_Sortiervariante.Resultate</f>
        <v>N° selon étape 1</v>
      </c>
      <c r="I228" s="215">
        <f>COLUMN('Berechnungen 1'!R12)</f>
        <v>18</v>
      </c>
      <c r="J228" s="328" t="str">
        <f>St.Wert_Sortiervariante.Resultate</f>
        <v>N° selon étape 1</v>
      </c>
      <c r="K228" s="215">
        <f>COLUMN('Berechnungen 2'!BQ16)</f>
        <v>69</v>
      </c>
    </row>
    <row r="229" spans="1:11" x14ac:dyDescent="0.2">
      <c r="A229" s="33" t="str">
        <f>Sprachen!C118</f>
        <v>fermé</v>
      </c>
      <c r="B229" s="160" t="str">
        <f>Sprachen!C120</f>
        <v>constant</v>
      </c>
      <c r="C229" s="166" t="str">
        <f>Sprachen!C122</f>
        <v>par étranglement, vanne</v>
      </c>
      <c r="D229" s="24">
        <v>1</v>
      </c>
      <c r="E229" s="258">
        <v>0.3</v>
      </c>
      <c r="F229" s="253">
        <v>1.1000000000000001</v>
      </c>
      <c r="G229" s="162" t="s">
        <v>62</v>
      </c>
      <c r="H229" s="267" t="str">
        <f>Sprachen!C126</f>
        <v>Points selon étape 1</v>
      </c>
      <c r="I229" s="216">
        <f>I228+1</f>
        <v>19</v>
      </c>
      <c r="J229" s="218" t="str">
        <f>Sprachen!C129</f>
        <v>Puissance nominale</v>
      </c>
      <c r="K229" s="216">
        <f t="shared" ref="K229:K231" si="29">K228+1</f>
        <v>70</v>
      </c>
    </row>
    <row r="230" spans="1:11" x14ac:dyDescent="0.2">
      <c r="C230" s="166" t="str">
        <f>Sprachen!C123</f>
        <v>Bypass</v>
      </c>
      <c r="D230" s="24">
        <v>1</v>
      </c>
      <c r="E230" s="258">
        <v>0.3</v>
      </c>
      <c r="F230" s="253">
        <v>1.1000000000000001</v>
      </c>
      <c r="G230" s="162" t="s">
        <v>63</v>
      </c>
      <c r="H230" s="267" t="str">
        <f>Sprachen!C127</f>
        <v>Puissance nominale</v>
      </c>
      <c r="I230" s="216">
        <f t="shared" ref="I230:I231" si="30">I229+1</f>
        <v>20</v>
      </c>
      <c r="J230" s="218" t="str">
        <f>Sprachen!C130</f>
        <v>Consommation électrique (P * t * facteur de puissance)</v>
      </c>
      <c r="K230" s="216">
        <f t="shared" si="29"/>
        <v>71</v>
      </c>
    </row>
    <row r="231" spans="1:11" x14ac:dyDescent="0.2">
      <c r="C231" s="168" t="str">
        <f>Sprachen!C125</f>
        <v>CF</v>
      </c>
      <c r="D231" s="178">
        <v>0</v>
      </c>
      <c r="E231" s="329">
        <v>0.1</v>
      </c>
      <c r="F231" s="330">
        <v>1.2</v>
      </c>
      <c r="G231" s="162" t="s">
        <v>64</v>
      </c>
      <c r="H231" s="268" t="str">
        <f>Sprachen!C128</f>
        <v>Consommation électrique (P * t)</v>
      </c>
      <c r="I231" s="216">
        <f t="shared" si="30"/>
        <v>21</v>
      </c>
      <c r="J231" s="219" t="str">
        <f>Sprachen!C131</f>
        <v>Potentiel d'économie selon étape 2</v>
      </c>
      <c r="K231" s="216">
        <f t="shared" si="29"/>
        <v>72</v>
      </c>
    </row>
    <row r="232" spans="1:11" x14ac:dyDescent="0.2">
      <c r="C232" s="44"/>
      <c r="D232" s="44"/>
      <c r="E232" s="44"/>
      <c r="F232" s="44"/>
      <c r="G232" s="162" t="s">
        <v>58</v>
      </c>
      <c r="H232" s="217"/>
      <c r="I232" s="169"/>
      <c r="J232" s="217"/>
      <c r="K232" s="169"/>
    </row>
    <row r="233" spans="1:11" x14ac:dyDescent="0.2">
      <c r="G233" s="30" t="s">
        <v>59</v>
      </c>
    </row>
    <row r="234" spans="1:11" x14ac:dyDescent="0.2">
      <c r="G234" s="30" t="s">
        <v>79</v>
      </c>
    </row>
    <row r="237" spans="1:11" ht="15" x14ac:dyDescent="0.25">
      <c r="A237" s="26" t="s">
        <v>219</v>
      </c>
      <c r="B237"/>
      <c r="C237"/>
    </row>
    <row r="238" spans="1:11" ht="3.75" customHeight="1" x14ac:dyDescent="0.2"/>
    <row r="239" spans="1:11" x14ac:dyDescent="0.2">
      <c r="A239" s="2" t="s">
        <v>230</v>
      </c>
      <c r="B239" s="12">
        <v>2</v>
      </c>
      <c r="C239" s="2" t="s">
        <v>229</v>
      </c>
      <c r="D239" s="8" t="s">
        <v>212</v>
      </c>
    </row>
    <row r="240" spans="1:11" ht="3.75" customHeight="1" x14ac:dyDescent="0.2"/>
    <row r="241" spans="1:6" ht="15" x14ac:dyDescent="0.25">
      <c r="A241" s="4" t="s">
        <v>220</v>
      </c>
      <c r="B241" s="4" t="s">
        <v>221</v>
      </c>
      <c r="C241"/>
      <c r="F241" s="8"/>
    </row>
    <row r="242" spans="1:6" x14ac:dyDescent="0.2">
      <c r="A242" s="30">
        <v>0</v>
      </c>
      <c r="B242" s="30">
        <v>0</v>
      </c>
      <c r="C242" s="30"/>
    </row>
    <row r="243" spans="1:6" x14ac:dyDescent="0.2">
      <c r="A243" s="30">
        <v>2.0009999999999999</v>
      </c>
      <c r="B243" s="30">
        <v>1</v>
      </c>
      <c r="C243" s="30"/>
    </row>
    <row r="244" spans="1:6" x14ac:dyDescent="0.2">
      <c r="A244" s="30">
        <v>5.0010000000000003</v>
      </c>
      <c r="B244" s="30">
        <v>2</v>
      </c>
      <c r="C244" s="30"/>
    </row>
    <row r="245" spans="1:6" x14ac:dyDescent="0.2">
      <c r="A245" s="30">
        <v>10.000999999999999</v>
      </c>
      <c r="B245" s="30">
        <v>3</v>
      </c>
      <c r="C245" s="30"/>
    </row>
    <row r="246" spans="1:6" x14ac:dyDescent="0.2">
      <c r="A246" s="30">
        <v>15.000999999999999</v>
      </c>
      <c r="B246" s="30">
        <v>4</v>
      </c>
      <c r="C246" s="30"/>
    </row>
    <row r="247" spans="1:6" x14ac:dyDescent="0.2">
      <c r="A247" s="30">
        <v>20.001000000000001</v>
      </c>
      <c r="B247" s="30">
        <v>5</v>
      </c>
      <c r="C247" s="30"/>
    </row>
    <row r="248" spans="1:6" x14ac:dyDescent="0.2">
      <c r="A248" s="30"/>
      <c r="B248" s="30"/>
      <c r="C248" s="30"/>
    </row>
    <row r="249" spans="1:6" ht="3.75" customHeight="1" x14ac:dyDescent="0.2"/>
    <row r="250" spans="1:6" ht="15" x14ac:dyDescent="0.25">
      <c r="A250" s="4" t="s">
        <v>222</v>
      </c>
      <c r="B250" s="4" t="s">
        <v>221</v>
      </c>
      <c r="C250"/>
    </row>
    <row r="251" spans="1:6" x14ac:dyDescent="0.2">
      <c r="A251" s="30">
        <v>0</v>
      </c>
      <c r="B251" s="30">
        <v>0</v>
      </c>
      <c r="C251" s="30"/>
    </row>
    <row r="252" spans="1:6" x14ac:dyDescent="0.2">
      <c r="A252" s="30">
        <v>0.70099999999999996</v>
      </c>
      <c r="B252" s="30">
        <v>1</v>
      </c>
      <c r="C252" s="30"/>
    </row>
    <row r="253" spans="1:6" x14ac:dyDescent="0.2">
      <c r="A253" s="30">
        <v>5.0010000000000003</v>
      </c>
      <c r="B253" s="30">
        <v>2</v>
      </c>
      <c r="C253" s="30"/>
    </row>
    <row r="254" spans="1:6" x14ac:dyDescent="0.2">
      <c r="A254" s="30">
        <v>10.000999999999999</v>
      </c>
      <c r="B254" s="30">
        <v>3</v>
      </c>
      <c r="C254" s="30"/>
    </row>
    <row r="255" spans="1:6" x14ac:dyDescent="0.2">
      <c r="A255" s="30">
        <v>30.001000000000001</v>
      </c>
      <c r="B255" s="30">
        <v>4</v>
      </c>
      <c r="C255" s="30"/>
    </row>
    <row r="256" spans="1:6" x14ac:dyDescent="0.2">
      <c r="A256" s="30">
        <v>100.001</v>
      </c>
      <c r="B256" s="30">
        <v>5</v>
      </c>
      <c r="C256" s="30"/>
    </row>
    <row r="257" spans="1:6" x14ac:dyDescent="0.2">
      <c r="A257" s="30"/>
      <c r="B257" s="30"/>
      <c r="C257" s="30"/>
    </row>
    <row r="258" spans="1:6" ht="3.75" customHeight="1" x14ac:dyDescent="0.2"/>
    <row r="259" spans="1:6" ht="15" x14ac:dyDescent="0.25">
      <c r="A259" s="4" t="s">
        <v>223</v>
      </c>
      <c r="B259" s="4" t="s">
        <v>221</v>
      </c>
      <c r="C259"/>
    </row>
    <row r="260" spans="1:6" x14ac:dyDescent="0.2">
      <c r="A260" s="30">
        <v>0</v>
      </c>
      <c r="B260" s="30">
        <v>0</v>
      </c>
      <c r="C260" s="30"/>
      <c r="F260" s="8"/>
    </row>
    <row r="261" spans="1:6" x14ac:dyDescent="0.2">
      <c r="A261" s="30">
        <v>499.99900000000002</v>
      </c>
      <c r="B261" s="30">
        <v>1</v>
      </c>
      <c r="C261" s="30"/>
      <c r="F261" s="8"/>
    </row>
    <row r="262" spans="1:6" x14ac:dyDescent="0.2">
      <c r="A262" s="30">
        <v>1999.999</v>
      </c>
      <c r="B262" s="30">
        <v>2</v>
      </c>
      <c r="C262" s="30"/>
    </row>
    <row r="263" spans="1:6" x14ac:dyDescent="0.2">
      <c r="A263" s="30">
        <v>3999.9989999999998</v>
      </c>
      <c r="B263" s="30">
        <v>3</v>
      </c>
      <c r="C263" s="30"/>
    </row>
    <row r="264" spans="1:6" x14ac:dyDescent="0.2">
      <c r="A264" s="30">
        <v>5999.9989999999998</v>
      </c>
      <c r="B264" s="30">
        <v>4</v>
      </c>
      <c r="C264" s="30"/>
    </row>
    <row r="265" spans="1:6" x14ac:dyDescent="0.2">
      <c r="A265" s="30">
        <v>7999.9989999999998</v>
      </c>
      <c r="B265" s="30">
        <v>5</v>
      </c>
      <c r="C265" s="30"/>
    </row>
    <row r="266" spans="1:6" x14ac:dyDescent="0.2">
      <c r="A266" s="30"/>
      <c r="B266" s="30"/>
      <c r="C266" s="30"/>
    </row>
    <row r="267" spans="1:6" ht="3.75" customHeight="1" x14ac:dyDescent="0.2"/>
    <row r="268" spans="1:6" x14ac:dyDescent="0.2">
      <c r="A268" s="263" t="s">
        <v>442</v>
      </c>
      <c r="B268" s="12" t="str">
        <f>Sprachen!C132</f>
        <v>P et/ou t manquent!</v>
      </c>
      <c r="C268" s="2" t="s">
        <v>229</v>
      </c>
      <c r="D268" s="8" t="s">
        <v>443</v>
      </c>
    </row>
    <row r="269" spans="1:6" x14ac:dyDescent="0.2">
      <c r="A269" s="263" t="s">
        <v>446</v>
      </c>
      <c r="B269" s="12" t="str">
        <f>Sprachen!C133</f>
        <v>Erreur dans les données concernant le temps de marche!</v>
      </c>
      <c r="C269" s="2" t="s">
        <v>229</v>
      </c>
      <c r="D269" s="8" t="s">
        <v>445</v>
      </c>
    </row>
    <row r="270" spans="1:6" x14ac:dyDescent="0.2">
      <c r="A270" s="263" t="s">
        <v>442</v>
      </c>
      <c r="B270" s="12" t="str">
        <f>Sprachen!C134</f>
        <v>Attention! P ou t manque (étape 1) pour au moins une installation !</v>
      </c>
      <c r="C270" s="2" t="s">
        <v>229</v>
      </c>
      <c r="D270" s="8" t="s">
        <v>472</v>
      </c>
    </row>
    <row r="271" spans="1:6" x14ac:dyDescent="0.2">
      <c r="A271" s="263" t="s">
        <v>514</v>
      </c>
      <c r="B271" s="12" t="str">
        <f>Sprachen!C135</f>
        <v>Attention! Au moins une valeur manquante ou incohérente dans l'étape 1 ou 2 !</v>
      </c>
      <c r="C271" s="2" t="s">
        <v>229</v>
      </c>
      <c r="D271" s="8" t="s">
        <v>516</v>
      </c>
    </row>
    <row r="272" spans="1:6" ht="3.75" customHeight="1" x14ac:dyDescent="0.2"/>
    <row r="273" spans="1:8" ht="15" x14ac:dyDescent="0.25">
      <c r="A273" s="4" t="s">
        <v>57</v>
      </c>
      <c r="B273" s="4" t="s">
        <v>221</v>
      </c>
      <c r="C273" s="4" t="s">
        <v>57</v>
      </c>
      <c r="D273" s="4" t="s">
        <v>138</v>
      </c>
      <c r="E273" s="4" t="s">
        <v>119</v>
      </c>
    </row>
    <row r="274" spans="1:8" x14ac:dyDescent="0.2">
      <c r="A274" s="124">
        <v>1</v>
      </c>
      <c r="B274" s="114">
        <v>0</v>
      </c>
      <c r="C274" s="115">
        <f>A274</f>
        <v>1</v>
      </c>
      <c r="D274" s="115">
        <v>0</v>
      </c>
      <c r="E274" s="116" t="str">
        <f>Sprachen!C136</f>
        <v>aucune mesure nécessaire</v>
      </c>
      <c r="F274" s="117"/>
      <c r="H274" s="134" t="str">
        <f>"Punkte &lt; " &amp; B276 &amp; " --&gt; " &amp; D275 &amp; " (" &amp; E275 &amp; ")"</f>
        <v>Punkte &lt; 7 --&gt; 0 (aucune mesure nécessaire)</v>
      </c>
    </row>
    <row r="275" spans="1:8" x14ac:dyDescent="0.2">
      <c r="A275" s="129">
        <v>2</v>
      </c>
      <c r="B275" s="130">
        <v>6</v>
      </c>
      <c r="C275" s="56">
        <f t="shared" ref="C275:C279" si="31">A275</f>
        <v>2</v>
      </c>
      <c r="D275" s="131">
        <v>0</v>
      </c>
      <c r="E275" s="132" t="str">
        <f>Sprachen!C137</f>
        <v>aucune mesure nécessaire</v>
      </c>
      <c r="F275" s="133"/>
    </row>
    <row r="276" spans="1:8" x14ac:dyDescent="0.2">
      <c r="A276" s="125">
        <v>3</v>
      </c>
      <c r="B276" s="118">
        <v>7</v>
      </c>
      <c r="C276" s="56">
        <f t="shared" si="31"/>
        <v>3</v>
      </c>
      <c r="D276" s="56">
        <v>2</v>
      </c>
      <c r="E276" s="19" t="str">
        <f>Sprachen!C138</f>
        <v>analyser évtl. plus en détail</v>
      </c>
      <c r="F276" s="119"/>
      <c r="H276" s="134" t="str">
        <f xml:space="preserve"> "" &amp; B276 &amp; " ≤ Punkte &lt; " &amp; B277 &amp; " --&gt; " &amp; D276 &amp; " (" &amp; E276 &amp; ")"</f>
        <v>7 ≤ Punkte &lt; 12 --&gt; 2 (analyser évtl. plus en détail)</v>
      </c>
    </row>
    <row r="277" spans="1:8" x14ac:dyDescent="0.2">
      <c r="A277" s="125">
        <v>4</v>
      </c>
      <c r="B277" s="118">
        <v>12</v>
      </c>
      <c r="C277" s="56">
        <f t="shared" si="31"/>
        <v>4</v>
      </c>
      <c r="D277" s="56">
        <v>1</v>
      </c>
      <c r="E277" s="19" t="str">
        <f>Sprachen!C139</f>
        <v>analyser plus en détail</v>
      </c>
      <c r="F277" s="119"/>
    </row>
    <row r="278" spans="1:8" x14ac:dyDescent="0.2">
      <c r="A278" s="125">
        <v>5</v>
      </c>
      <c r="B278" s="118">
        <v>20</v>
      </c>
      <c r="C278" s="56">
        <f t="shared" si="31"/>
        <v>5</v>
      </c>
      <c r="D278" s="56">
        <v>1</v>
      </c>
      <c r="E278" s="19" t="str">
        <f>Sprachen!C140</f>
        <v>analyser plus en détail</v>
      </c>
      <c r="F278" s="119"/>
    </row>
    <row r="279" spans="1:8" x14ac:dyDescent="0.2">
      <c r="A279" s="125">
        <v>6</v>
      </c>
      <c r="B279" s="135">
        <f>VLOOKUP(1000,Matrix_1.2.3.Test.Alter.Punkte,2,TRUE)+Wert_1.2.3.Test.Faktor.A*VLOOKUP(100000,Matrix_1.2.3.Test.Leistung.Punkte,2,TRUE)*VLOOKUP(9000,Matrix_1.2.3.Test.Betriebszeit.Punkte,2,TRUE)</f>
        <v>55</v>
      </c>
      <c r="C279" s="56">
        <f t="shared" si="31"/>
        <v>6</v>
      </c>
      <c r="D279" s="56">
        <v>1</v>
      </c>
      <c r="E279" s="19" t="str">
        <f>Sprachen!C141</f>
        <v>analyser plus en détail</v>
      </c>
      <c r="F279" s="119"/>
      <c r="H279" s="134" t="str">
        <f xml:space="preserve"> "" &amp; B277 &amp; " ≤ Punkte --&gt; " &amp; D277 &amp; " (" &amp; E277 &amp; ")"</f>
        <v>12 ≤ Punkte --&gt; 1 (analyser plus en détail)</v>
      </c>
    </row>
    <row r="280" spans="1:8" x14ac:dyDescent="0.2">
      <c r="A280" s="125"/>
      <c r="B280" s="120"/>
      <c r="C280" s="121"/>
      <c r="D280" s="121"/>
      <c r="E280" s="122"/>
      <c r="F280" s="123"/>
    </row>
    <row r="281" spans="1:8" x14ac:dyDescent="0.2">
      <c r="A281" s="126"/>
      <c r="B281" s="127"/>
      <c r="C281" s="127"/>
      <c r="D281" s="127"/>
      <c r="E281" s="127"/>
      <c r="F281" s="128"/>
    </row>
    <row r="283" spans="1:8" ht="15.75" x14ac:dyDescent="0.25">
      <c r="A283" s="14" t="s">
        <v>275</v>
      </c>
    </row>
    <row r="284" spans="1:8" ht="3.75" customHeight="1" x14ac:dyDescent="0.2"/>
    <row r="285" spans="1:8" x14ac:dyDescent="0.2">
      <c r="A285" s="8" t="s">
        <v>276</v>
      </c>
    </row>
    <row r="286" spans="1:8" ht="3.75" customHeight="1" x14ac:dyDescent="0.25">
      <c r="F286" s="163"/>
      <c r="G286" s="163"/>
    </row>
    <row r="287" spans="1:8" ht="15" x14ac:dyDescent="0.25">
      <c r="A287" s="163" t="s">
        <v>57</v>
      </c>
      <c r="B287" s="163" t="s">
        <v>277</v>
      </c>
      <c r="C287" s="163" t="s">
        <v>57</v>
      </c>
      <c r="D287" s="163" t="s">
        <v>296</v>
      </c>
      <c r="E287" s="163" t="s">
        <v>346</v>
      </c>
      <c r="F287" s="163"/>
      <c r="G287" s="163"/>
    </row>
    <row r="288" spans="1:8" x14ac:dyDescent="0.2">
      <c r="A288" s="171">
        <v>1</v>
      </c>
      <c r="B288" s="175">
        <v>0</v>
      </c>
      <c r="C288" s="115">
        <f>A288</f>
        <v>1</v>
      </c>
      <c r="D288" s="170" t="str">
        <f>Sprachen!C142</f>
        <v>aucune mesure nécessaire</v>
      </c>
      <c r="E288" s="170">
        <v>0</v>
      </c>
      <c r="F288" s="170"/>
      <c r="G288" s="165"/>
    </row>
    <row r="289" spans="1:7" x14ac:dyDescent="0.2">
      <c r="A289" s="172">
        <v>2</v>
      </c>
      <c r="B289" s="176">
        <v>300</v>
      </c>
      <c r="C289" s="56">
        <f t="shared" ref="C289:C292" si="32">A289</f>
        <v>2</v>
      </c>
      <c r="D289" s="24" t="str">
        <f>Sprachen!C143</f>
        <v>aucune mesure nécessaire</v>
      </c>
      <c r="E289" s="24">
        <v>0</v>
      </c>
      <c r="F289" s="24"/>
      <c r="G289" s="167"/>
    </row>
    <row r="290" spans="1:7" x14ac:dyDescent="0.2">
      <c r="A290" s="172">
        <v>3</v>
      </c>
      <c r="B290" s="176">
        <v>1000</v>
      </c>
      <c r="C290" s="56">
        <f t="shared" si="32"/>
        <v>3</v>
      </c>
      <c r="D290" s="24" t="str">
        <f>Sprachen!C144</f>
        <v>analyse fine recommandée</v>
      </c>
      <c r="E290" s="24">
        <v>2</v>
      </c>
      <c r="F290" s="24"/>
      <c r="G290" s="167"/>
    </row>
    <row r="291" spans="1:7" x14ac:dyDescent="0.2">
      <c r="A291" s="172">
        <v>4</v>
      </c>
      <c r="B291" s="176">
        <v>3000</v>
      </c>
      <c r="C291" s="56">
        <f t="shared" si="32"/>
        <v>4</v>
      </c>
      <c r="D291" s="24" t="str">
        <f>Sprachen!C145</f>
        <v>analyse fine fortement recommandée</v>
      </c>
      <c r="E291" s="24">
        <v>1</v>
      </c>
      <c r="F291" s="24"/>
      <c r="G291" s="167"/>
    </row>
    <row r="292" spans="1:7" x14ac:dyDescent="0.2">
      <c r="A292" s="172">
        <v>5</v>
      </c>
      <c r="B292" s="176">
        <v>10000</v>
      </c>
      <c r="C292" s="56">
        <f t="shared" si="32"/>
        <v>5</v>
      </c>
      <c r="D292" s="24" t="str">
        <f>Sprachen!C146</f>
        <v>analyse fine fortement recommandée</v>
      </c>
      <c r="E292" s="24">
        <v>1</v>
      </c>
      <c r="F292" s="24"/>
      <c r="G292" s="167"/>
    </row>
    <row r="293" spans="1:7" x14ac:dyDescent="0.2">
      <c r="A293" s="172"/>
      <c r="B293" s="177"/>
      <c r="C293" s="121"/>
      <c r="D293" s="178"/>
      <c r="E293" s="178"/>
      <c r="F293" s="178"/>
      <c r="G293" s="179"/>
    </row>
    <row r="294" spans="1:7" x14ac:dyDescent="0.2">
      <c r="A294" s="168"/>
      <c r="B294" s="173"/>
      <c r="C294" s="173"/>
      <c r="D294" s="173"/>
      <c r="E294" s="173"/>
      <c r="F294" s="173"/>
      <c r="G294" s="174"/>
    </row>
    <row r="295" spans="1:7" ht="3.75" customHeight="1" x14ac:dyDescent="0.2"/>
    <row r="296" spans="1:7" x14ac:dyDescent="0.2">
      <c r="A296" s="8" t="s">
        <v>278</v>
      </c>
    </row>
    <row r="297" spans="1:7" ht="3.75" customHeight="1" x14ac:dyDescent="0.25">
      <c r="F297" s="163"/>
      <c r="G297" s="163"/>
    </row>
    <row r="298" spans="1:7" ht="15" x14ac:dyDescent="0.25">
      <c r="A298" s="163" t="s">
        <v>57</v>
      </c>
      <c r="B298" s="163" t="s">
        <v>281</v>
      </c>
      <c r="C298" s="163" t="s">
        <v>57</v>
      </c>
      <c r="D298" s="163" t="s">
        <v>279</v>
      </c>
      <c r="E298" s="163"/>
      <c r="F298" s="163"/>
      <c r="G298" s="163"/>
    </row>
    <row r="299" spans="1:7" x14ac:dyDescent="0.2">
      <c r="A299" s="171">
        <v>1</v>
      </c>
      <c r="B299" s="175">
        <v>0</v>
      </c>
      <c r="C299" s="115">
        <f>A299</f>
        <v>1</v>
      </c>
      <c r="D299" s="180" t="str">
        <f>Sprachen!C147</f>
        <v>-</v>
      </c>
      <c r="E299" s="170"/>
      <c r="F299" s="170"/>
      <c r="G299" s="165"/>
    </row>
    <row r="300" spans="1:7" x14ac:dyDescent="0.2">
      <c r="A300" s="172">
        <v>2</v>
      </c>
      <c r="B300" s="176">
        <v>2500</v>
      </c>
      <c r="C300" s="56">
        <f t="shared" ref="C300:C303" si="33">A300</f>
        <v>2</v>
      </c>
      <c r="D300" s="24" t="str">
        <f>Sprachen!C148</f>
        <v>aucune mesure nécessaire</v>
      </c>
      <c r="E300" s="24"/>
      <c r="F300" s="24"/>
      <c r="G300" s="167"/>
    </row>
    <row r="301" spans="1:7" x14ac:dyDescent="0.2">
      <c r="A301" s="172">
        <v>3</v>
      </c>
      <c r="B301" s="176">
        <v>5000</v>
      </c>
      <c r="C301" s="56">
        <f t="shared" si="33"/>
        <v>3</v>
      </c>
      <c r="D301" s="24" t="str">
        <f>Sprachen!C149</f>
        <v>optimisation recommandée</v>
      </c>
      <c r="E301" s="24"/>
      <c r="F301" s="24"/>
      <c r="G301" s="167"/>
    </row>
    <row r="302" spans="1:7" x14ac:dyDescent="0.2">
      <c r="A302" s="172">
        <v>4</v>
      </c>
      <c r="B302" s="176">
        <v>10000</v>
      </c>
      <c r="C302" s="56">
        <f t="shared" si="33"/>
        <v>4</v>
      </c>
      <c r="D302" s="24" t="str">
        <f>Sprachen!C150</f>
        <v>optimisation fortement recommandée</v>
      </c>
      <c r="E302" s="24"/>
      <c r="F302" s="24"/>
      <c r="G302" s="167"/>
    </row>
    <row r="303" spans="1:7" x14ac:dyDescent="0.2">
      <c r="A303" s="172">
        <v>5</v>
      </c>
      <c r="B303" s="176">
        <v>20000</v>
      </c>
      <c r="C303" s="56">
        <f t="shared" si="33"/>
        <v>5</v>
      </c>
      <c r="D303" s="24" t="str">
        <f>Sprachen!C151</f>
        <v>optimisation fortement recommandée</v>
      </c>
      <c r="E303" s="24"/>
      <c r="F303" s="24"/>
      <c r="G303" s="167"/>
    </row>
    <row r="304" spans="1:7" x14ac:dyDescent="0.2">
      <c r="A304" s="172"/>
      <c r="B304" s="177"/>
      <c r="C304" s="121"/>
      <c r="D304" s="178"/>
      <c r="E304" s="178"/>
      <c r="F304" s="178"/>
      <c r="G304" s="179"/>
    </row>
    <row r="305" spans="1:7" x14ac:dyDescent="0.2">
      <c r="A305" s="168"/>
      <c r="B305" s="173"/>
      <c r="C305" s="173"/>
      <c r="D305" s="173"/>
      <c r="E305" s="173"/>
      <c r="F305" s="173"/>
      <c r="G305" s="174"/>
    </row>
    <row r="307" spans="1:7" ht="15.75" x14ac:dyDescent="0.25">
      <c r="A307" s="14" t="s">
        <v>477</v>
      </c>
    </row>
    <row r="308" spans="1:7" ht="3.75" customHeight="1" x14ac:dyDescent="0.2"/>
    <row r="309" spans="1:7" x14ac:dyDescent="0.2">
      <c r="A309" s="8" t="s">
        <v>478</v>
      </c>
    </row>
    <row r="310" spans="1:7" ht="3.75" customHeight="1" x14ac:dyDescent="0.25">
      <c r="F310" s="163"/>
      <c r="G310" s="163"/>
    </row>
    <row r="311" spans="1:7" ht="15" x14ac:dyDescent="0.25">
      <c r="A311" s="163" t="s">
        <v>57</v>
      </c>
      <c r="B311" s="163" t="s">
        <v>147</v>
      </c>
      <c r="C311" s="163" t="s">
        <v>480</v>
      </c>
      <c r="D311" s="163" t="s">
        <v>57</v>
      </c>
      <c r="E311" s="163" t="s">
        <v>479</v>
      </c>
      <c r="F311" s="163"/>
      <c r="G311" s="163"/>
    </row>
    <row r="312" spans="1:7" x14ac:dyDescent="0.2">
      <c r="A312" s="171">
        <v>1</v>
      </c>
      <c r="B312" s="175">
        <v>1</v>
      </c>
      <c r="C312" s="170">
        <v>1</v>
      </c>
      <c r="D312" s="115">
        <f>A312</f>
        <v>1</v>
      </c>
      <c r="E312" s="170" t="s">
        <v>232</v>
      </c>
      <c r="F312" s="170"/>
      <c r="G312" s="165"/>
    </row>
    <row r="313" spans="1:7" x14ac:dyDescent="0.2">
      <c r="A313" s="172">
        <v>2</v>
      </c>
      <c r="B313" s="176">
        <v>2</v>
      </c>
      <c r="C313" s="24">
        <v>1</v>
      </c>
      <c r="D313" s="56">
        <f>A313</f>
        <v>2</v>
      </c>
      <c r="E313" s="24" t="s">
        <v>231</v>
      </c>
      <c r="F313" s="24"/>
      <c r="G313" s="167"/>
    </row>
    <row r="314" spans="1:7" x14ac:dyDescent="0.2">
      <c r="A314" s="172">
        <v>3</v>
      </c>
      <c r="B314" s="300">
        <f>St.Wert_Schritt2.fehlendeAngaben</f>
        <v>9999</v>
      </c>
      <c r="C314" s="24">
        <v>2</v>
      </c>
      <c r="D314" s="56">
        <f t="shared" ref="D314:D316" si="34">A314</f>
        <v>3</v>
      </c>
      <c r="E314" s="24" t="s">
        <v>444</v>
      </c>
      <c r="F314" s="24"/>
      <c r="G314" s="167"/>
    </row>
    <row r="315" spans="1:7" x14ac:dyDescent="0.2">
      <c r="A315" s="172">
        <v>4</v>
      </c>
      <c r="B315" s="176">
        <v>0</v>
      </c>
      <c r="C315" s="24">
        <v>3</v>
      </c>
      <c r="D315" s="56">
        <f t="shared" si="34"/>
        <v>4</v>
      </c>
      <c r="E315" s="24" t="s">
        <v>405</v>
      </c>
      <c r="F315" s="24"/>
      <c r="G315" s="167"/>
    </row>
    <row r="316" spans="1:7" x14ac:dyDescent="0.2">
      <c r="A316" s="172">
        <v>5</v>
      </c>
      <c r="B316" s="300">
        <f>St.Wert_Schritt2.keineAngaben</f>
        <v>999</v>
      </c>
      <c r="C316" s="24">
        <v>4</v>
      </c>
      <c r="D316" s="56">
        <f t="shared" si="34"/>
        <v>5</v>
      </c>
      <c r="E316" s="299" t="s">
        <v>280</v>
      </c>
      <c r="F316" s="24"/>
      <c r="G316" s="167"/>
    </row>
    <row r="317" spans="1:7" x14ac:dyDescent="0.2">
      <c r="A317" s="172"/>
      <c r="B317" s="177"/>
      <c r="C317" s="121"/>
      <c r="D317" s="178"/>
      <c r="E317" s="178"/>
      <c r="F317" s="178"/>
      <c r="G317" s="179"/>
    </row>
    <row r="318" spans="1:7" x14ac:dyDescent="0.2">
      <c r="A318" s="168"/>
      <c r="B318" s="173"/>
      <c r="C318" s="173"/>
      <c r="D318" s="173"/>
      <c r="E318" s="173"/>
      <c r="F318" s="173"/>
      <c r="G318" s="174"/>
    </row>
    <row r="320" spans="1:7" ht="15.75" x14ac:dyDescent="0.25">
      <c r="A320" s="14" t="s">
        <v>495</v>
      </c>
    </row>
    <row r="321" spans="1:5" ht="3.75" customHeight="1" x14ac:dyDescent="0.2"/>
    <row r="322" spans="1:5" x14ac:dyDescent="0.2">
      <c r="A322" s="8" t="s">
        <v>496</v>
      </c>
    </row>
    <row r="323" spans="1:5" ht="3.75" customHeight="1" x14ac:dyDescent="0.25">
      <c r="E323" s="163"/>
    </row>
    <row r="324" spans="1:5" ht="15" x14ac:dyDescent="0.25">
      <c r="A324" s="163" t="s">
        <v>57</v>
      </c>
      <c r="B324" s="163" t="s">
        <v>494</v>
      </c>
      <c r="C324" s="163" t="s">
        <v>119</v>
      </c>
      <c r="D324" s="163" t="s">
        <v>57</v>
      </c>
      <c r="E324" s="163"/>
    </row>
    <row r="325" spans="1:5" x14ac:dyDescent="0.2">
      <c r="A325" s="171">
        <v>1</v>
      </c>
      <c r="B325" s="306">
        <f>-St.Wert_Schritt2.fehlendeAngaben</f>
        <v>-9999</v>
      </c>
      <c r="C325" s="170" t="str">
        <f>Sprachen!C152</f>
        <v>Saisie manquante / incohérente aux étapes 1 ET 2 !</v>
      </c>
      <c r="D325" s="115">
        <f>A325</f>
        <v>1</v>
      </c>
      <c r="E325" s="165"/>
    </row>
    <row r="326" spans="1:5" x14ac:dyDescent="0.2">
      <c r="A326" s="172">
        <v>2</v>
      </c>
      <c r="B326" s="300">
        <f>-St.Wert_Schritt2.keineAngaben</f>
        <v>-999</v>
      </c>
      <c r="C326" s="24" t="str">
        <f>Sprachen!C153</f>
        <v>Temps de marche incohérents à l'étape 2 !</v>
      </c>
      <c r="D326" s="56">
        <f>A326</f>
        <v>2</v>
      </c>
      <c r="E326" s="167"/>
    </row>
    <row r="327" spans="1:5" x14ac:dyDescent="0.2">
      <c r="A327" s="172">
        <v>3</v>
      </c>
      <c r="B327" s="176">
        <v>-2</v>
      </c>
      <c r="C327" s="24" t="str">
        <f>Sprachen!C154</f>
        <v>Temps de marche incohérents à l'étape 2 !</v>
      </c>
      <c r="D327" s="56">
        <f t="shared" ref="D327:D333" si="35">A327</f>
        <v>3</v>
      </c>
      <c r="E327" s="167"/>
    </row>
    <row r="328" spans="1:5" x14ac:dyDescent="0.2">
      <c r="A328" s="172">
        <v>4</v>
      </c>
      <c r="B328" s="176">
        <v>-1</v>
      </c>
      <c r="C328" s="24" t="str">
        <f>Sprachen!C155</f>
        <v>Temps de marche incohérents à l'étape 2 !</v>
      </c>
      <c r="D328" s="56">
        <f t="shared" si="35"/>
        <v>4</v>
      </c>
      <c r="E328" s="167"/>
    </row>
    <row r="329" spans="1:5" x14ac:dyDescent="0.2">
      <c r="A329" s="172">
        <v>5</v>
      </c>
      <c r="B329" s="176">
        <v>0</v>
      </c>
      <c r="C329" s="24" t="s">
        <v>499</v>
      </c>
      <c r="D329" s="56">
        <f t="shared" si="35"/>
        <v>5</v>
      </c>
      <c r="E329" s="167"/>
    </row>
    <row r="330" spans="1:5" x14ac:dyDescent="0.2">
      <c r="A330" s="172">
        <v>6</v>
      </c>
      <c r="B330" s="176">
        <v>1</v>
      </c>
      <c r="C330" s="24" t="s">
        <v>499</v>
      </c>
      <c r="D330" s="56">
        <f t="shared" si="35"/>
        <v>6</v>
      </c>
      <c r="E330" s="305"/>
    </row>
    <row r="331" spans="1:5" x14ac:dyDescent="0.2">
      <c r="A331" s="172">
        <v>7</v>
      </c>
      <c r="B331" s="176">
        <v>2</v>
      </c>
      <c r="C331" s="24" t="s">
        <v>499</v>
      </c>
      <c r="D331" s="56">
        <f t="shared" si="35"/>
        <v>7</v>
      </c>
      <c r="E331" s="305"/>
    </row>
    <row r="332" spans="1:5" x14ac:dyDescent="0.2">
      <c r="A332" s="172">
        <v>8</v>
      </c>
      <c r="B332" s="300">
        <f>St.Wert_Schritt2.keineAngaben</f>
        <v>999</v>
      </c>
      <c r="C332" s="24" t="s">
        <v>499</v>
      </c>
      <c r="D332" s="56">
        <f t="shared" si="35"/>
        <v>8</v>
      </c>
      <c r="E332" s="305"/>
    </row>
    <row r="333" spans="1:5" x14ac:dyDescent="0.2">
      <c r="A333" s="172">
        <v>9</v>
      </c>
      <c r="B333" s="300">
        <f>St.Wert_Schritt2.fehlendeAngaben</f>
        <v>9999</v>
      </c>
      <c r="C333" s="304" t="str">
        <f>Sprachen!C156</f>
        <v>Données manquantes (P et/ou t) à l'étape 1 !</v>
      </c>
      <c r="D333" s="56">
        <f t="shared" si="35"/>
        <v>9</v>
      </c>
      <c r="E333" s="305"/>
    </row>
    <row r="334" spans="1:5" x14ac:dyDescent="0.2">
      <c r="A334" s="172"/>
      <c r="B334" s="177"/>
      <c r="C334" s="121"/>
      <c r="D334" s="178"/>
      <c r="E334" s="179"/>
    </row>
    <row r="335" spans="1:5" x14ac:dyDescent="0.2">
      <c r="A335" s="168"/>
      <c r="B335" s="173"/>
      <c r="C335" s="173"/>
      <c r="D335" s="173"/>
      <c r="E335" s="174"/>
    </row>
  </sheetData>
  <mergeCells count="7">
    <mergeCell ref="I208:I214"/>
    <mergeCell ref="C155:F155"/>
    <mergeCell ref="Q72:U72"/>
    <mergeCell ref="C146:E146"/>
    <mergeCell ref="C168:E168"/>
    <mergeCell ref="C156:D156"/>
    <mergeCell ref="E156:F156"/>
  </mergeCells>
  <conditionalFormatting sqref="D274:D281">
    <cfRule type="cellIs" dxfId="2" priority="1" operator="equal">
      <formula>1</formula>
    </cfRule>
    <cfRule type="cellIs" dxfId="1" priority="2" operator="equal">
      <formula>2</formula>
    </cfRule>
    <cfRule type="cellIs" dxfId="0" priority="3" operator="equal">
      <formula>0</formula>
    </cfRule>
  </conditionalFormatting>
  <hyperlinks>
    <hyperlink ref="D19" r:id="rId1"/>
    <hyperlink ref="B12" location="Zelle_Parameter.1.2.3.Test.fuer.Hyperlink" display="--&gt; Parameter: siehe unten"/>
  </hyperlinks>
  <pageMargins left="0.7" right="0.7" top="0.78740157499999996" bottom="0.78740157499999996" header="0.3" footer="0.3"/>
  <pageSetup paperSize="9" orientation="portrait"/>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115</vt:i4>
      </vt:variant>
    </vt:vector>
  </HeadingPairs>
  <TitlesOfParts>
    <vt:vector size="128" baseType="lpstr">
      <vt:lpstr>Introduction</vt:lpstr>
      <vt:lpstr>Etape 1</vt:lpstr>
      <vt:lpstr>Etape 2</vt:lpstr>
      <vt:lpstr>Résultats</vt:lpstr>
      <vt:lpstr>Résumé</vt:lpstr>
      <vt:lpstr>Notes personnelles</vt:lpstr>
      <vt:lpstr>Berechnungen 1</vt:lpstr>
      <vt:lpstr>Berechnungen 2</vt:lpstr>
      <vt:lpstr>Parameter</vt:lpstr>
      <vt:lpstr>Sprachen</vt:lpstr>
      <vt:lpstr>Anleitung_de</vt:lpstr>
      <vt:lpstr>Anleitung_fr</vt:lpstr>
      <vt:lpstr>Infos_Tool-Programmierung</vt:lpstr>
      <vt:lpstr>'Etape 1'!Druckbereich</vt:lpstr>
      <vt:lpstr>'Etape 2'!Druckbereich</vt:lpstr>
      <vt:lpstr>Introduction!Druckbereich</vt:lpstr>
      <vt:lpstr>Résultats!Druckbereich</vt:lpstr>
      <vt:lpstr>'Etape 1'!Drucktitel</vt:lpstr>
      <vt:lpstr>'Etape 2'!Drucktitel</vt:lpstr>
      <vt:lpstr>'Notes personnelles'!Drucktitel</vt:lpstr>
      <vt:lpstr>Résultats!Drucktitel</vt:lpstr>
      <vt:lpstr>Liste.Dropdown_Bedarf.variabel.kst</vt:lpstr>
      <vt:lpstr>Liste.Dropdown_Kreislauf.offen.geschlossen</vt:lpstr>
      <vt:lpstr>Liste.Dropdown_Motor.Effizienzklassen</vt:lpstr>
      <vt:lpstr>Liste.Dropdown_Regulierungsart</vt:lpstr>
      <vt:lpstr>Liste.Dropdown_Sortiervariante</vt:lpstr>
      <vt:lpstr>Liste.Dropdown_Sortiervariante.Resultate</vt:lpstr>
      <vt:lpstr>Liste.Dropdown_Sprachen</vt:lpstr>
      <vt:lpstr>Liste.Sprachen_Blattnamen</vt:lpstr>
      <vt:lpstr>Liste.Sprachen_Kommentare</vt:lpstr>
      <vt:lpstr>Liste.Sprachen_Kommentare.Blatt.Spalte.Zeile</vt:lpstr>
      <vt:lpstr>Matrix_1.2.3.Test.Alter.Punkte</vt:lpstr>
      <vt:lpstr>Matrix_1.2.3.Test.Betriebszeit.Punkte</vt:lpstr>
      <vt:lpstr>Matrix_1.2.3.Test.ID.Punkte.Beurteilung</vt:lpstr>
      <vt:lpstr>Matrix_1.2.3.Test.Leistung.Punkte</vt:lpstr>
      <vt:lpstr>Matrix_1.2.3.Test.Punkte.ID.Beurteilung</vt:lpstr>
      <vt:lpstr>Matrix_Anlage.AlterID.Einsparpotential.und.EnergieAnteil</vt:lpstr>
      <vt:lpstr>Matrix_Berechnungen1.Rang.Pumpendaten.Zwischenresultate</vt:lpstr>
      <vt:lpstr>Matrix_Berechnungen2.Rang.Pumpendaten.Endresultate</vt:lpstr>
      <vt:lpstr>Matrix_Berechnungen2.Rang1.Rang2.Pumpendaten.Endresultate</vt:lpstr>
      <vt:lpstr>Matrix_Empfehlung.ID.Potential.DetailanalyseText</vt:lpstr>
      <vt:lpstr>Matrix_Empfehlung.ID.Stromkosten.BOText</vt:lpstr>
      <vt:lpstr>Matrix_Empfehlung.Potential.ID.DetailanalyseText</vt:lpstr>
      <vt:lpstr>Matrix_Empfehlung.Stromkosten.ID.BOText</vt:lpstr>
      <vt:lpstr>Matrix_ID.Sprache</vt:lpstr>
      <vt:lpstr>Matrix_Kreislauf.Zahl</vt:lpstr>
      <vt:lpstr>Matrix_Motor.EffKl.IEID</vt:lpstr>
      <vt:lpstr>Matrix_Motor.ID.LeistungsKl</vt:lpstr>
      <vt:lpstr>Matrix_Motor.IEID.EffKl</vt:lpstr>
      <vt:lpstr>Matrix_Motor.Jahr.EffKl</vt:lpstr>
      <vt:lpstr>Matrix_Motor.KombiKl.EffParameter</vt:lpstr>
      <vt:lpstr>Matrix_Motor.LeistungsKl.ID</vt:lpstr>
      <vt:lpstr>Matrix_Netztyp.Kreislauf.Spalte</vt:lpstr>
      <vt:lpstr>Matrix_Netztyp.Zahl</vt:lpstr>
      <vt:lpstr>Matrix_Pumpe.ID.EffKl</vt:lpstr>
      <vt:lpstr>Matrix_Pumpe.Jahr.EffKl</vt:lpstr>
      <vt:lpstr>Matrix_Redim.ID.Teilvolumenstrom.Einsparpotential</vt:lpstr>
      <vt:lpstr>Matrix_Redim.Teilvolumenstrom.Einsparpotential.ID</vt:lpstr>
      <vt:lpstr>Matrix_Regelung.ID.Teilvolumenstrom.Einsparpotential</vt:lpstr>
      <vt:lpstr>Matrix_Regelung.Teilvolumenstrom.Einsparpotential.ID</vt:lpstr>
      <vt:lpstr>Matrix_Regulierungsart.Einsparfaktor</vt:lpstr>
      <vt:lpstr>Matrix_Sortierung.ID.Schritt2.Multiplikator.ID.BewertungSchritt1</vt:lpstr>
      <vt:lpstr>Matrix_Sortierung.Schritt2.Multiplikator.ID.BewertungSchritt1</vt:lpstr>
      <vt:lpstr>Matrix_Sortiervariante.Resultate.Spaltennummer</vt:lpstr>
      <vt:lpstr>Matrix_Sortiervariante.Spaltennummer</vt:lpstr>
      <vt:lpstr>Matrix_Sprache.ID.Anleitungsblatt</vt:lpstr>
      <vt:lpstr>Matrix_Texte.Sprachen</vt:lpstr>
      <vt:lpstr>Matrix_Uebersetzung</vt:lpstr>
      <vt:lpstr>Matrix_Warnung.ID.WarnNr.Text.ID</vt:lpstr>
      <vt:lpstr>Matrix_Warnung.WarnNr.Text.ID</vt:lpstr>
      <vt:lpstr>Matrix_Wirtschaftlichkeit.ID.Payback.Txt</vt:lpstr>
      <vt:lpstr>Matrix_Wirtschaftlichkeit.Payback.ID.Txt</vt:lpstr>
      <vt:lpstr>Para_para</vt:lpstr>
      <vt:lpstr>Parameter_Sprache</vt:lpstr>
      <vt:lpstr>Parameter_Sprache.ID</vt:lpstr>
      <vt:lpstr>Preis_FU.a</vt:lpstr>
      <vt:lpstr>Preis_FU.b</vt:lpstr>
      <vt:lpstr>Preis_FU.Planung</vt:lpstr>
      <vt:lpstr>Preis_Motor.a</vt:lpstr>
      <vt:lpstr>Preis_Motor.b</vt:lpstr>
      <vt:lpstr>Preis_Motor.Planung</vt:lpstr>
      <vt:lpstr>Preis_Redim.a</vt:lpstr>
      <vt:lpstr>Preis_Redim.b</vt:lpstr>
      <vt:lpstr>Preis_Redim.Planung</vt:lpstr>
      <vt:lpstr>Preis_Strom.Schritt1</vt:lpstr>
      <vt:lpstr>Preis_Strom.Schritt2</vt:lpstr>
      <vt:lpstr>St.Wert_1.2.3.Test.PkteMax</vt:lpstr>
      <vt:lpstr>St.Wert_Hacken</vt:lpstr>
      <vt:lpstr>St.Wert_Kreislauf.Txt</vt:lpstr>
      <vt:lpstr>St.Wert_Kreislauf.Zahl</vt:lpstr>
      <vt:lpstr>St.Wert_Lastfaktor</vt:lpstr>
      <vt:lpstr>St.Wert_Motor.IEID.neu</vt:lpstr>
      <vt:lpstr>St.Wert_Motor.Pole.Anzahl</vt:lpstr>
      <vt:lpstr>St.Wert_Netztyp.Kreislauf</vt:lpstr>
      <vt:lpstr>St.Wert_Netztyp.Txt</vt:lpstr>
      <vt:lpstr>St.Wert_Netztyp.Zahl</vt:lpstr>
      <vt:lpstr>St.Wert_Payback.Max</vt:lpstr>
      <vt:lpstr>St.Wert_Platzhalter.Payback</vt:lpstr>
      <vt:lpstr>St.Wert_Preis.Strom</vt:lpstr>
      <vt:lpstr>St.Wert_Regulierungsart</vt:lpstr>
      <vt:lpstr>St.Wert_Schritt2.fehlendeAngaben</vt:lpstr>
      <vt:lpstr>St.Wert_Schritt2.keineAngaben</vt:lpstr>
      <vt:lpstr>St.Wert_Sortiervariante.Resultate</vt:lpstr>
      <vt:lpstr>St.Wert_Sortiervariante.Schritt2</vt:lpstr>
      <vt:lpstr>St.Wert_Wirtschaftlichkeit.EnergieAnteil.Ja.Nein</vt:lpstr>
      <vt:lpstr>Tool.Info_Autor</vt:lpstr>
      <vt:lpstr>Tool.Info_Datum</vt:lpstr>
      <vt:lpstr>Tool.Info_Version</vt:lpstr>
      <vt:lpstr>Txt_Firma.Name.etc</vt:lpstr>
      <vt:lpstr>txt_Resultate.Angaben.Fehler.vorhanden</vt:lpstr>
      <vt:lpstr>txt_Schritt1.Angaben.fehlen</vt:lpstr>
      <vt:lpstr>txt_Schritt2.Angaben.fehlen.in.Schritt1</vt:lpstr>
      <vt:lpstr>txt_Schritt2.Eigaben.Fehler.Betriebszeiten</vt:lpstr>
      <vt:lpstr>Txt_Sortiervariante</vt:lpstr>
      <vt:lpstr>Txt_Sortiervariante.Resultate</vt:lpstr>
      <vt:lpstr>Wert_1.2.3.Test.Faktor.A</vt:lpstr>
      <vt:lpstr>Wert_Kreislauf.Zahl.Schritt2</vt:lpstr>
      <vt:lpstr>Wert_Motor.IEID.neu.Schritt1</vt:lpstr>
      <vt:lpstr>Wert_Motor.IEID.neu.Schritt2</vt:lpstr>
      <vt:lpstr>Wert_Motor.max.Leistung.fuer.Berechnung.Wirkungsgrad</vt:lpstr>
      <vt:lpstr>Wert_Motor.Pole.Anzahl.Schritt1</vt:lpstr>
      <vt:lpstr>Wert_Netztyp.Kreislauf.Schritt2</vt:lpstr>
      <vt:lpstr>Wert_Netztyp.Zahl.Schritt2</vt:lpstr>
      <vt:lpstr>Wert_Sortiervariante.Resultate.SpaltenNr</vt:lpstr>
      <vt:lpstr>Wert_Sortiervariante.SpaltenNr</vt:lpstr>
      <vt:lpstr>Wert_Wirtschaftlichkeit.EnergieAnteil.Ja.Nein.Schritt1</vt:lpstr>
      <vt:lpstr>Wert_Wirtschaftlichkeit.EnergieAnteil.Ja.Nein.Schritt2</vt:lpstr>
      <vt:lpstr>Zelle_Parameter.1.2.3.Test.fuer.Hyperlink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silvio.borella@neosys.ch;Neosys AG</dc:creator>
  <cp:lastModifiedBy>Silvio Borella</cp:lastModifiedBy>
  <cp:lastPrinted>2016-10-13T13:57:32Z</cp:lastPrinted>
  <dcterms:created xsi:type="dcterms:W3CDTF">2015-12-08T16:21:44Z</dcterms:created>
  <dcterms:modified xsi:type="dcterms:W3CDTF">2017-03-27T08:11:29Z</dcterms:modified>
</cp:coreProperties>
</file>